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lay\Downloads\"/>
    </mc:Choice>
  </mc:AlternateContent>
  <bookViews>
    <workbookView xWindow="-120" yWindow="-120" windowWidth="20730" windowHeight="11160" tabRatio="914"/>
  </bookViews>
  <sheets>
    <sheet name="RESUMEN" sheetId="1" r:id="rId1"/>
    <sheet name="Anchov y SardC LTP" sheetId="2" r:id="rId2"/>
    <sheet name="Anchoveta" sheetId="7" r:id="rId3"/>
    <sheet name="Sardina comun" sheetId="3" r:id="rId4"/>
    <sheet name="Remanente Anchoveta y Sardina" sheetId="17" r:id="rId5"/>
    <sheet name="IC Anch-SardC V-VII y IX-X" sheetId="5" r:id="rId6"/>
    <sheet name="IC Anch y SardC VIII" sheetId="8" r:id="rId7"/>
    <sheet name="Consumo humano" sheetId="9" r:id="rId8"/>
    <sheet name="Cuota Imprevistos" sheetId="16" r:id="rId9"/>
    <sheet name="Cesiones Indiv y Colecti VIII" sheetId="12" r:id="rId10"/>
    <sheet name="Cesiones Ind IX-XIV" sheetId="13" r:id="rId11"/>
    <sheet name="Remanente Cesiones" sheetId="21" r:id="rId12"/>
    <sheet name="Pescas de Investigacion" sheetId="15" r:id="rId13"/>
    <sheet name="Compilado" sheetId="14" r:id="rId14"/>
  </sheets>
  <definedNames>
    <definedName name="_xlnm._FilterDatabase" localSheetId="10" hidden="1">'Cesiones Ind IX-XIV'!$A$3:$W$225</definedName>
    <definedName name="_xlnm._FilterDatabase" localSheetId="9" hidden="1">'Cesiones Indiv y Colecti VIII'!$A$3:$N$949</definedName>
    <definedName name="_xlnm._FilterDatabase" localSheetId="13" hidden="1">Compilado!$A$1:$Q$291</definedName>
    <definedName name="_xlnm._FilterDatabase" localSheetId="12" hidden="1">'Pescas de Investigacion'!$C$4:$J$25</definedName>
    <definedName name="_xlnm._FilterDatabase" localSheetId="3" hidden="1">'Sardina comun'!$C$5:$M$5</definedName>
  </definedNames>
  <calcPr calcId="162913"/>
</workbook>
</file>

<file path=xl/calcChain.xml><?xml version="1.0" encoding="utf-8"?>
<calcChain xmlns="http://schemas.openxmlformats.org/spreadsheetml/2006/main">
  <c r="L104" i="3" l="1"/>
  <c r="J104" i="7"/>
  <c r="L104" i="7" s="1"/>
  <c r="O42" i="5"/>
  <c r="O19" i="5" l="1"/>
  <c r="H40" i="1" l="1"/>
  <c r="H39" i="1"/>
  <c r="O34" i="1"/>
  <c r="M34" i="1"/>
  <c r="N34" i="1"/>
  <c r="L34" i="1"/>
  <c r="K34" i="1"/>
  <c r="N32" i="1"/>
  <c r="O32" i="1"/>
  <c r="M32" i="1"/>
  <c r="L32" i="1"/>
  <c r="K32" i="1"/>
  <c r="N30" i="1"/>
  <c r="O30" i="1"/>
  <c r="M30" i="1"/>
  <c r="L30" i="1"/>
  <c r="K30" i="1"/>
  <c r="O27" i="1"/>
  <c r="N27" i="1"/>
  <c r="M27" i="1"/>
  <c r="L27" i="1"/>
  <c r="K27" i="1"/>
  <c r="O14" i="1"/>
  <c r="N14" i="1"/>
  <c r="M14" i="1"/>
  <c r="L14" i="1"/>
  <c r="K14" i="1"/>
  <c r="O12" i="1"/>
  <c r="N12" i="1"/>
  <c r="M12" i="1"/>
  <c r="L12" i="1"/>
  <c r="K12" i="1"/>
  <c r="O10" i="1"/>
  <c r="N10" i="1"/>
  <c r="M10" i="1"/>
  <c r="L10" i="1"/>
  <c r="K10" i="1"/>
  <c r="H19" i="1"/>
  <c r="H20" i="1"/>
  <c r="O7" i="1"/>
  <c r="N7" i="1"/>
  <c r="M7" i="1"/>
  <c r="L7" i="1"/>
  <c r="K7" i="1"/>
  <c r="Q8" i="7" l="1"/>
  <c r="Q9" i="7"/>
  <c r="Q10" i="7"/>
  <c r="Q11" i="7"/>
  <c r="Q12" i="7"/>
  <c r="Q7" i="7"/>
  <c r="E18" i="1"/>
  <c r="N950" i="12" l="1"/>
  <c r="M950" i="12"/>
  <c r="G103" i="7"/>
  <c r="H23" i="2"/>
  <c r="R3" i="12" l="1"/>
  <c r="Q3" i="12"/>
  <c r="U3" i="13"/>
  <c r="T3" i="13"/>
  <c r="V3" i="13" l="1"/>
  <c r="W3" i="13"/>
  <c r="G131" i="7" l="1"/>
  <c r="G130" i="7"/>
  <c r="L258" i="12" l="1"/>
  <c r="L264" i="12"/>
  <c r="L262" i="12"/>
  <c r="L260" i="12"/>
  <c r="L270" i="12"/>
  <c r="L266" i="12"/>
  <c r="L322" i="12"/>
  <c r="M195" i="13"/>
  <c r="O225" i="13" l="1"/>
  <c r="N225" i="13"/>
  <c r="O224" i="13"/>
  <c r="N224" i="13"/>
  <c r="G121" i="3"/>
  <c r="G121" i="7"/>
  <c r="G118" i="3"/>
  <c r="G118" i="7"/>
  <c r="M176" i="13" l="1"/>
  <c r="M126" i="13"/>
  <c r="M55" i="13"/>
  <c r="N949" i="12" l="1"/>
  <c r="M949" i="12"/>
  <c r="H30" i="2"/>
  <c r="N947" i="12"/>
  <c r="M947" i="12"/>
  <c r="H28" i="2"/>
  <c r="N946" i="12"/>
  <c r="M946" i="12"/>
  <c r="H7" i="2"/>
  <c r="N945" i="12"/>
  <c r="M945" i="12"/>
  <c r="N944" i="12"/>
  <c r="M944" i="12"/>
  <c r="N942" i="12"/>
  <c r="M942" i="12"/>
  <c r="N940" i="12"/>
  <c r="M940" i="12"/>
  <c r="G103" i="3"/>
  <c r="H47" i="2"/>
  <c r="H18" i="2"/>
  <c r="G81" i="3" l="1"/>
  <c r="G81" i="7"/>
  <c r="G26" i="3" l="1"/>
  <c r="G26" i="7"/>
  <c r="N939" i="12"/>
  <c r="M939" i="12"/>
  <c r="G82" i="7"/>
  <c r="N938" i="12" l="1"/>
  <c r="M938" i="12"/>
  <c r="N937" i="12"/>
  <c r="M937" i="12"/>
  <c r="N936" i="12"/>
  <c r="M936" i="12"/>
  <c r="N935" i="12"/>
  <c r="M935" i="12"/>
  <c r="N931" i="12"/>
  <c r="M931" i="12"/>
  <c r="N927" i="12"/>
  <c r="M927" i="12"/>
  <c r="N926" i="12"/>
  <c r="M926" i="12"/>
  <c r="N925" i="12"/>
  <c r="M925" i="12"/>
  <c r="N924" i="12"/>
  <c r="M924" i="12"/>
  <c r="N923" i="12"/>
  <c r="M923" i="12"/>
  <c r="N922" i="12"/>
  <c r="M922" i="12"/>
  <c r="N921" i="12"/>
  <c r="M921" i="12"/>
  <c r="N920" i="12"/>
  <c r="M920" i="12"/>
  <c r="N919" i="12"/>
  <c r="M919" i="12"/>
  <c r="N918" i="12"/>
  <c r="M918" i="12"/>
  <c r="N917" i="12"/>
  <c r="M917" i="12"/>
  <c r="H40" i="2"/>
  <c r="M901" i="12"/>
  <c r="N901" i="12"/>
  <c r="M902" i="12"/>
  <c r="N902" i="12"/>
  <c r="M903" i="12"/>
  <c r="N903" i="12"/>
  <c r="M904" i="12"/>
  <c r="N904" i="12"/>
  <c r="M905" i="12"/>
  <c r="N905" i="12"/>
  <c r="M906" i="12"/>
  <c r="N906" i="12"/>
  <c r="M907" i="12"/>
  <c r="N907" i="12"/>
  <c r="M908" i="12"/>
  <c r="N908" i="12"/>
  <c r="M909" i="12"/>
  <c r="N909" i="12"/>
  <c r="M910" i="12"/>
  <c r="N910" i="12"/>
  <c r="M911" i="12"/>
  <c r="N911" i="12"/>
  <c r="M912" i="12"/>
  <c r="N912" i="12"/>
  <c r="M913" i="12"/>
  <c r="N913" i="12"/>
  <c r="M914" i="12"/>
  <c r="N914" i="12"/>
  <c r="M915" i="12"/>
  <c r="N915" i="12"/>
  <c r="M916" i="12"/>
  <c r="N916" i="12"/>
  <c r="N900" i="12"/>
  <c r="M900" i="12"/>
  <c r="N899" i="12"/>
  <c r="M899" i="12"/>
  <c r="H49" i="2"/>
  <c r="H20" i="2" l="1"/>
  <c r="O223" i="13" l="1"/>
  <c r="N223" i="13"/>
  <c r="O222" i="13"/>
  <c r="N222" i="13"/>
  <c r="O221" i="13"/>
  <c r="N221" i="13"/>
  <c r="O220" i="13"/>
  <c r="N220" i="13"/>
  <c r="O219" i="13"/>
  <c r="N219" i="13"/>
  <c r="O218" i="13"/>
  <c r="N218" i="13"/>
  <c r="G107" i="3"/>
  <c r="G107" i="7"/>
  <c r="H41" i="2"/>
  <c r="H8" i="2"/>
  <c r="O217" i="13"/>
  <c r="N217" i="13"/>
  <c r="H11" i="2"/>
  <c r="M857" i="12"/>
  <c r="N857" i="12"/>
  <c r="M858" i="12"/>
  <c r="N858" i="12"/>
  <c r="M859" i="12"/>
  <c r="N859" i="12"/>
  <c r="M860" i="12"/>
  <c r="N860" i="12"/>
  <c r="M861" i="12"/>
  <c r="N861" i="12"/>
  <c r="M862" i="12"/>
  <c r="N862" i="12"/>
  <c r="M863" i="12"/>
  <c r="N863" i="12"/>
  <c r="M864" i="12"/>
  <c r="N864" i="12"/>
  <c r="M865" i="12"/>
  <c r="N865" i="12"/>
  <c r="M866" i="12"/>
  <c r="N866" i="12"/>
  <c r="M867" i="12"/>
  <c r="N867" i="12"/>
  <c r="M868" i="12"/>
  <c r="N868" i="12"/>
  <c r="M869" i="12"/>
  <c r="N869" i="12"/>
  <c r="M870" i="12"/>
  <c r="N870" i="12"/>
  <c r="M871" i="12"/>
  <c r="N871" i="12"/>
  <c r="M872" i="12"/>
  <c r="N872" i="12"/>
  <c r="M873" i="12"/>
  <c r="N873" i="12"/>
  <c r="M874" i="12"/>
  <c r="N874" i="12"/>
  <c r="M875" i="12"/>
  <c r="N875" i="12"/>
  <c r="M876" i="12"/>
  <c r="N876" i="12"/>
  <c r="M877" i="12"/>
  <c r="N877" i="12"/>
  <c r="M878" i="12"/>
  <c r="N878" i="12"/>
  <c r="M879" i="12"/>
  <c r="N879" i="12"/>
  <c r="M880" i="12"/>
  <c r="N880" i="12"/>
  <c r="M881" i="12"/>
  <c r="N881" i="12"/>
  <c r="M882" i="12"/>
  <c r="N882" i="12"/>
  <c r="M883" i="12"/>
  <c r="N883" i="12"/>
  <c r="M884" i="12"/>
  <c r="N884" i="12"/>
  <c r="M885" i="12"/>
  <c r="N885" i="12"/>
  <c r="M886" i="12"/>
  <c r="N886" i="12"/>
  <c r="M887" i="12"/>
  <c r="N887" i="12"/>
  <c r="M888" i="12"/>
  <c r="N888" i="12"/>
  <c r="M889" i="12"/>
  <c r="N889" i="12"/>
  <c r="M890" i="12"/>
  <c r="N890" i="12"/>
  <c r="M891" i="12"/>
  <c r="N891" i="12"/>
  <c r="M892" i="12"/>
  <c r="N892" i="12"/>
  <c r="M893" i="12"/>
  <c r="N893" i="12"/>
  <c r="M894" i="12"/>
  <c r="N894" i="12"/>
  <c r="M895" i="12"/>
  <c r="N895" i="12"/>
  <c r="M896" i="12"/>
  <c r="N896" i="12"/>
  <c r="M897" i="12"/>
  <c r="N897" i="12"/>
  <c r="M898" i="12"/>
  <c r="N898" i="12"/>
  <c r="N856" i="12"/>
  <c r="M856" i="12"/>
  <c r="N855" i="12"/>
  <c r="M855" i="12"/>
  <c r="N853" i="12"/>
  <c r="M853" i="12"/>
  <c r="H50" i="2"/>
  <c r="N852" i="12"/>
  <c r="M852" i="12"/>
  <c r="N851" i="12"/>
  <c r="M851" i="12"/>
  <c r="O216" i="13"/>
  <c r="N216" i="13"/>
  <c r="G62" i="3"/>
  <c r="O215" i="13" l="1"/>
  <c r="N215" i="13"/>
  <c r="H12" i="2"/>
  <c r="N850" i="12"/>
  <c r="M850" i="12"/>
  <c r="N849" i="12"/>
  <c r="M849" i="12"/>
  <c r="G124" i="3"/>
  <c r="G124" i="7"/>
  <c r="N848" i="12"/>
  <c r="M848" i="12"/>
  <c r="N847" i="12"/>
  <c r="M847" i="12"/>
  <c r="G77" i="3"/>
  <c r="G77" i="7"/>
  <c r="G97" i="3"/>
  <c r="G97" i="7"/>
  <c r="G27" i="3"/>
  <c r="G27" i="7"/>
  <c r="G37" i="7"/>
  <c r="G67" i="7"/>
  <c r="O214" i="13" l="1"/>
  <c r="N214" i="13"/>
  <c r="O213" i="13"/>
  <c r="N213" i="13"/>
  <c r="O212" i="13"/>
  <c r="N212" i="13"/>
  <c r="O211" i="13"/>
  <c r="N211" i="13"/>
  <c r="G114" i="3"/>
  <c r="G114" i="7" l="1"/>
  <c r="G110" i="3"/>
  <c r="G110" i="7"/>
  <c r="G131" i="3"/>
  <c r="G130" i="3"/>
  <c r="N844" i="12" l="1"/>
  <c r="M844" i="12"/>
  <c r="N841" i="12"/>
  <c r="M841" i="12"/>
  <c r="M823" i="12"/>
  <c r="N823" i="12"/>
  <c r="M824" i="12"/>
  <c r="N824" i="12"/>
  <c r="M825" i="12"/>
  <c r="N825" i="12"/>
  <c r="M826" i="12"/>
  <c r="N826" i="12"/>
  <c r="M827" i="12"/>
  <c r="N827" i="12"/>
  <c r="M828" i="12"/>
  <c r="N828" i="12"/>
  <c r="M829" i="12"/>
  <c r="N829" i="12"/>
  <c r="M830" i="12"/>
  <c r="N830" i="12"/>
  <c r="M831" i="12"/>
  <c r="N831" i="12"/>
  <c r="M832" i="12"/>
  <c r="N832" i="12"/>
  <c r="M833" i="12"/>
  <c r="N833" i="12"/>
  <c r="M834" i="12"/>
  <c r="N834" i="12"/>
  <c r="M835" i="12"/>
  <c r="N835" i="12"/>
  <c r="M836" i="12"/>
  <c r="N836" i="12"/>
  <c r="M837" i="12"/>
  <c r="N837" i="12"/>
  <c r="M838" i="12"/>
  <c r="N838" i="12"/>
  <c r="M839" i="12"/>
  <c r="N839" i="12"/>
  <c r="M840" i="12"/>
  <c r="N840" i="12"/>
  <c r="N822" i="12"/>
  <c r="M822" i="12"/>
  <c r="N821" i="12"/>
  <c r="M821" i="12"/>
  <c r="H42" i="2"/>
  <c r="H9" i="2"/>
  <c r="G31" i="3" l="1"/>
  <c r="O210" i="13" l="1"/>
  <c r="N210" i="13"/>
  <c r="O209" i="13"/>
  <c r="N209" i="13"/>
  <c r="O208" i="13"/>
  <c r="N208" i="13"/>
  <c r="O207" i="13"/>
  <c r="N207" i="13"/>
  <c r="G35" i="7"/>
  <c r="M53" i="13" l="1"/>
  <c r="N820" i="12" l="1"/>
  <c r="M820" i="12"/>
  <c r="G125" i="3"/>
  <c r="G125" i="7"/>
  <c r="G126" i="3"/>
  <c r="G126" i="7"/>
  <c r="O206" i="13" l="1"/>
  <c r="N206" i="13"/>
  <c r="O205" i="13"/>
  <c r="N205" i="13"/>
  <c r="G89" i="3"/>
  <c r="G89" i="7"/>
  <c r="O204" i="13" l="1"/>
  <c r="N204" i="13"/>
  <c r="O203" i="13"/>
  <c r="N203" i="13"/>
  <c r="O202" i="13"/>
  <c r="N202" i="13"/>
  <c r="O201" i="13"/>
  <c r="N201" i="13"/>
  <c r="O200" i="13"/>
  <c r="N200" i="13"/>
  <c r="O199" i="13"/>
  <c r="N199" i="13"/>
  <c r="O198" i="13"/>
  <c r="N198" i="13"/>
  <c r="O197" i="13"/>
  <c r="N197" i="13"/>
  <c r="F41" i="1" l="1"/>
  <c r="G7" i="3"/>
  <c r="N819" i="12" l="1"/>
  <c r="M819" i="12"/>
  <c r="N818" i="12"/>
  <c r="M818" i="12"/>
  <c r="H62" i="2"/>
  <c r="H31" i="2"/>
  <c r="G129" i="3"/>
  <c r="G129" i="7"/>
  <c r="I135" i="7"/>
  <c r="K134" i="7"/>
  <c r="L134" i="7"/>
  <c r="H134" i="7"/>
  <c r="G134" i="7"/>
  <c r="G135" i="7"/>
  <c r="O196" i="13"/>
  <c r="N196" i="13"/>
  <c r="N817" i="12" l="1"/>
  <c r="M817" i="12"/>
  <c r="N816" i="12"/>
  <c r="M816" i="12"/>
  <c r="N815" i="12"/>
  <c r="M815" i="12"/>
  <c r="N814" i="12"/>
  <c r="M814" i="12"/>
  <c r="N813" i="12"/>
  <c r="M813" i="12"/>
  <c r="N812" i="12"/>
  <c r="M812" i="12"/>
  <c r="N811" i="12"/>
  <c r="M811" i="12"/>
  <c r="N810" i="12"/>
  <c r="M810" i="12"/>
  <c r="N809" i="12"/>
  <c r="M809" i="12"/>
  <c r="N808" i="12"/>
  <c r="M808" i="12"/>
  <c r="O195" i="13"/>
  <c r="N195" i="13"/>
  <c r="O194" i="13" l="1"/>
  <c r="N194" i="13"/>
  <c r="H55" i="2"/>
  <c r="N806" i="12" l="1"/>
  <c r="M806" i="12"/>
  <c r="H29" i="2"/>
  <c r="N803" i="12"/>
  <c r="M803" i="12"/>
  <c r="N800" i="12"/>
  <c r="M800" i="12"/>
  <c r="N796" i="12"/>
  <c r="M796" i="12"/>
  <c r="N792" i="12"/>
  <c r="M792" i="12"/>
  <c r="N790" i="12" l="1"/>
  <c r="M790" i="12"/>
  <c r="N788" i="12"/>
  <c r="M788" i="12"/>
  <c r="N787" i="12"/>
  <c r="M787" i="12"/>
  <c r="N786" i="12"/>
  <c r="M786" i="12"/>
  <c r="H43" i="2"/>
  <c r="H14" i="2"/>
  <c r="H38" i="1" l="1"/>
  <c r="H18" i="1"/>
  <c r="N785" i="12" l="1"/>
  <c r="M785" i="12"/>
  <c r="H57" i="2"/>
  <c r="N784" i="12"/>
  <c r="M784" i="12"/>
  <c r="N783" i="12"/>
  <c r="M783" i="12"/>
  <c r="N779" i="12"/>
  <c r="M779" i="12"/>
  <c r="N775" i="12"/>
  <c r="M775" i="12"/>
  <c r="N771" i="12"/>
  <c r="M771" i="12"/>
  <c r="N767" i="12"/>
  <c r="M767" i="12"/>
  <c r="H44" i="2"/>
  <c r="H15" i="2"/>
  <c r="N766" i="12" l="1"/>
  <c r="M766" i="12"/>
  <c r="H13" i="2"/>
  <c r="N765" i="12"/>
  <c r="M765" i="12"/>
  <c r="N764" i="12"/>
  <c r="M764" i="12"/>
  <c r="G106" i="3"/>
  <c r="N763" i="12"/>
  <c r="M763" i="12"/>
  <c r="N762" i="12"/>
  <c r="M762" i="12"/>
  <c r="O193" i="13"/>
  <c r="N193" i="13"/>
  <c r="O192" i="13"/>
  <c r="N192" i="13"/>
  <c r="G52" i="3" l="1"/>
  <c r="G52" i="7"/>
  <c r="N761" i="12" l="1"/>
  <c r="M761" i="12"/>
  <c r="N760" i="12"/>
  <c r="M760" i="12"/>
  <c r="G63" i="3"/>
  <c r="G63" i="7"/>
  <c r="O191" i="13" l="1"/>
  <c r="N191" i="13"/>
  <c r="O190" i="13"/>
  <c r="N190" i="13"/>
  <c r="O189" i="13"/>
  <c r="N189" i="13"/>
  <c r="O188" i="13"/>
  <c r="N188" i="13"/>
  <c r="G84" i="3"/>
  <c r="G84" i="7"/>
  <c r="G34" i="3" l="1"/>
  <c r="G34" i="7"/>
  <c r="G33" i="3"/>
  <c r="G33" i="7"/>
  <c r="G60" i="3" l="1"/>
  <c r="G60" i="7"/>
  <c r="G87" i="3"/>
  <c r="G87" i="7"/>
  <c r="O187" i="13"/>
  <c r="N187" i="13"/>
  <c r="O186" i="13"/>
  <c r="N186" i="13"/>
  <c r="I6" i="16"/>
  <c r="O185" i="13"/>
  <c r="N185" i="13"/>
  <c r="O184" i="13"/>
  <c r="N184" i="13"/>
  <c r="O183" i="13"/>
  <c r="N183" i="13"/>
  <c r="O182" i="13"/>
  <c r="N182" i="13"/>
  <c r="O181" i="13"/>
  <c r="N181" i="13"/>
  <c r="O180" i="13"/>
  <c r="N180" i="13"/>
  <c r="O179" i="13"/>
  <c r="N179" i="13"/>
  <c r="O178" i="13"/>
  <c r="N178" i="13"/>
  <c r="O177" i="13"/>
  <c r="N177" i="13"/>
  <c r="O176" i="13"/>
  <c r="N176" i="13"/>
  <c r="O175" i="13"/>
  <c r="N175" i="13"/>
  <c r="O174" i="13"/>
  <c r="N174" i="13"/>
  <c r="O173" i="13"/>
  <c r="N173" i="13"/>
  <c r="O172" i="13"/>
  <c r="N172" i="13"/>
  <c r="O171" i="13"/>
  <c r="N171" i="13"/>
  <c r="O170" i="13"/>
  <c r="N170" i="13"/>
  <c r="O169" i="13"/>
  <c r="N169" i="13"/>
  <c r="O168" i="13"/>
  <c r="N168" i="13"/>
  <c r="N759" i="12"/>
  <c r="M759" i="12"/>
  <c r="H24" i="2"/>
  <c r="O167" i="13"/>
  <c r="N167" i="13"/>
  <c r="O166" i="13"/>
  <c r="N166" i="13"/>
  <c r="O165" i="13"/>
  <c r="N165" i="13"/>
  <c r="O164" i="13"/>
  <c r="N164" i="13"/>
  <c r="O163" i="13"/>
  <c r="N163" i="13"/>
  <c r="O162" i="13"/>
  <c r="N162" i="13"/>
  <c r="O161" i="13"/>
  <c r="N161" i="13"/>
  <c r="O160" i="13"/>
  <c r="N160" i="13"/>
  <c r="O159" i="13"/>
  <c r="N159" i="13"/>
  <c r="O158" i="13"/>
  <c r="N158" i="13"/>
  <c r="O157" i="13"/>
  <c r="N157" i="13"/>
  <c r="O156" i="13"/>
  <c r="N156" i="13"/>
  <c r="O155" i="13"/>
  <c r="N155" i="13"/>
  <c r="O154" i="13"/>
  <c r="N154" i="13"/>
  <c r="O153" i="13"/>
  <c r="N153" i="13"/>
  <c r="O152" i="13"/>
  <c r="N152" i="13"/>
  <c r="O151" i="13"/>
  <c r="N151" i="13"/>
  <c r="O150" i="13"/>
  <c r="N150" i="13"/>
  <c r="O149" i="13"/>
  <c r="N149" i="13"/>
  <c r="O148" i="13"/>
  <c r="N148" i="13"/>
  <c r="N758" i="12"/>
  <c r="M758" i="12"/>
  <c r="H25" i="2"/>
  <c r="G35" i="3"/>
  <c r="G80" i="3"/>
  <c r="G132" i="3"/>
  <c r="G132" i="7"/>
  <c r="G128" i="3"/>
  <c r="G128" i="7"/>
  <c r="G48" i="3"/>
  <c r="G48" i="7"/>
  <c r="G41" i="3"/>
  <c r="G41" i="7"/>
  <c r="N432" i="12"/>
  <c r="M432" i="12"/>
  <c r="N431" i="12"/>
  <c r="M431" i="12"/>
  <c r="G72" i="3"/>
  <c r="G72" i="7"/>
  <c r="O147" i="13"/>
  <c r="N147" i="13"/>
  <c r="H54" i="2"/>
  <c r="O143" i="13"/>
  <c r="O139" i="13"/>
  <c r="N139" i="13"/>
  <c r="N143" i="13"/>
  <c r="G39" i="3"/>
  <c r="G39" i="7"/>
  <c r="N756" i="12"/>
  <c r="M756" i="12"/>
  <c r="N754" i="12"/>
  <c r="M754" i="12"/>
  <c r="N751" i="12"/>
  <c r="M751" i="12"/>
  <c r="N748" i="12"/>
  <c r="M748" i="12"/>
  <c r="H48" i="2"/>
  <c r="H19" i="2"/>
  <c r="O138" i="13"/>
  <c r="N138" i="13"/>
  <c r="H53" i="2"/>
  <c r="O137" i="13"/>
  <c r="N137" i="13"/>
  <c r="H56" i="2"/>
  <c r="G32" i="3" l="1"/>
  <c r="G32" i="7"/>
  <c r="G37" i="3" l="1"/>
  <c r="O135" i="13"/>
  <c r="N135" i="13"/>
  <c r="O133" i="13"/>
  <c r="N133" i="13"/>
  <c r="O132" i="13" l="1"/>
  <c r="N132" i="13"/>
  <c r="O131" i="13"/>
  <c r="N131" i="13"/>
  <c r="O130" i="13"/>
  <c r="N130" i="13"/>
  <c r="O129" i="13"/>
  <c r="N129" i="13"/>
  <c r="G90" i="3"/>
  <c r="G90" i="7"/>
  <c r="G92" i="3"/>
  <c r="O128" i="13" l="1"/>
  <c r="N128" i="13"/>
  <c r="O127" i="13"/>
  <c r="N127" i="13"/>
  <c r="O126" i="13"/>
  <c r="N126" i="13"/>
  <c r="O125" i="13"/>
  <c r="N125" i="13"/>
  <c r="O124" i="13"/>
  <c r="N124" i="13"/>
  <c r="G85" i="3"/>
  <c r="G85" i="7"/>
  <c r="O123" i="13" l="1"/>
  <c r="N123" i="13"/>
  <c r="G111" i="7"/>
  <c r="H61" i="2" l="1"/>
  <c r="H27" i="2"/>
  <c r="G36" i="3" l="1"/>
  <c r="O122" i="13"/>
  <c r="N122" i="13"/>
  <c r="O121" i="13"/>
  <c r="N121" i="13"/>
  <c r="G73" i="3"/>
  <c r="G73" i="7"/>
  <c r="O119" i="13"/>
  <c r="N119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7" i="13"/>
  <c r="N7" i="13"/>
  <c r="O6" i="13"/>
  <c r="N6" i="13"/>
  <c r="H52" i="2"/>
  <c r="O110" i="13" l="1"/>
  <c r="N110" i="13"/>
  <c r="O108" i="13"/>
  <c r="N108" i="13"/>
  <c r="O107" i="13"/>
  <c r="N107" i="13"/>
  <c r="O106" i="13"/>
  <c r="N106" i="13"/>
  <c r="O104" i="13"/>
  <c r="N104" i="13"/>
  <c r="O103" i="13"/>
  <c r="N103" i="13"/>
  <c r="O102" i="13"/>
  <c r="N102" i="13"/>
  <c r="G96" i="3"/>
  <c r="G96" i="7"/>
  <c r="N747" i="12"/>
  <c r="M747" i="12"/>
  <c r="N746" i="12"/>
  <c r="M746" i="12"/>
  <c r="N745" i="12"/>
  <c r="M745" i="12"/>
  <c r="N744" i="12"/>
  <c r="M744" i="12"/>
  <c r="N743" i="12"/>
  <c r="M743" i="12"/>
  <c r="N742" i="12"/>
  <c r="M742" i="12"/>
  <c r="N741" i="12"/>
  <c r="M741" i="12"/>
  <c r="N740" i="12"/>
  <c r="M740" i="12"/>
  <c r="N739" i="12"/>
  <c r="M739" i="12"/>
  <c r="N738" i="12"/>
  <c r="M738" i="12"/>
  <c r="H45" i="2"/>
  <c r="H16" i="2"/>
  <c r="N737" i="12"/>
  <c r="M737" i="12"/>
  <c r="N736" i="12"/>
  <c r="M736" i="12"/>
  <c r="L46" i="12" l="1"/>
  <c r="L179" i="12"/>
  <c r="M43" i="13"/>
  <c r="G46" i="3" l="1"/>
  <c r="G46" i="7"/>
  <c r="G28" i="3"/>
  <c r="G28" i="7"/>
  <c r="N735" i="12"/>
  <c r="M735" i="12"/>
  <c r="N734" i="12"/>
  <c r="M734" i="12"/>
  <c r="G19" i="3"/>
  <c r="G19" i="7"/>
  <c r="N733" i="12"/>
  <c r="M733" i="12"/>
  <c r="N732" i="12"/>
  <c r="M732" i="12"/>
  <c r="G7" i="7"/>
  <c r="G36" i="7"/>
  <c r="G31" i="7"/>
  <c r="G23" i="7"/>
  <c r="N731" i="12" l="1"/>
  <c r="M731" i="12"/>
  <c r="N730" i="12"/>
  <c r="M730" i="12"/>
  <c r="G43" i="3"/>
  <c r="G43" i="7"/>
  <c r="G127" i="3"/>
  <c r="G127" i="7"/>
  <c r="N729" i="12" l="1"/>
  <c r="M729" i="12"/>
  <c r="N728" i="12"/>
  <c r="M728" i="12"/>
  <c r="H60" i="2"/>
  <c r="H22" i="2"/>
  <c r="O101" i="13" l="1"/>
  <c r="N101" i="13"/>
  <c r="O100" i="13"/>
  <c r="N100" i="13"/>
  <c r="G83" i="3"/>
  <c r="G47" i="3"/>
  <c r="G8" i="3"/>
  <c r="G8" i="7"/>
  <c r="N726" i="12"/>
  <c r="M726" i="12"/>
  <c r="N724" i="12"/>
  <c r="M724" i="12"/>
  <c r="G54" i="3"/>
  <c r="G54" i="7"/>
  <c r="N723" i="12"/>
  <c r="M723" i="12"/>
  <c r="N722" i="12"/>
  <c r="M722" i="12"/>
  <c r="G59" i="3"/>
  <c r="G59" i="7"/>
  <c r="G76" i="3"/>
  <c r="G76" i="7"/>
  <c r="N720" i="12" l="1"/>
  <c r="M720" i="12"/>
  <c r="N718" i="12"/>
  <c r="M718" i="12"/>
  <c r="G83" i="7"/>
  <c r="N97" i="13" l="1"/>
  <c r="O97" i="13"/>
  <c r="N98" i="13"/>
  <c r="O98" i="13"/>
  <c r="N99" i="13"/>
  <c r="O99" i="13"/>
  <c r="O96" i="13"/>
  <c r="N96" i="13"/>
  <c r="O95" i="13"/>
  <c r="N95" i="13"/>
  <c r="O94" i="13"/>
  <c r="N94" i="13"/>
  <c r="G62" i="7"/>
  <c r="O93" i="13"/>
  <c r="N93" i="13"/>
  <c r="O92" i="13"/>
  <c r="N92" i="13"/>
  <c r="O91" i="13"/>
  <c r="N91" i="13"/>
  <c r="O90" i="13"/>
  <c r="N90" i="13"/>
  <c r="O89" i="13"/>
  <c r="N89" i="13"/>
  <c r="O88" i="13"/>
  <c r="N88" i="13"/>
  <c r="N716" i="12" l="1"/>
  <c r="M716" i="12"/>
  <c r="O86" i="13"/>
  <c r="N86" i="13"/>
  <c r="O84" i="13"/>
  <c r="N84" i="13"/>
  <c r="O83" i="13"/>
  <c r="N83" i="13"/>
  <c r="O82" i="13"/>
  <c r="N82" i="13"/>
  <c r="G119" i="3"/>
  <c r="G101" i="3"/>
  <c r="G100" i="3"/>
  <c r="G98" i="3"/>
  <c r="G95" i="3"/>
  <c r="G93" i="3"/>
  <c r="G91" i="3"/>
  <c r="G79" i="3"/>
  <c r="G78" i="3"/>
  <c r="G75" i="3"/>
  <c r="G74" i="3"/>
  <c r="G71" i="3"/>
  <c r="G70" i="3"/>
  <c r="G69" i="3"/>
  <c r="G68" i="3"/>
  <c r="G67" i="3"/>
  <c r="G66" i="3"/>
  <c r="G58" i="3"/>
  <c r="G57" i="3"/>
  <c r="G56" i="3"/>
  <c r="G53" i="3"/>
  <c r="G51" i="3"/>
  <c r="G45" i="3"/>
  <c r="G44" i="3"/>
  <c r="G29" i="3"/>
  <c r="G25" i="3"/>
  <c r="G23" i="3"/>
  <c r="G119" i="7"/>
  <c r="G101" i="7"/>
  <c r="G100" i="7"/>
  <c r="G98" i="7"/>
  <c r="G95" i="7"/>
  <c r="G93" i="7"/>
  <c r="G92" i="7"/>
  <c r="G91" i="7"/>
  <c r="G79" i="7"/>
  <c r="G78" i="7"/>
  <c r="G75" i="7"/>
  <c r="G74" i="7"/>
  <c r="G71" i="7"/>
  <c r="G70" i="7"/>
  <c r="G69" i="7"/>
  <c r="G68" i="7"/>
  <c r="G66" i="7"/>
  <c r="G58" i="7"/>
  <c r="G56" i="7"/>
  <c r="G53" i="7"/>
  <c r="G51" i="7"/>
  <c r="G47" i="7"/>
  <c r="G44" i="7"/>
  <c r="G29" i="7"/>
  <c r="G25" i="7"/>
  <c r="G24" i="7"/>
  <c r="N715" i="12"/>
  <c r="M715" i="12"/>
  <c r="N714" i="12"/>
  <c r="M714" i="12"/>
  <c r="N712" i="12"/>
  <c r="M712" i="12"/>
  <c r="N710" i="12"/>
  <c r="M710" i="12"/>
  <c r="N709" i="12"/>
  <c r="M709" i="12"/>
  <c r="N708" i="12"/>
  <c r="M708" i="12"/>
  <c r="N707" i="12" l="1"/>
  <c r="M707" i="12"/>
  <c r="N706" i="12"/>
  <c r="M706" i="12"/>
  <c r="N705" i="12"/>
  <c r="M705" i="12"/>
  <c r="N704" i="12"/>
  <c r="M704" i="12"/>
  <c r="N702" i="12"/>
  <c r="M702" i="12"/>
  <c r="N700" i="12"/>
  <c r="M700" i="12"/>
  <c r="N699" i="12"/>
  <c r="M699" i="12"/>
  <c r="N698" i="12"/>
  <c r="M698" i="12"/>
  <c r="N697" i="12"/>
  <c r="M697" i="12"/>
  <c r="N696" i="12"/>
  <c r="M696" i="12"/>
  <c r="N695" i="12"/>
  <c r="M695" i="12"/>
  <c r="N694" i="12"/>
  <c r="M694" i="12"/>
  <c r="N689" i="12"/>
  <c r="M689" i="12"/>
  <c r="N684" i="12"/>
  <c r="M684" i="12"/>
  <c r="N681" i="12"/>
  <c r="M681" i="12"/>
  <c r="N678" i="12"/>
  <c r="M678" i="12"/>
  <c r="N677" i="12"/>
  <c r="M677" i="12"/>
  <c r="N676" i="12"/>
  <c r="M676" i="12"/>
  <c r="N675" i="12"/>
  <c r="M675" i="12"/>
  <c r="N674" i="12"/>
  <c r="M674" i="12"/>
  <c r="N673" i="12"/>
  <c r="M673" i="12"/>
  <c r="N672" i="12"/>
  <c r="M672" i="12"/>
  <c r="N671" i="12"/>
  <c r="M671" i="12"/>
  <c r="N670" i="12"/>
  <c r="M670" i="12"/>
  <c r="N669" i="12" l="1"/>
  <c r="M669" i="12"/>
  <c r="N668" i="12"/>
  <c r="M668" i="12"/>
  <c r="O81" i="13"/>
  <c r="N81" i="13"/>
  <c r="O80" i="13"/>
  <c r="N80" i="13"/>
  <c r="N667" i="12"/>
  <c r="M667" i="12"/>
  <c r="N666" i="12"/>
  <c r="M666" i="12"/>
  <c r="O52" i="14"/>
  <c r="I51" i="14"/>
  <c r="K51" i="14"/>
  <c r="I52" i="14"/>
  <c r="K52" i="14"/>
  <c r="E51" i="14"/>
  <c r="E52" i="14"/>
  <c r="F48" i="2"/>
  <c r="G62" i="2"/>
  <c r="L62" i="2" s="1"/>
  <c r="M51" i="14" s="1"/>
  <c r="O27" i="14"/>
  <c r="I26" i="14"/>
  <c r="K26" i="14"/>
  <c r="M26" i="14"/>
  <c r="I27" i="14"/>
  <c r="K27" i="14"/>
  <c r="M27" i="14"/>
  <c r="E26" i="14"/>
  <c r="E27" i="14"/>
  <c r="F19" i="2"/>
  <c r="G31" i="2"/>
  <c r="I31" i="2" s="1"/>
  <c r="O26" i="14"/>
  <c r="K25" i="14"/>
  <c r="M25" i="14"/>
  <c r="E25" i="14"/>
  <c r="I25" i="14"/>
  <c r="G30" i="2"/>
  <c r="I30" i="2" s="1"/>
  <c r="K30" i="2" s="1"/>
  <c r="L25" i="14" s="1"/>
  <c r="F30" i="2"/>
  <c r="O51" i="14"/>
  <c r="I50" i="14"/>
  <c r="K50" i="14"/>
  <c r="E50" i="14"/>
  <c r="G61" i="2"/>
  <c r="I61" i="2" l="1"/>
  <c r="K61" i="2" s="1"/>
  <c r="L50" i="14" s="1"/>
  <c r="L61" i="2"/>
  <c r="M50" i="14" s="1"/>
  <c r="H50" i="14"/>
  <c r="H51" i="14"/>
  <c r="I62" i="2"/>
  <c r="K31" i="2"/>
  <c r="L26" i="14" s="1"/>
  <c r="J26" i="14"/>
  <c r="J25" i="14"/>
  <c r="H26" i="14"/>
  <c r="H25" i="14"/>
  <c r="N476" i="12"/>
  <c r="M476" i="12"/>
  <c r="N474" i="12"/>
  <c r="M474" i="12"/>
  <c r="J50" i="14" l="1"/>
  <c r="K62" i="2"/>
  <c r="L51" i="14" s="1"/>
  <c r="J51" i="14"/>
  <c r="N665" i="12"/>
  <c r="M665" i="12"/>
  <c r="N664" i="12"/>
  <c r="M664" i="12"/>
  <c r="N663" i="12"/>
  <c r="M663" i="12"/>
  <c r="N662" i="12"/>
  <c r="M662" i="12"/>
  <c r="O79" i="13" l="1"/>
  <c r="N79" i="13"/>
  <c r="O78" i="13"/>
  <c r="N78" i="13"/>
  <c r="O77" i="13"/>
  <c r="N77" i="13"/>
  <c r="O76" i="13"/>
  <c r="N76" i="13"/>
  <c r="O75" i="13"/>
  <c r="N75" i="13"/>
  <c r="O74" i="13" l="1"/>
  <c r="N74" i="13"/>
  <c r="N661" i="12"/>
  <c r="M661" i="12"/>
  <c r="M607" i="12"/>
  <c r="N607" i="12"/>
  <c r="M608" i="12"/>
  <c r="N608" i="12"/>
  <c r="M609" i="12"/>
  <c r="N609" i="12"/>
  <c r="M610" i="12"/>
  <c r="N610" i="12"/>
  <c r="M611" i="12"/>
  <c r="N611" i="12"/>
  <c r="M612" i="12"/>
  <c r="N612" i="12"/>
  <c r="M613" i="12"/>
  <c r="N613" i="12"/>
  <c r="M614" i="12"/>
  <c r="N614" i="12"/>
  <c r="M615" i="12"/>
  <c r="N615" i="12"/>
  <c r="M616" i="12"/>
  <c r="N616" i="12"/>
  <c r="M617" i="12"/>
  <c r="N617" i="12"/>
  <c r="M618" i="12"/>
  <c r="N618" i="12"/>
  <c r="M619" i="12"/>
  <c r="N619" i="12"/>
  <c r="M620" i="12"/>
  <c r="N620" i="12"/>
  <c r="M621" i="12"/>
  <c r="N621" i="12"/>
  <c r="M622" i="12"/>
  <c r="N622" i="12"/>
  <c r="M623" i="12"/>
  <c r="N623" i="12"/>
  <c r="M624" i="12"/>
  <c r="N624" i="12"/>
  <c r="M625" i="12"/>
  <c r="N625" i="12"/>
  <c r="M626" i="12"/>
  <c r="N626" i="12"/>
  <c r="M627" i="12"/>
  <c r="N627" i="12"/>
  <c r="M628" i="12"/>
  <c r="N628" i="12"/>
  <c r="M629" i="12"/>
  <c r="N629" i="12"/>
  <c r="M630" i="12"/>
  <c r="N630" i="12"/>
  <c r="M631" i="12"/>
  <c r="N631" i="12"/>
  <c r="M632" i="12"/>
  <c r="N632" i="12"/>
  <c r="M633" i="12"/>
  <c r="N633" i="12"/>
  <c r="M634" i="12"/>
  <c r="N634" i="12"/>
  <c r="M635" i="12"/>
  <c r="N635" i="12"/>
  <c r="M636" i="12"/>
  <c r="N636" i="12"/>
  <c r="M637" i="12"/>
  <c r="N637" i="12"/>
  <c r="M638" i="12"/>
  <c r="N638" i="12"/>
  <c r="M639" i="12"/>
  <c r="N639" i="12"/>
  <c r="M640" i="12"/>
  <c r="N640" i="12"/>
  <c r="M641" i="12"/>
  <c r="N641" i="12"/>
  <c r="M642" i="12"/>
  <c r="N642" i="12"/>
  <c r="M643" i="12"/>
  <c r="N643" i="12"/>
  <c r="M644" i="12"/>
  <c r="N644" i="12"/>
  <c r="M645" i="12"/>
  <c r="N645" i="12"/>
  <c r="M646" i="12"/>
  <c r="N646" i="12"/>
  <c r="M647" i="12"/>
  <c r="N647" i="12"/>
  <c r="M648" i="12"/>
  <c r="N648" i="12"/>
  <c r="M649" i="12"/>
  <c r="N649" i="12"/>
  <c r="M650" i="12"/>
  <c r="N650" i="12"/>
  <c r="M651" i="12"/>
  <c r="N651" i="12"/>
  <c r="M652" i="12"/>
  <c r="N652" i="12"/>
  <c r="M653" i="12"/>
  <c r="N653" i="12"/>
  <c r="M654" i="12"/>
  <c r="N654" i="12"/>
  <c r="M655" i="12"/>
  <c r="N655" i="12"/>
  <c r="M656" i="12"/>
  <c r="N656" i="12"/>
  <c r="M657" i="12"/>
  <c r="N657" i="12"/>
  <c r="M658" i="12"/>
  <c r="N658" i="12"/>
  <c r="M659" i="12"/>
  <c r="N659" i="12"/>
  <c r="M660" i="12"/>
  <c r="N660" i="12"/>
  <c r="N606" i="12"/>
  <c r="M606" i="12"/>
  <c r="N605" i="12"/>
  <c r="M605" i="12"/>
  <c r="N604" i="12"/>
  <c r="M604" i="12"/>
  <c r="N600" i="12" l="1"/>
  <c r="M600" i="12"/>
  <c r="N596" i="12"/>
  <c r="M596" i="12"/>
  <c r="N594" i="12" l="1"/>
  <c r="M594" i="12"/>
  <c r="N592" i="12"/>
  <c r="M592" i="12"/>
  <c r="N590" i="12"/>
  <c r="M590" i="12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 l="1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N589" i="12" l="1"/>
  <c r="M589" i="12"/>
  <c r="N588" i="12"/>
  <c r="M588" i="12"/>
  <c r="N587" i="12"/>
  <c r="M587" i="12"/>
  <c r="N586" i="12"/>
  <c r="M586" i="12"/>
  <c r="N585" i="12"/>
  <c r="M585" i="12"/>
  <c r="N584" i="12"/>
  <c r="M584" i="12"/>
  <c r="N583" i="12" l="1"/>
  <c r="M583" i="12"/>
  <c r="N582" i="12"/>
  <c r="M582" i="12"/>
  <c r="N580" i="12"/>
  <c r="M580" i="12"/>
  <c r="N578" i="12"/>
  <c r="M578" i="12"/>
  <c r="N575" i="12"/>
  <c r="M575" i="12"/>
  <c r="N572" i="12"/>
  <c r="M572" i="12"/>
  <c r="N569" i="12"/>
  <c r="M569" i="12"/>
  <c r="N566" i="12"/>
  <c r="M566" i="12"/>
  <c r="N562" i="12"/>
  <c r="M562" i="12"/>
  <c r="N558" i="12"/>
  <c r="M558" i="12"/>
  <c r="N557" i="12"/>
  <c r="M557" i="12"/>
  <c r="N556" i="12"/>
  <c r="M556" i="12"/>
  <c r="N555" i="12"/>
  <c r="M555" i="12"/>
  <c r="N554" i="12"/>
  <c r="M554" i="12"/>
  <c r="N553" i="12"/>
  <c r="M553" i="12"/>
  <c r="N552" i="12"/>
  <c r="M552" i="12"/>
  <c r="N551" i="12"/>
  <c r="M551" i="12"/>
  <c r="N550" i="12"/>
  <c r="M550" i="12"/>
  <c r="N549" i="12"/>
  <c r="M549" i="12"/>
  <c r="N548" i="12"/>
  <c r="M548" i="12"/>
  <c r="N547" i="12"/>
  <c r="M547" i="12"/>
  <c r="N546" i="12"/>
  <c r="M546" i="12"/>
  <c r="N545" i="12"/>
  <c r="M545" i="12"/>
  <c r="N544" i="12"/>
  <c r="M544" i="12"/>
  <c r="N542" i="12"/>
  <c r="M542" i="12"/>
  <c r="N540" i="12"/>
  <c r="M540" i="12"/>
  <c r="N538" i="12"/>
  <c r="M538" i="12"/>
  <c r="N536" i="12"/>
  <c r="M536" i="12"/>
  <c r="N532" i="12"/>
  <c r="M532" i="12"/>
  <c r="N528" i="12"/>
  <c r="M528" i="12"/>
  <c r="N527" i="12"/>
  <c r="M527" i="12"/>
  <c r="N526" i="12"/>
  <c r="M526" i="12"/>
  <c r="N524" i="12"/>
  <c r="M524" i="12"/>
  <c r="N522" i="12"/>
  <c r="M522" i="12"/>
  <c r="N512" i="12"/>
  <c r="M512" i="12"/>
  <c r="N510" i="12"/>
  <c r="M510" i="12"/>
  <c r="N508" i="12"/>
  <c r="M508" i="12"/>
  <c r="N506" i="12"/>
  <c r="M506" i="12"/>
  <c r="N518" i="12"/>
  <c r="M518" i="12"/>
  <c r="N514" i="12"/>
  <c r="M514" i="12"/>
  <c r="N37" i="13" l="1"/>
  <c r="O37" i="13"/>
  <c r="N38" i="13"/>
  <c r="O38" i="13"/>
  <c r="N39" i="13"/>
  <c r="O39" i="13"/>
  <c r="N40" i="13"/>
  <c r="O40" i="13"/>
  <c r="N41" i="13"/>
  <c r="O41" i="13"/>
  <c r="N42" i="13"/>
  <c r="O42" i="13"/>
  <c r="N43" i="13"/>
  <c r="O43" i="13"/>
  <c r="N44" i="13"/>
  <c r="O44" i="13"/>
  <c r="N45" i="13"/>
  <c r="O45" i="13"/>
  <c r="N46" i="13"/>
  <c r="O46" i="13"/>
  <c r="N47" i="13"/>
  <c r="O47" i="13"/>
  <c r="N48" i="13"/>
  <c r="O48" i="13"/>
  <c r="N49" i="13"/>
  <c r="O49" i="13"/>
  <c r="N50" i="13"/>
  <c r="O50" i="13"/>
  <c r="N51" i="13"/>
  <c r="O51" i="13"/>
  <c r="N52" i="13"/>
  <c r="O52" i="13"/>
  <c r="N53" i="13"/>
  <c r="O53" i="13"/>
  <c r="N54" i="13"/>
  <c r="O54" i="13"/>
  <c r="N55" i="13"/>
  <c r="O55" i="13"/>
  <c r="N56" i="13"/>
  <c r="O56" i="13"/>
  <c r="N57" i="13"/>
  <c r="O57" i="13"/>
  <c r="N58" i="13"/>
  <c r="O58" i="13"/>
  <c r="O36" i="13"/>
  <c r="N36" i="13"/>
  <c r="O35" i="13"/>
  <c r="N35" i="13"/>
  <c r="O34" i="13"/>
  <c r="N34" i="13"/>
  <c r="O33" i="13"/>
  <c r="N33" i="13"/>
  <c r="N505" i="12" l="1"/>
  <c r="M505" i="12"/>
  <c r="N504" i="12"/>
  <c r="M504" i="12"/>
  <c r="N503" i="12" l="1"/>
  <c r="M503" i="12"/>
  <c r="N502" i="12"/>
  <c r="M502" i="12"/>
  <c r="O32" i="13"/>
  <c r="N32" i="13"/>
  <c r="O31" i="13"/>
  <c r="N31" i="13"/>
  <c r="N501" i="12"/>
  <c r="M501" i="12"/>
  <c r="N500" i="12"/>
  <c r="M500" i="12"/>
  <c r="N496" i="12"/>
  <c r="M496" i="12"/>
  <c r="N492" i="12"/>
  <c r="M492" i="12"/>
  <c r="N491" i="12" l="1"/>
  <c r="M491" i="12"/>
  <c r="N490" i="12"/>
  <c r="M490" i="12"/>
  <c r="N489" i="12"/>
  <c r="M489" i="12"/>
  <c r="N488" i="12"/>
  <c r="M488" i="12"/>
  <c r="N487" i="12"/>
  <c r="M487" i="12"/>
  <c r="N486" i="12"/>
  <c r="M486" i="12"/>
  <c r="O30" i="13"/>
  <c r="N30" i="13"/>
  <c r="L178" i="12"/>
  <c r="O29" i="13" l="1"/>
  <c r="N29" i="13"/>
  <c r="O28" i="13"/>
  <c r="N28" i="13"/>
  <c r="N485" i="12"/>
  <c r="M485" i="12"/>
  <c r="N484" i="12"/>
  <c r="M484" i="12"/>
  <c r="N483" i="12"/>
  <c r="M483" i="12"/>
  <c r="N482" i="12"/>
  <c r="M482" i="12"/>
  <c r="N481" i="12"/>
  <c r="M481" i="12"/>
  <c r="N480" i="12"/>
  <c r="M480" i="12"/>
  <c r="N479" i="12"/>
  <c r="M479" i="12"/>
  <c r="N478" i="12"/>
  <c r="M478" i="12"/>
  <c r="N472" i="12"/>
  <c r="M472" i="12"/>
  <c r="N470" i="12"/>
  <c r="M470" i="12"/>
  <c r="N469" i="12"/>
  <c r="M469" i="12"/>
  <c r="N468" i="12"/>
  <c r="M468" i="12"/>
  <c r="N467" i="12"/>
  <c r="M467" i="12"/>
  <c r="N463" i="12"/>
  <c r="M463" i="12"/>
  <c r="N461" i="12"/>
  <c r="M461" i="12"/>
  <c r="N457" i="12"/>
  <c r="M457" i="12"/>
  <c r="N454" i="12"/>
  <c r="M454" i="12"/>
  <c r="N451" i="12"/>
  <c r="M451" i="12"/>
  <c r="N449" i="12"/>
  <c r="M449" i="12"/>
  <c r="N447" i="12"/>
  <c r="M447" i="12"/>
  <c r="M445" i="12"/>
  <c r="N445" i="12"/>
  <c r="M446" i="12"/>
  <c r="N446" i="12"/>
  <c r="N444" i="12"/>
  <c r="M444" i="12"/>
  <c r="N443" i="12"/>
  <c r="M443" i="12"/>
  <c r="O27" i="13"/>
  <c r="N27" i="13"/>
  <c r="O26" i="13"/>
  <c r="N26" i="13"/>
  <c r="M421" i="12"/>
  <c r="N421" i="12"/>
  <c r="M422" i="12"/>
  <c r="N422" i="12"/>
  <c r="M423" i="12"/>
  <c r="N423" i="12"/>
  <c r="M424" i="12"/>
  <c r="N424" i="12"/>
  <c r="M425" i="12"/>
  <c r="N425" i="12"/>
  <c r="M426" i="12"/>
  <c r="N426" i="12"/>
  <c r="M427" i="12"/>
  <c r="N427" i="12"/>
  <c r="M428" i="12"/>
  <c r="N428" i="12"/>
  <c r="M429" i="12"/>
  <c r="N429" i="12"/>
  <c r="M430" i="12"/>
  <c r="N430" i="12"/>
  <c r="M433" i="12"/>
  <c r="N433" i="12"/>
  <c r="M434" i="12"/>
  <c r="N434" i="12"/>
  <c r="M435" i="12"/>
  <c r="N435" i="12"/>
  <c r="M436" i="12"/>
  <c r="N436" i="12"/>
  <c r="M437" i="12"/>
  <c r="N437" i="12"/>
  <c r="M438" i="12"/>
  <c r="N438" i="12"/>
  <c r="M439" i="12"/>
  <c r="N439" i="12"/>
  <c r="M440" i="12"/>
  <c r="N440" i="12"/>
  <c r="M441" i="12"/>
  <c r="N441" i="12"/>
  <c r="M442" i="12"/>
  <c r="N442" i="12"/>
  <c r="N420" i="12"/>
  <c r="M420" i="12"/>
  <c r="N419" i="12"/>
  <c r="M419" i="12"/>
  <c r="J24" i="15"/>
  <c r="J22" i="15"/>
  <c r="J21" i="15"/>
  <c r="J20" i="15"/>
  <c r="O25" i="13" l="1"/>
  <c r="N25" i="13"/>
  <c r="O24" i="13"/>
  <c r="N24" i="13"/>
  <c r="N418" i="12"/>
  <c r="M418" i="12"/>
  <c r="N417" i="12"/>
  <c r="M417" i="12"/>
  <c r="N416" i="12" l="1"/>
  <c r="M416" i="12"/>
  <c r="N415" i="12"/>
  <c r="M415" i="12"/>
  <c r="N414" i="12"/>
  <c r="M414" i="12"/>
  <c r="N413" i="12"/>
  <c r="M413" i="12"/>
  <c r="N412" i="12" l="1"/>
  <c r="M412" i="12"/>
  <c r="N410" i="12"/>
  <c r="M410" i="12"/>
  <c r="N408" i="12"/>
  <c r="M408" i="12"/>
  <c r="O23" i="13"/>
  <c r="N23" i="13"/>
  <c r="H51" i="2"/>
  <c r="I103" i="3"/>
  <c r="N407" i="12"/>
  <c r="M407" i="12"/>
  <c r="N406" i="12"/>
  <c r="M406" i="12"/>
  <c r="N405" i="12"/>
  <c r="M405" i="12"/>
  <c r="N404" i="12"/>
  <c r="M404" i="12"/>
  <c r="N403" i="12"/>
  <c r="M403" i="12"/>
  <c r="N402" i="12"/>
  <c r="M402" i="12"/>
  <c r="I103" i="7"/>
  <c r="N401" i="12"/>
  <c r="M401" i="12"/>
  <c r="N400" i="12"/>
  <c r="M400" i="12"/>
  <c r="N399" i="12"/>
  <c r="M399" i="12"/>
  <c r="N398" i="12"/>
  <c r="M398" i="12"/>
  <c r="N397" i="12"/>
  <c r="M397" i="12"/>
  <c r="N396" i="12"/>
  <c r="M396" i="12"/>
  <c r="G18" i="3"/>
  <c r="G18" i="7"/>
  <c r="I121" i="3"/>
  <c r="I121" i="7"/>
  <c r="I107" i="7"/>
  <c r="I107" i="3"/>
  <c r="N238" i="21" l="1"/>
  <c r="N222" i="21"/>
  <c r="N206" i="21"/>
  <c r="N197" i="21"/>
  <c r="N180" i="21"/>
  <c r="N187" i="21"/>
  <c r="N194" i="21"/>
  <c r="N201" i="21"/>
  <c r="N210" i="21"/>
  <c r="N219" i="21"/>
  <c r="N226" i="21"/>
  <c r="N229" i="21"/>
  <c r="N262" i="21"/>
  <c r="N242" i="21"/>
  <c r="N236" i="21"/>
  <c r="N234" i="21"/>
  <c r="N232" i="21"/>
  <c r="N217" i="21"/>
  <c r="N215" i="21"/>
  <c r="N213" i="21"/>
  <c r="N204" i="21"/>
  <c r="N192" i="21"/>
  <c r="N190" i="21"/>
  <c r="N185" i="21"/>
  <c r="N183" i="21"/>
  <c r="N178" i="21"/>
  <c r="N176" i="21"/>
  <c r="N173" i="21"/>
  <c r="N169" i="21"/>
  <c r="N167" i="21"/>
  <c r="N165" i="21"/>
  <c r="N163" i="21"/>
  <c r="N161" i="21"/>
  <c r="N159" i="21"/>
  <c r="L236" i="21"/>
  <c r="K236" i="21"/>
  <c r="L161" i="21"/>
  <c r="K161" i="21"/>
  <c r="L159" i="21"/>
  <c r="K159" i="21"/>
  <c r="M236" i="21" l="1"/>
  <c r="M161" i="21"/>
  <c r="M159" i="21"/>
  <c r="M214" i="12" l="1"/>
  <c r="N214" i="12"/>
  <c r="O10" i="13"/>
  <c r="N10" i="13"/>
  <c r="O5" i="13"/>
  <c r="N5" i="13"/>
  <c r="O4" i="13"/>
  <c r="N4" i="13"/>
  <c r="O12" i="13"/>
  <c r="N12" i="13"/>
  <c r="O11" i="13"/>
  <c r="N11" i="13"/>
  <c r="O16" i="13"/>
  <c r="N16" i="13"/>
  <c r="O15" i="13"/>
  <c r="N15" i="13"/>
  <c r="O14" i="13"/>
  <c r="N14" i="13"/>
  <c r="O13" i="13"/>
  <c r="N13" i="13"/>
  <c r="N267" i="14"/>
  <c r="N148" i="14"/>
  <c r="O9" i="13"/>
  <c r="N9" i="13"/>
  <c r="O8" i="13"/>
  <c r="N8" i="13"/>
  <c r="M37" i="12"/>
  <c r="N37" i="12"/>
  <c r="M38" i="12"/>
  <c r="N38" i="12"/>
  <c r="O18" i="13"/>
  <c r="N18" i="13"/>
  <c r="O17" i="13"/>
  <c r="N17" i="13"/>
  <c r="O22" i="13"/>
  <c r="N22" i="13"/>
  <c r="O21" i="13"/>
  <c r="N21" i="13"/>
  <c r="N20" i="13"/>
  <c r="O20" i="13"/>
  <c r="O19" i="13"/>
  <c r="N19" i="13"/>
  <c r="N392" i="12"/>
  <c r="M392" i="12"/>
  <c r="N388" i="12"/>
  <c r="M388" i="12"/>
  <c r="N384" i="12"/>
  <c r="M384" i="12"/>
  <c r="N380" i="12"/>
  <c r="M380" i="12"/>
  <c r="N366" i="12"/>
  <c r="M366" i="12"/>
  <c r="N364" i="12"/>
  <c r="M364" i="12"/>
  <c r="N378" i="12"/>
  <c r="M378" i="12"/>
  <c r="N376" i="12"/>
  <c r="M376" i="12"/>
  <c r="N374" i="12"/>
  <c r="M374" i="12"/>
  <c r="N372" i="12"/>
  <c r="M372" i="12"/>
  <c r="N370" i="12"/>
  <c r="M370" i="12"/>
  <c r="N368" i="12"/>
  <c r="M368" i="12"/>
  <c r="N363" i="12"/>
  <c r="M363" i="12"/>
  <c r="N362" i="12"/>
  <c r="M362" i="12"/>
  <c r="M342" i="12"/>
  <c r="N342" i="12"/>
  <c r="M343" i="12"/>
  <c r="N343" i="12"/>
  <c r="M344" i="12"/>
  <c r="N344" i="12"/>
  <c r="M345" i="12"/>
  <c r="N345" i="12"/>
  <c r="M346" i="12"/>
  <c r="N346" i="12"/>
  <c r="M347" i="12"/>
  <c r="N347" i="12"/>
  <c r="M348" i="12"/>
  <c r="N348" i="12"/>
  <c r="M349" i="12"/>
  <c r="N349" i="12"/>
  <c r="M350" i="12"/>
  <c r="N350" i="12"/>
  <c r="M351" i="12"/>
  <c r="N351" i="12"/>
  <c r="M352" i="12"/>
  <c r="N352" i="12"/>
  <c r="M353" i="12"/>
  <c r="N353" i="12"/>
  <c r="M354" i="12"/>
  <c r="N354" i="12"/>
  <c r="M355" i="12"/>
  <c r="N355" i="12"/>
  <c r="M356" i="12"/>
  <c r="N356" i="12"/>
  <c r="M357" i="12"/>
  <c r="N357" i="12"/>
  <c r="M358" i="12"/>
  <c r="N358" i="12"/>
  <c r="M359" i="12"/>
  <c r="N359" i="12"/>
  <c r="M360" i="12"/>
  <c r="N360" i="12"/>
  <c r="M361" i="12"/>
  <c r="N361" i="12"/>
  <c r="N341" i="12"/>
  <c r="M341" i="12"/>
  <c r="N340" i="12"/>
  <c r="M340" i="12"/>
  <c r="M312" i="12"/>
  <c r="N312" i="12"/>
  <c r="M313" i="12"/>
  <c r="N313" i="12"/>
  <c r="M314" i="12"/>
  <c r="N314" i="12"/>
  <c r="M315" i="12"/>
  <c r="N315" i="12"/>
  <c r="M316" i="12"/>
  <c r="N316" i="12"/>
  <c r="M317" i="12"/>
  <c r="N317" i="12"/>
  <c r="M318" i="12"/>
  <c r="N318" i="12"/>
  <c r="M319" i="12"/>
  <c r="N319" i="12"/>
  <c r="M320" i="12"/>
  <c r="N320" i="12"/>
  <c r="M321" i="12"/>
  <c r="N321" i="12"/>
  <c r="M322" i="12"/>
  <c r="N322" i="12"/>
  <c r="M323" i="12"/>
  <c r="N323" i="12"/>
  <c r="M324" i="12"/>
  <c r="N324" i="12"/>
  <c r="M325" i="12"/>
  <c r="N325" i="12"/>
  <c r="M326" i="12"/>
  <c r="N326" i="12"/>
  <c r="M327" i="12"/>
  <c r="N327" i="12"/>
  <c r="M328" i="12"/>
  <c r="N328" i="12"/>
  <c r="M329" i="12"/>
  <c r="N329" i="12"/>
  <c r="M330" i="12"/>
  <c r="N330" i="12"/>
  <c r="M331" i="12"/>
  <c r="N331" i="12"/>
  <c r="M332" i="12"/>
  <c r="N332" i="12"/>
  <c r="M333" i="12"/>
  <c r="N333" i="12"/>
  <c r="M334" i="12"/>
  <c r="N334" i="12"/>
  <c r="M335" i="12"/>
  <c r="N335" i="12"/>
  <c r="M336" i="12"/>
  <c r="N336" i="12"/>
  <c r="M337" i="12"/>
  <c r="N337" i="12"/>
  <c r="M338" i="12"/>
  <c r="N338" i="12"/>
  <c r="M339" i="12"/>
  <c r="N339" i="12"/>
  <c r="N311" i="12"/>
  <c r="M311" i="12"/>
  <c r="N310" i="12"/>
  <c r="M310" i="12"/>
  <c r="N303" i="12"/>
  <c r="M303" i="12"/>
  <c r="N302" i="12"/>
  <c r="M302" i="12"/>
  <c r="N307" i="12"/>
  <c r="M307" i="12"/>
  <c r="N304" i="12"/>
  <c r="M304" i="12"/>
  <c r="M296" i="12" l="1"/>
  <c r="N296" i="12"/>
  <c r="M297" i="12"/>
  <c r="N297" i="12"/>
  <c r="M298" i="12"/>
  <c r="N298" i="12"/>
  <c r="M299" i="12"/>
  <c r="N299" i="12"/>
  <c r="M300" i="12"/>
  <c r="N300" i="12"/>
  <c r="M301" i="12"/>
  <c r="N301" i="12"/>
  <c r="N295" i="12"/>
  <c r="M295" i="12"/>
  <c r="N294" i="12"/>
  <c r="M294" i="12"/>
  <c r="N292" i="12"/>
  <c r="M292" i="12"/>
  <c r="N290" i="12"/>
  <c r="M290" i="12"/>
  <c r="M289" i="12" l="1"/>
  <c r="N289" i="12"/>
  <c r="M288" i="12"/>
  <c r="N288" i="12"/>
  <c r="I13" i="3" l="1"/>
  <c r="I16" i="3"/>
  <c r="I21" i="3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106" i="17" l="1"/>
  <c r="N287" i="12" l="1"/>
  <c r="M287" i="12"/>
  <c r="N286" i="12"/>
  <c r="M286" i="12"/>
  <c r="N285" i="12"/>
  <c r="M285" i="12"/>
  <c r="N284" i="12"/>
  <c r="M284" i="12"/>
  <c r="H58" i="2"/>
  <c r="G13" i="3"/>
  <c r="F27" i="1" s="1"/>
  <c r="G104" i="3"/>
  <c r="G108" i="3"/>
  <c r="N282" i="12"/>
  <c r="M282" i="12"/>
  <c r="N280" i="12"/>
  <c r="M280" i="12"/>
  <c r="N276" i="12"/>
  <c r="M276" i="12"/>
  <c r="N272" i="12"/>
  <c r="M272" i="12"/>
  <c r="M271" i="12" l="1"/>
  <c r="N271" i="12"/>
  <c r="M269" i="12"/>
  <c r="N269" i="12"/>
  <c r="M267" i="12"/>
  <c r="N267" i="12"/>
  <c r="M265" i="12"/>
  <c r="N265" i="12"/>
  <c r="M263" i="12"/>
  <c r="N263" i="12"/>
  <c r="M261" i="12"/>
  <c r="N261" i="12"/>
  <c r="M259" i="12"/>
  <c r="N259" i="12"/>
  <c r="M257" i="12"/>
  <c r="N257" i="12"/>
  <c r="M270" i="12"/>
  <c r="N270" i="12"/>
  <c r="M268" i="12"/>
  <c r="N268" i="12"/>
  <c r="M266" i="12"/>
  <c r="N266" i="12"/>
  <c r="M264" i="12"/>
  <c r="N264" i="12"/>
  <c r="M262" i="12"/>
  <c r="N262" i="12"/>
  <c r="M260" i="12"/>
  <c r="N260" i="12"/>
  <c r="M258" i="12"/>
  <c r="N258" i="12"/>
  <c r="M256" i="12"/>
  <c r="N256" i="12"/>
  <c r="O25" i="14"/>
  <c r="O24" i="14"/>
  <c r="O23" i="14"/>
  <c r="I23" i="14"/>
  <c r="K23" i="14"/>
  <c r="M23" i="14"/>
  <c r="I24" i="14"/>
  <c r="K24" i="14"/>
  <c r="M24" i="14"/>
  <c r="E23" i="14"/>
  <c r="E24" i="14"/>
  <c r="M255" i="12"/>
  <c r="N255" i="12"/>
  <c r="M254" i="12"/>
  <c r="N254" i="12"/>
  <c r="M252" i="12" l="1"/>
  <c r="N252" i="12"/>
  <c r="M253" i="12"/>
  <c r="N253" i="12"/>
  <c r="J33" i="2"/>
  <c r="G32" i="2"/>
  <c r="H27" i="14" s="1"/>
  <c r="F28" i="2"/>
  <c r="F29" i="2"/>
  <c r="G29" i="2" s="1"/>
  <c r="M251" i="12"/>
  <c r="N251" i="12"/>
  <c r="N250" i="12"/>
  <c r="M250" i="12"/>
  <c r="I29" i="2" l="1"/>
  <c r="K29" i="2" s="1"/>
  <c r="L24" i="14" s="1"/>
  <c r="H24" i="14"/>
  <c r="I32" i="2"/>
  <c r="J27" i="14" s="1"/>
  <c r="G28" i="2"/>
  <c r="N248" i="12"/>
  <c r="M248" i="12"/>
  <c r="N246" i="12"/>
  <c r="M246" i="12"/>
  <c r="I104" i="7"/>
  <c r="N244" i="12"/>
  <c r="M244" i="12"/>
  <c r="N242" i="12"/>
  <c r="M242" i="12"/>
  <c r="M212" i="12"/>
  <c r="N212" i="12"/>
  <c r="M216" i="12"/>
  <c r="N216" i="12"/>
  <c r="M218" i="12"/>
  <c r="N218" i="12"/>
  <c r="M220" i="12"/>
  <c r="N220" i="12"/>
  <c r="M222" i="12"/>
  <c r="N222" i="12"/>
  <c r="M224" i="12"/>
  <c r="N224" i="12"/>
  <c r="M226" i="12"/>
  <c r="N226" i="12"/>
  <c r="M228" i="12"/>
  <c r="N228" i="12"/>
  <c r="M230" i="12"/>
  <c r="N230" i="12"/>
  <c r="M232" i="12"/>
  <c r="N232" i="12"/>
  <c r="M234" i="12"/>
  <c r="N234" i="12"/>
  <c r="M236" i="12"/>
  <c r="N236" i="12"/>
  <c r="M238" i="12"/>
  <c r="N238" i="12"/>
  <c r="M240" i="12"/>
  <c r="N240" i="12"/>
  <c r="M213" i="12"/>
  <c r="N213" i="12"/>
  <c r="M215" i="12"/>
  <c r="N215" i="12"/>
  <c r="M217" i="12"/>
  <c r="N217" i="12"/>
  <c r="M219" i="12"/>
  <c r="N219" i="12"/>
  <c r="M221" i="12"/>
  <c r="N221" i="12"/>
  <c r="M223" i="12"/>
  <c r="N223" i="12"/>
  <c r="M225" i="12"/>
  <c r="N225" i="12"/>
  <c r="M227" i="12"/>
  <c r="N227" i="12"/>
  <c r="M229" i="12"/>
  <c r="N229" i="12"/>
  <c r="M231" i="12"/>
  <c r="N231" i="12"/>
  <c r="M233" i="12"/>
  <c r="N233" i="12"/>
  <c r="M235" i="12"/>
  <c r="N235" i="12"/>
  <c r="M237" i="12"/>
  <c r="N237" i="12"/>
  <c r="M239" i="12"/>
  <c r="N239" i="12"/>
  <c r="M241" i="12"/>
  <c r="N241" i="12"/>
  <c r="H64" i="2"/>
  <c r="N208" i="12"/>
  <c r="M208" i="12"/>
  <c r="N204" i="12"/>
  <c r="M204" i="12"/>
  <c r="J24" i="14" l="1"/>
  <c r="I28" i="2"/>
  <c r="J23" i="14" s="1"/>
  <c r="H23" i="14"/>
  <c r="K32" i="2"/>
  <c r="L27" i="14" s="1"/>
  <c r="N202" i="12"/>
  <c r="M202" i="12"/>
  <c r="K28" i="2" l="1"/>
  <c r="L23" i="14" s="1"/>
  <c r="M201" i="12"/>
  <c r="N201" i="12"/>
  <c r="M200" i="12"/>
  <c r="N200" i="12"/>
  <c r="M199" i="12"/>
  <c r="N199" i="12"/>
  <c r="M197" i="12"/>
  <c r="N197" i="12"/>
  <c r="M195" i="12"/>
  <c r="N195" i="12"/>
  <c r="M193" i="12"/>
  <c r="N193" i="12"/>
  <c r="M191" i="12"/>
  <c r="N191" i="12"/>
  <c r="M189" i="12"/>
  <c r="N189" i="12"/>
  <c r="M187" i="12"/>
  <c r="N187" i="12"/>
  <c r="M185" i="12"/>
  <c r="N185" i="12"/>
  <c r="M183" i="12"/>
  <c r="N183" i="12"/>
  <c r="M181" i="12"/>
  <c r="N181" i="12"/>
  <c r="M179" i="12"/>
  <c r="N179" i="12"/>
  <c r="M177" i="12"/>
  <c r="N177" i="12"/>
  <c r="M175" i="12"/>
  <c r="N175" i="12"/>
  <c r="M173" i="12"/>
  <c r="N173" i="12"/>
  <c r="M171" i="12"/>
  <c r="N171" i="12"/>
  <c r="M169" i="12"/>
  <c r="N169" i="12"/>
  <c r="M167" i="12"/>
  <c r="N167" i="12"/>
  <c r="M165" i="12"/>
  <c r="N165" i="12"/>
  <c r="M172" i="12"/>
  <c r="N172" i="12"/>
  <c r="M174" i="12"/>
  <c r="N174" i="12"/>
  <c r="M176" i="12"/>
  <c r="N176" i="12"/>
  <c r="M178" i="12"/>
  <c r="N178" i="12"/>
  <c r="M180" i="12"/>
  <c r="N180" i="12"/>
  <c r="M182" i="12"/>
  <c r="N182" i="12"/>
  <c r="M184" i="12"/>
  <c r="N184" i="12"/>
  <c r="M186" i="12"/>
  <c r="N186" i="12"/>
  <c r="M188" i="12"/>
  <c r="N188" i="12"/>
  <c r="M190" i="12"/>
  <c r="N190" i="12"/>
  <c r="M192" i="12"/>
  <c r="N192" i="12"/>
  <c r="M194" i="12"/>
  <c r="N194" i="12"/>
  <c r="M196" i="12"/>
  <c r="N196" i="12"/>
  <c r="M198" i="12"/>
  <c r="N198" i="12"/>
  <c r="N170" i="12"/>
  <c r="M170" i="12"/>
  <c r="N168" i="12"/>
  <c r="M168" i="12"/>
  <c r="N166" i="12"/>
  <c r="M166" i="12"/>
  <c r="N164" i="12"/>
  <c r="M164" i="12"/>
  <c r="M148" i="12" l="1"/>
  <c r="N148" i="12"/>
  <c r="N145" i="12"/>
  <c r="M145" i="12"/>
  <c r="N143" i="12"/>
  <c r="M143" i="12"/>
  <c r="N141" i="12"/>
  <c r="M141" i="12"/>
  <c r="N139" i="12"/>
  <c r="M139" i="12"/>
  <c r="N161" i="12"/>
  <c r="M161" i="12"/>
  <c r="N158" i="12"/>
  <c r="M158" i="12"/>
  <c r="N150" i="12"/>
  <c r="M150" i="12"/>
  <c r="N146" i="12"/>
  <c r="M146" i="12"/>
  <c r="N144" i="12"/>
  <c r="M144" i="12"/>
  <c r="N142" i="12"/>
  <c r="M142" i="12"/>
  <c r="N140" i="12"/>
  <c r="M140" i="12"/>
  <c r="N138" i="12"/>
  <c r="M138" i="12"/>
  <c r="N154" i="12"/>
  <c r="M154" i="12"/>
  <c r="M111" i="12" l="1"/>
  <c r="N111" i="12"/>
  <c r="M113" i="12"/>
  <c r="N113" i="12"/>
  <c r="M115" i="12"/>
  <c r="N115" i="12"/>
  <c r="M117" i="12"/>
  <c r="N117" i="12"/>
  <c r="M121" i="12"/>
  <c r="N121" i="12"/>
  <c r="M127" i="12"/>
  <c r="N127" i="12"/>
  <c r="M134" i="12"/>
  <c r="N134" i="12"/>
  <c r="N130" i="12"/>
  <c r="M130" i="12"/>
  <c r="N124" i="12"/>
  <c r="M124" i="12"/>
  <c r="N118" i="12"/>
  <c r="M118" i="12"/>
  <c r="M112" i="12"/>
  <c r="N112" i="12"/>
  <c r="M114" i="12"/>
  <c r="N114" i="12"/>
  <c r="M116" i="12"/>
  <c r="N116" i="12"/>
  <c r="N110" i="12"/>
  <c r="M110" i="12"/>
  <c r="M89" i="12"/>
  <c r="N89" i="12"/>
  <c r="M91" i="12"/>
  <c r="N91" i="12"/>
  <c r="M93" i="12"/>
  <c r="N93" i="12"/>
  <c r="M95" i="12"/>
  <c r="N95" i="12"/>
  <c r="M97" i="12"/>
  <c r="N97" i="12"/>
  <c r="M102" i="12"/>
  <c r="N102" i="12"/>
  <c r="M108" i="12"/>
  <c r="N108" i="12"/>
  <c r="N106" i="12"/>
  <c r="M106" i="12"/>
  <c r="N98" i="12"/>
  <c r="M98" i="12"/>
  <c r="M96" i="12"/>
  <c r="N96" i="12"/>
  <c r="M94" i="12"/>
  <c r="N94" i="12"/>
  <c r="M92" i="12"/>
  <c r="N92" i="12"/>
  <c r="M90" i="12"/>
  <c r="N90" i="12"/>
  <c r="M88" i="12"/>
  <c r="N88" i="12"/>
  <c r="L242" i="21" l="1"/>
  <c r="K242" i="21"/>
  <c r="H242" i="21"/>
  <c r="M242" i="21" l="1"/>
  <c r="M87" i="12"/>
  <c r="N87" i="12"/>
  <c r="M85" i="12"/>
  <c r="N85" i="12"/>
  <c r="M83" i="12"/>
  <c r="N83" i="12"/>
  <c r="M81" i="12"/>
  <c r="N81" i="12"/>
  <c r="M79" i="12"/>
  <c r="N79" i="12"/>
  <c r="M77" i="12"/>
  <c r="N77" i="12"/>
  <c r="M75" i="12"/>
  <c r="N75" i="12"/>
  <c r="M73" i="12"/>
  <c r="N73" i="12"/>
  <c r="M71" i="12"/>
  <c r="N71" i="12"/>
  <c r="M69" i="12"/>
  <c r="N69" i="12"/>
  <c r="M67" i="12"/>
  <c r="N67" i="12"/>
  <c r="M65" i="12"/>
  <c r="N65" i="12"/>
  <c r="M63" i="12"/>
  <c r="N63" i="12"/>
  <c r="M61" i="12"/>
  <c r="N61" i="12"/>
  <c r="M86" i="12"/>
  <c r="N86" i="12"/>
  <c r="M84" i="12"/>
  <c r="N84" i="12"/>
  <c r="M82" i="12"/>
  <c r="N82" i="12"/>
  <c r="M80" i="12"/>
  <c r="N80" i="12"/>
  <c r="M78" i="12"/>
  <c r="N78" i="12"/>
  <c r="M76" i="12"/>
  <c r="N76" i="12"/>
  <c r="M74" i="12"/>
  <c r="N74" i="12"/>
  <c r="M72" i="12"/>
  <c r="N72" i="12"/>
  <c r="M70" i="12"/>
  <c r="N70" i="12"/>
  <c r="M68" i="12"/>
  <c r="N68" i="12"/>
  <c r="M66" i="12"/>
  <c r="N66" i="12"/>
  <c r="M64" i="12"/>
  <c r="N64" i="12"/>
  <c r="M62" i="12"/>
  <c r="N62" i="12"/>
  <c r="M60" i="12"/>
  <c r="N60" i="12"/>
  <c r="M43" i="12"/>
  <c r="N43" i="12"/>
  <c r="M45" i="12"/>
  <c r="N45" i="12"/>
  <c r="M47" i="12"/>
  <c r="N47" i="12"/>
  <c r="M49" i="12"/>
  <c r="N49" i="12"/>
  <c r="M44" i="12"/>
  <c r="N44" i="12"/>
  <c r="M46" i="12"/>
  <c r="N46" i="12"/>
  <c r="M48" i="12"/>
  <c r="N48" i="12"/>
  <c r="M50" i="12"/>
  <c r="N50" i="12"/>
  <c r="M56" i="12"/>
  <c r="M58" i="12"/>
  <c r="M55" i="12"/>
  <c r="M57" i="12"/>
  <c r="M59" i="12"/>
  <c r="N56" i="12"/>
  <c r="N58" i="12"/>
  <c r="N55" i="12"/>
  <c r="N57" i="12"/>
  <c r="N59" i="12"/>
  <c r="N54" i="12"/>
  <c r="M54" i="12"/>
  <c r="N52" i="12"/>
  <c r="M52" i="12"/>
  <c r="N51" i="12"/>
  <c r="M51" i="12"/>
  <c r="H26" i="2"/>
  <c r="M41" i="12"/>
  <c r="N41" i="12"/>
  <c r="M42" i="12"/>
  <c r="N42" i="12"/>
  <c r="N40" i="12"/>
  <c r="N39" i="12"/>
  <c r="M40" i="12"/>
  <c r="M39" i="12"/>
  <c r="H33" i="2" l="1"/>
  <c r="G134" i="3"/>
  <c r="N35" i="12" l="1"/>
  <c r="M35" i="12"/>
  <c r="N33" i="12"/>
  <c r="M33" i="12"/>
  <c r="N32" i="12"/>
  <c r="M32" i="12"/>
  <c r="N27" i="12"/>
  <c r="M26" i="12"/>
  <c r="M30" i="12"/>
  <c r="N30" i="12"/>
  <c r="N28" i="12"/>
  <c r="M28" i="12"/>
  <c r="J19" i="15" l="1"/>
  <c r="J18" i="15"/>
  <c r="J17" i="15"/>
  <c r="H245" i="21" l="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44" i="21"/>
  <c r="L262" i="21"/>
  <c r="K262" i="21"/>
  <c r="H262" i="21"/>
  <c r="M262" i="21" l="1"/>
  <c r="L238" i="21"/>
  <c r="K238" i="21"/>
  <c r="L234" i="21"/>
  <c r="K234" i="21"/>
  <c r="L232" i="21"/>
  <c r="K232" i="21"/>
  <c r="L229" i="21"/>
  <c r="K229" i="21"/>
  <c r="L226" i="21"/>
  <c r="K226" i="21"/>
  <c r="L222" i="21"/>
  <c r="K222" i="21"/>
  <c r="L219" i="21"/>
  <c r="K219" i="21"/>
  <c r="L217" i="21"/>
  <c r="K217" i="21"/>
  <c r="L215" i="21"/>
  <c r="K215" i="21"/>
  <c r="L213" i="21"/>
  <c r="K213" i="21"/>
  <c r="L210" i="21"/>
  <c r="K210" i="21"/>
  <c r="L206" i="21"/>
  <c r="K206" i="21"/>
  <c r="L204" i="21"/>
  <c r="K204" i="21"/>
  <c r="L201" i="21"/>
  <c r="K201" i="21"/>
  <c r="L197" i="21"/>
  <c r="K197" i="21"/>
  <c r="L194" i="21"/>
  <c r="K194" i="21"/>
  <c r="L192" i="21"/>
  <c r="K192" i="21"/>
  <c r="L190" i="21"/>
  <c r="K190" i="21"/>
  <c r="L187" i="21"/>
  <c r="K187" i="21"/>
  <c r="L185" i="21"/>
  <c r="K185" i="21"/>
  <c r="L183" i="21"/>
  <c r="K183" i="21"/>
  <c r="L180" i="21"/>
  <c r="K180" i="21"/>
  <c r="L178" i="21"/>
  <c r="K178" i="21"/>
  <c r="L176" i="21"/>
  <c r="K176" i="21"/>
  <c r="L173" i="21"/>
  <c r="K173" i="21"/>
  <c r="L169" i="21"/>
  <c r="K169" i="21"/>
  <c r="L167" i="21"/>
  <c r="L165" i="21"/>
  <c r="K165" i="21"/>
  <c r="K167" i="21"/>
  <c r="L163" i="21"/>
  <c r="K163" i="21"/>
  <c r="H238" i="21"/>
  <c r="H236" i="21"/>
  <c r="H234" i="21"/>
  <c r="H232" i="21"/>
  <c r="H229" i="21"/>
  <c r="H226" i="21"/>
  <c r="H222" i="21"/>
  <c r="H219" i="21"/>
  <c r="H217" i="21"/>
  <c r="H215" i="21"/>
  <c r="H213" i="21"/>
  <c r="H210" i="21"/>
  <c r="H206" i="21"/>
  <c r="H204" i="21"/>
  <c r="H201" i="21"/>
  <c r="H197" i="21"/>
  <c r="H194" i="21"/>
  <c r="H192" i="21"/>
  <c r="H190" i="21"/>
  <c r="H187" i="21"/>
  <c r="H185" i="21"/>
  <c r="H183" i="21"/>
  <c r="H180" i="21"/>
  <c r="H178" i="21"/>
  <c r="H176" i="21"/>
  <c r="H173" i="21"/>
  <c r="H169" i="21"/>
  <c r="H167" i="21"/>
  <c r="H165" i="21"/>
  <c r="H163" i="21"/>
  <c r="H161" i="21"/>
  <c r="H159" i="21"/>
  <c r="H158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6" i="21"/>
  <c r="N105" i="21"/>
  <c r="L105" i="21"/>
  <c r="K105" i="21"/>
  <c r="N104" i="21"/>
  <c r="L104" i="21"/>
  <c r="K104" i="21"/>
  <c r="N103" i="21"/>
  <c r="L103" i="21"/>
  <c r="K103" i="21"/>
  <c r="N102" i="21"/>
  <c r="L102" i="21"/>
  <c r="K102" i="21"/>
  <c r="N101" i="21"/>
  <c r="L101" i="21"/>
  <c r="K101" i="21"/>
  <c r="N100" i="21"/>
  <c r="L100" i="21"/>
  <c r="K100" i="21"/>
  <c r="N99" i="21"/>
  <c r="L99" i="21"/>
  <c r="K99" i="21"/>
  <c r="N98" i="21"/>
  <c r="L98" i="21"/>
  <c r="K98" i="21"/>
  <c r="N97" i="21"/>
  <c r="L97" i="21"/>
  <c r="K97" i="21"/>
  <c r="N96" i="21"/>
  <c r="L96" i="21"/>
  <c r="K96" i="21"/>
  <c r="N95" i="21"/>
  <c r="L95" i="21"/>
  <c r="K95" i="21"/>
  <c r="N94" i="21"/>
  <c r="L94" i="21"/>
  <c r="K94" i="21"/>
  <c r="N93" i="21"/>
  <c r="L93" i="21"/>
  <c r="K93" i="21"/>
  <c r="N92" i="21"/>
  <c r="L92" i="21"/>
  <c r="K92" i="21"/>
  <c r="N91" i="21"/>
  <c r="L91" i="21"/>
  <c r="K91" i="21"/>
  <c r="N90" i="21"/>
  <c r="L90" i="21"/>
  <c r="K90" i="21"/>
  <c r="N89" i="21"/>
  <c r="L89" i="21"/>
  <c r="K89" i="21"/>
  <c r="N88" i="21"/>
  <c r="L88" i="21"/>
  <c r="K88" i="21"/>
  <c r="N87" i="21"/>
  <c r="L87" i="21"/>
  <c r="K87" i="21"/>
  <c r="N86" i="21"/>
  <c r="L86" i="21"/>
  <c r="K86" i="21"/>
  <c r="N85" i="21"/>
  <c r="L85" i="21"/>
  <c r="K85" i="21"/>
  <c r="N84" i="21"/>
  <c r="L84" i="21"/>
  <c r="K84" i="21"/>
  <c r="N83" i="21"/>
  <c r="L83" i="21"/>
  <c r="K83" i="21"/>
  <c r="N82" i="21"/>
  <c r="L82" i="21"/>
  <c r="K82" i="21"/>
  <c r="N81" i="21"/>
  <c r="L81" i="21"/>
  <c r="K81" i="21"/>
  <c r="N80" i="21"/>
  <c r="L80" i="21"/>
  <c r="K80" i="21"/>
  <c r="N79" i="21"/>
  <c r="L79" i="21"/>
  <c r="K79" i="21"/>
  <c r="N78" i="21"/>
  <c r="L78" i="21"/>
  <c r="K78" i="21"/>
  <c r="N77" i="21"/>
  <c r="L77" i="21"/>
  <c r="K77" i="21"/>
  <c r="N76" i="21"/>
  <c r="L76" i="21"/>
  <c r="K76" i="21"/>
  <c r="N75" i="21"/>
  <c r="L75" i="21"/>
  <c r="K75" i="21"/>
  <c r="N74" i="21"/>
  <c r="L74" i="21"/>
  <c r="K74" i="21"/>
  <c r="N73" i="21"/>
  <c r="L73" i="21"/>
  <c r="K73" i="21"/>
  <c r="N72" i="21"/>
  <c r="L72" i="21"/>
  <c r="K72" i="21"/>
  <c r="N71" i="21"/>
  <c r="L71" i="21"/>
  <c r="K71" i="21"/>
  <c r="N70" i="21"/>
  <c r="L70" i="21"/>
  <c r="K70" i="21"/>
  <c r="N69" i="21"/>
  <c r="L69" i="21"/>
  <c r="K69" i="21"/>
  <c r="N68" i="21"/>
  <c r="L68" i="21"/>
  <c r="K68" i="21"/>
  <c r="N67" i="21"/>
  <c r="L67" i="21"/>
  <c r="K67" i="21"/>
  <c r="N66" i="21"/>
  <c r="L66" i="21"/>
  <c r="K66" i="21"/>
  <c r="N65" i="21"/>
  <c r="L65" i="21"/>
  <c r="K65" i="21"/>
  <c r="N64" i="21"/>
  <c r="L64" i="21"/>
  <c r="K64" i="21"/>
  <c r="N63" i="21"/>
  <c r="L63" i="21"/>
  <c r="K63" i="21"/>
  <c r="N62" i="21"/>
  <c r="L62" i="21"/>
  <c r="K62" i="21"/>
  <c r="N61" i="21"/>
  <c r="L61" i="21"/>
  <c r="K61" i="21"/>
  <c r="N60" i="21"/>
  <c r="L60" i="21"/>
  <c r="K60" i="21"/>
  <c r="N59" i="21"/>
  <c r="L59" i="21"/>
  <c r="K59" i="21"/>
  <c r="N58" i="21"/>
  <c r="L58" i="21"/>
  <c r="K58" i="21"/>
  <c r="N57" i="21"/>
  <c r="L57" i="21"/>
  <c r="K57" i="21"/>
  <c r="N56" i="21"/>
  <c r="L56" i="21"/>
  <c r="K56" i="21"/>
  <c r="N55" i="21"/>
  <c r="L55" i="21"/>
  <c r="K55" i="21"/>
  <c r="G113" i="17"/>
  <c r="G112" i="17"/>
  <c r="G111" i="17"/>
  <c r="G110" i="17"/>
  <c r="G109" i="17"/>
  <c r="G108" i="17"/>
  <c r="G107" i="17"/>
  <c r="G106" i="17"/>
  <c r="G104" i="17"/>
  <c r="G103" i="17"/>
  <c r="G102" i="17"/>
  <c r="G101" i="17"/>
  <c r="G100" i="17"/>
  <c r="G99" i="17"/>
  <c r="G98" i="17"/>
  <c r="G97" i="17"/>
  <c r="G96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18" i="17"/>
  <c r="G16" i="17"/>
  <c r="G15" i="17"/>
  <c r="G13" i="17"/>
  <c r="G7" i="17"/>
  <c r="G8" i="17"/>
  <c r="G9" i="17"/>
  <c r="G10" i="17"/>
  <c r="G11" i="17"/>
  <c r="G6" i="17"/>
  <c r="M194" i="21" l="1"/>
  <c r="M206" i="21"/>
  <c r="M217" i="21"/>
  <c r="M229" i="21"/>
  <c r="M238" i="21"/>
  <c r="M163" i="21"/>
  <c r="M165" i="21"/>
  <c r="M173" i="21"/>
  <c r="M183" i="21"/>
  <c r="M167" i="21"/>
  <c r="M187" i="21"/>
  <c r="M197" i="21"/>
  <c r="M210" i="21"/>
  <c r="M219" i="21"/>
  <c r="M232" i="21"/>
  <c r="M190" i="21"/>
  <c r="M201" i="21"/>
  <c r="M213" i="21"/>
  <c r="M222" i="21"/>
  <c r="M185" i="21"/>
  <c r="M180" i="21"/>
  <c r="M192" i="21"/>
  <c r="M204" i="21"/>
  <c r="M215" i="21"/>
  <c r="M226" i="21"/>
  <c r="M176" i="21"/>
  <c r="M234" i="21"/>
  <c r="M178" i="21"/>
  <c r="M169" i="21"/>
  <c r="M71" i="21"/>
  <c r="M70" i="21"/>
  <c r="M55" i="21"/>
  <c r="M63" i="21"/>
  <c r="M86" i="21"/>
  <c r="M87" i="21"/>
  <c r="M95" i="21"/>
  <c r="M78" i="21"/>
  <c r="M103" i="21"/>
  <c r="M79" i="21"/>
  <c r="M94" i="21"/>
  <c r="M102" i="21"/>
  <c r="M62" i="21"/>
  <c r="M57" i="21"/>
  <c r="M59" i="21"/>
  <c r="M61" i="21"/>
  <c r="M74" i="21"/>
  <c r="M76" i="21"/>
  <c r="M89" i="21"/>
  <c r="M91" i="21"/>
  <c r="M93" i="21"/>
  <c r="M105" i="21"/>
  <c r="M64" i="21"/>
  <c r="M65" i="21"/>
  <c r="M66" i="21"/>
  <c r="M67" i="21"/>
  <c r="M68" i="21"/>
  <c r="M69" i="21"/>
  <c r="M80" i="21"/>
  <c r="M81" i="21"/>
  <c r="M82" i="21"/>
  <c r="M83" i="21"/>
  <c r="M84" i="21"/>
  <c r="M85" i="21"/>
  <c r="M96" i="21"/>
  <c r="M97" i="21"/>
  <c r="M98" i="21"/>
  <c r="M99" i="21"/>
  <c r="M100" i="21"/>
  <c r="M101" i="21"/>
  <c r="M56" i="21"/>
  <c r="M58" i="21"/>
  <c r="M60" i="21"/>
  <c r="M72" i="21"/>
  <c r="M73" i="21"/>
  <c r="M75" i="21"/>
  <c r="M77" i="21"/>
  <c r="M88" i="21"/>
  <c r="M90" i="21"/>
  <c r="M92" i="21"/>
  <c r="M104" i="21"/>
  <c r="M92" i="17"/>
  <c r="M93" i="17"/>
  <c r="M94" i="17"/>
  <c r="K92" i="17"/>
  <c r="K93" i="17"/>
  <c r="K94" i="17"/>
  <c r="J92" i="17"/>
  <c r="J93" i="17"/>
  <c r="J94" i="17"/>
  <c r="L93" i="17" l="1"/>
  <c r="L92" i="17"/>
  <c r="L94" i="17"/>
  <c r="M7" i="17"/>
  <c r="K7" i="17"/>
  <c r="J7" i="17"/>
  <c r="L7" i="17" l="1"/>
  <c r="M27" i="12"/>
  <c r="N26" i="12"/>
  <c r="N15" i="12" l="1"/>
  <c r="N16" i="12"/>
  <c r="N17" i="12"/>
  <c r="N18" i="12"/>
  <c r="N19" i="12"/>
  <c r="N20" i="12"/>
  <c r="N21" i="12"/>
  <c r="N22" i="12"/>
  <c r="N23" i="12"/>
  <c r="N24" i="12"/>
  <c r="N25" i="12"/>
  <c r="N14" i="12"/>
  <c r="M15" i="12"/>
  <c r="M16" i="12"/>
  <c r="M17" i="12"/>
  <c r="M18" i="12"/>
  <c r="M19" i="12"/>
  <c r="M20" i="12"/>
  <c r="M21" i="12"/>
  <c r="M22" i="12"/>
  <c r="M23" i="12"/>
  <c r="M24" i="12"/>
  <c r="M25" i="12"/>
  <c r="M14" i="12"/>
  <c r="N10" i="12" l="1"/>
  <c r="N12" i="12"/>
  <c r="M10" i="12"/>
  <c r="M12" i="12"/>
  <c r="M8" i="12"/>
  <c r="N8" i="12"/>
  <c r="N6" i="12"/>
  <c r="M6" i="12"/>
  <c r="M5" i="12" l="1"/>
  <c r="N5" i="12"/>
  <c r="N4" i="12"/>
  <c r="M4" i="12"/>
  <c r="G104" i="7" l="1"/>
  <c r="H35" i="1" l="1"/>
  <c r="H33" i="1"/>
  <c r="H31" i="1"/>
  <c r="F35" i="1"/>
  <c r="G35" i="1" s="1"/>
  <c r="F33" i="1"/>
  <c r="G33" i="1" s="1"/>
  <c r="J122" i="3"/>
  <c r="I122" i="3"/>
  <c r="H34" i="1" s="1"/>
  <c r="G122" i="3"/>
  <c r="F34" i="1" s="1"/>
  <c r="F122" i="3"/>
  <c r="J108" i="3"/>
  <c r="I108" i="3"/>
  <c r="H32" i="1" s="1"/>
  <c r="F32" i="1"/>
  <c r="F108" i="3"/>
  <c r="J104" i="3"/>
  <c r="I104" i="3"/>
  <c r="H30" i="1" s="1"/>
  <c r="F30" i="1"/>
  <c r="F104" i="3"/>
  <c r="F31" i="1"/>
  <c r="I122" i="7"/>
  <c r="H14" i="1" s="1"/>
  <c r="G122" i="7"/>
  <c r="F14" i="1" s="1"/>
  <c r="F122" i="7"/>
  <c r="H15" i="1"/>
  <c r="H13" i="1"/>
  <c r="F15" i="1"/>
  <c r="G15" i="1" s="1"/>
  <c r="F13" i="1"/>
  <c r="G13" i="1" s="1"/>
  <c r="I108" i="7"/>
  <c r="H12" i="1" s="1"/>
  <c r="G108" i="7"/>
  <c r="F12" i="1" s="1"/>
  <c r="F108" i="7"/>
  <c r="F104" i="7"/>
  <c r="H11" i="1"/>
  <c r="F11" i="1"/>
  <c r="G11" i="1" s="1"/>
  <c r="H10" i="1"/>
  <c r="F10" i="1"/>
  <c r="J16" i="15"/>
  <c r="J15" i="15"/>
  <c r="J14" i="15"/>
  <c r="J13" i="15"/>
  <c r="J12" i="15"/>
  <c r="J11" i="15"/>
  <c r="G31" i="1" l="1"/>
  <c r="J31" i="1" s="1"/>
  <c r="I33" i="1"/>
  <c r="H122" i="7"/>
  <c r="J33" i="1"/>
  <c r="I35" i="1"/>
  <c r="J35" i="1"/>
  <c r="I15" i="1"/>
  <c r="J15" i="1"/>
  <c r="I13" i="1"/>
  <c r="J13" i="1"/>
  <c r="J11" i="1"/>
  <c r="I11" i="1"/>
  <c r="H217" i="14"/>
  <c r="I217" i="14"/>
  <c r="K217" i="14"/>
  <c r="N217" i="14"/>
  <c r="O217" i="14"/>
  <c r="H246" i="14"/>
  <c r="I246" i="14"/>
  <c r="K246" i="14"/>
  <c r="N246" i="14"/>
  <c r="O246" i="14"/>
  <c r="H247" i="14"/>
  <c r="I247" i="14"/>
  <c r="K247" i="14"/>
  <c r="N247" i="14"/>
  <c r="O247" i="14"/>
  <c r="H248" i="14"/>
  <c r="I248" i="14"/>
  <c r="K248" i="14"/>
  <c r="N248" i="14"/>
  <c r="O248" i="14"/>
  <c r="H249" i="14"/>
  <c r="I249" i="14"/>
  <c r="K249" i="14"/>
  <c r="N249" i="14"/>
  <c r="O249" i="14"/>
  <c r="H250" i="14"/>
  <c r="I250" i="14"/>
  <c r="K250" i="14"/>
  <c r="O250" i="14"/>
  <c r="H251" i="14"/>
  <c r="I251" i="14"/>
  <c r="K251" i="14"/>
  <c r="N251" i="14"/>
  <c r="O251" i="14"/>
  <c r="H252" i="14"/>
  <c r="I252" i="14"/>
  <c r="K252" i="14"/>
  <c r="N252" i="14"/>
  <c r="O252" i="14"/>
  <c r="H253" i="14"/>
  <c r="I253" i="14"/>
  <c r="K253" i="14"/>
  <c r="N253" i="14"/>
  <c r="O253" i="14"/>
  <c r="H254" i="14"/>
  <c r="I254" i="14"/>
  <c r="K254" i="14"/>
  <c r="N254" i="14"/>
  <c r="O254" i="14"/>
  <c r="H255" i="14"/>
  <c r="I255" i="14"/>
  <c r="K255" i="14"/>
  <c r="N255" i="14"/>
  <c r="O255" i="14"/>
  <c r="H256" i="14"/>
  <c r="I256" i="14"/>
  <c r="K256" i="14"/>
  <c r="N256" i="14"/>
  <c r="O256" i="14"/>
  <c r="H257" i="14"/>
  <c r="I257" i="14"/>
  <c r="K257" i="14"/>
  <c r="O257" i="14"/>
  <c r="H258" i="14"/>
  <c r="I258" i="14"/>
  <c r="K258" i="14"/>
  <c r="N258" i="14"/>
  <c r="O258" i="14"/>
  <c r="H259" i="14"/>
  <c r="I259" i="14"/>
  <c r="K259" i="14"/>
  <c r="O259" i="14"/>
  <c r="H260" i="14"/>
  <c r="I260" i="14"/>
  <c r="K260" i="14"/>
  <c r="N260" i="14"/>
  <c r="O260" i="14"/>
  <c r="H261" i="14"/>
  <c r="I261" i="14"/>
  <c r="K261" i="14"/>
  <c r="N261" i="14"/>
  <c r="O261" i="14"/>
  <c r="H262" i="14"/>
  <c r="I262" i="14"/>
  <c r="K262" i="14"/>
  <c r="N262" i="14"/>
  <c r="O262" i="14"/>
  <c r="H142" i="14"/>
  <c r="I142" i="14"/>
  <c r="K142" i="14"/>
  <c r="N142" i="14"/>
  <c r="O142" i="14"/>
  <c r="H143" i="14"/>
  <c r="I143" i="14"/>
  <c r="K143" i="14"/>
  <c r="N143" i="14"/>
  <c r="O143" i="14"/>
  <c r="H127" i="14"/>
  <c r="I127" i="14"/>
  <c r="K127" i="14"/>
  <c r="N127" i="14"/>
  <c r="O127" i="14"/>
  <c r="H128" i="14"/>
  <c r="I128" i="14"/>
  <c r="K128" i="14"/>
  <c r="N128" i="14"/>
  <c r="O128" i="14"/>
  <c r="H129" i="14"/>
  <c r="I129" i="14"/>
  <c r="K129" i="14"/>
  <c r="N129" i="14"/>
  <c r="O129" i="14"/>
  <c r="H130" i="14"/>
  <c r="I130" i="14"/>
  <c r="K130" i="14"/>
  <c r="N130" i="14"/>
  <c r="O130" i="14"/>
  <c r="H98" i="14"/>
  <c r="I98" i="14"/>
  <c r="K98" i="14"/>
  <c r="N98" i="14"/>
  <c r="O98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3" i="14"/>
  <c r="E264" i="14"/>
  <c r="E265" i="14"/>
  <c r="E266" i="14"/>
  <c r="E267" i="14"/>
  <c r="G26" i="8"/>
  <c r="G81" i="8"/>
  <c r="H81" i="8"/>
  <c r="J81" i="8"/>
  <c r="G82" i="8"/>
  <c r="H82" i="8"/>
  <c r="J82" i="8"/>
  <c r="G66" i="8"/>
  <c r="H66" i="8"/>
  <c r="J66" i="8"/>
  <c r="G37" i="8"/>
  <c r="H37" i="8"/>
  <c r="J37" i="8"/>
  <c r="G63" i="2"/>
  <c r="H52" i="14" s="1"/>
  <c r="G60" i="2"/>
  <c r="G59" i="2"/>
  <c r="G56" i="2"/>
  <c r="G54" i="2"/>
  <c r="G51" i="2"/>
  <c r="G48" i="2"/>
  <c r="G47" i="2"/>
  <c r="G46" i="2"/>
  <c r="G45" i="2"/>
  <c r="G41" i="2"/>
  <c r="G40" i="2"/>
  <c r="F58" i="2"/>
  <c r="G58" i="2" s="1"/>
  <c r="F57" i="2"/>
  <c r="G57" i="2" s="1"/>
  <c r="F55" i="2"/>
  <c r="G55" i="2" s="1"/>
  <c r="F53" i="2"/>
  <c r="G53" i="2" s="1"/>
  <c r="F52" i="2"/>
  <c r="G52" i="2" s="1"/>
  <c r="F50" i="2"/>
  <c r="G50" i="2" s="1"/>
  <c r="F49" i="2"/>
  <c r="G49" i="2" s="1"/>
  <c r="F44" i="2"/>
  <c r="G44" i="2" s="1"/>
  <c r="F43" i="2"/>
  <c r="G43" i="2" s="1"/>
  <c r="F42" i="2"/>
  <c r="F25" i="2"/>
  <c r="F23" i="2"/>
  <c r="F15" i="2"/>
  <c r="F14" i="2"/>
  <c r="F13" i="2"/>
  <c r="F12" i="2"/>
  <c r="F11" i="2"/>
  <c r="F9" i="2"/>
  <c r="I31" i="1" l="1"/>
  <c r="F33" i="2"/>
  <c r="G33" i="2" s="1"/>
  <c r="I37" i="8"/>
  <c r="I82" i="8"/>
  <c r="I81" i="8"/>
  <c r="F64" i="2"/>
  <c r="G42" i="2"/>
  <c r="G64" i="2" s="1"/>
  <c r="I66" i="8"/>
  <c r="I33" i="2" l="1"/>
  <c r="L33" i="2"/>
  <c r="H99" i="3"/>
  <c r="H98" i="3"/>
  <c r="H83" i="3"/>
  <c r="H54" i="3"/>
  <c r="L54" i="3" s="1"/>
  <c r="M217" i="14" s="1"/>
  <c r="H98" i="7"/>
  <c r="K98" i="7" s="1"/>
  <c r="H99" i="7"/>
  <c r="K99" i="7" s="1"/>
  <c r="H83" i="7"/>
  <c r="K83" i="7" s="1"/>
  <c r="H54" i="7"/>
  <c r="L83" i="7" l="1"/>
  <c r="M127" i="14" s="1"/>
  <c r="L142" i="14"/>
  <c r="K81" i="8"/>
  <c r="K66" i="8"/>
  <c r="L127" i="14"/>
  <c r="K82" i="8"/>
  <c r="L143" i="14"/>
  <c r="J143" i="14"/>
  <c r="E82" i="8"/>
  <c r="F82" i="8" s="1"/>
  <c r="K98" i="3"/>
  <c r="J261" i="14"/>
  <c r="K99" i="3"/>
  <c r="J262" i="14"/>
  <c r="K54" i="7"/>
  <c r="J98" i="14"/>
  <c r="E37" i="8"/>
  <c r="F37" i="8" s="1"/>
  <c r="L99" i="7"/>
  <c r="M143" i="14" s="1"/>
  <c r="K54" i="3"/>
  <c r="J217" i="14"/>
  <c r="J142" i="14"/>
  <c r="E81" i="8"/>
  <c r="F81" i="8" s="1"/>
  <c r="J127" i="14"/>
  <c r="E66" i="8"/>
  <c r="F66" i="8" s="1"/>
  <c r="L98" i="7"/>
  <c r="M142" i="14" s="1"/>
  <c r="K83" i="3"/>
  <c r="J246" i="14"/>
  <c r="L99" i="3"/>
  <c r="M262" i="14" s="1"/>
  <c r="L98" i="3"/>
  <c r="M261" i="14" s="1"/>
  <c r="L83" i="3"/>
  <c r="M246" i="14" s="1"/>
  <c r="L54" i="7"/>
  <c r="M98" i="14" s="1"/>
  <c r="F13" i="3"/>
  <c r="E27" i="1" s="1"/>
  <c r="L246" i="14" l="1"/>
  <c r="L66" i="8"/>
  <c r="M66" i="8" s="1"/>
  <c r="P81" i="8"/>
  <c r="P82" i="8"/>
  <c r="P37" i="8"/>
  <c r="L262" i="14"/>
  <c r="L82" i="8"/>
  <c r="M82" i="8" s="1"/>
  <c r="P66" i="8"/>
  <c r="L37" i="8"/>
  <c r="L217" i="14"/>
  <c r="L98" i="14"/>
  <c r="K37" i="8"/>
  <c r="L81" i="8"/>
  <c r="N81" i="8" s="1"/>
  <c r="Q81" i="8" s="1"/>
  <c r="L261" i="14"/>
  <c r="M5" i="14"/>
  <c r="M22" i="14"/>
  <c r="N82" i="8" l="1"/>
  <c r="Q82" i="8" s="1"/>
  <c r="N66" i="8"/>
  <c r="Q66" i="8" s="1"/>
  <c r="M81" i="8"/>
  <c r="N37" i="8"/>
  <c r="Q37" i="8" s="1"/>
  <c r="M37" i="8"/>
  <c r="H106" i="7"/>
  <c r="H107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O7" i="5"/>
  <c r="O24" i="5" l="1"/>
  <c r="O28" i="5" l="1"/>
  <c r="O31" i="5" l="1"/>
  <c r="O27" i="5"/>
  <c r="O23" i="5"/>
  <c r="O29" i="5" l="1"/>
  <c r="O26" i="5" l="1"/>
  <c r="J21" i="1" l="1"/>
  <c r="M107" i="17" l="1"/>
  <c r="M108" i="17"/>
  <c r="M109" i="17"/>
  <c r="M110" i="17"/>
  <c r="M111" i="17"/>
  <c r="M112" i="17"/>
  <c r="M113" i="17"/>
  <c r="M106" i="17"/>
  <c r="M97" i="17"/>
  <c r="M98" i="17"/>
  <c r="M99" i="17"/>
  <c r="M100" i="17"/>
  <c r="M101" i="17"/>
  <c r="M102" i="17"/>
  <c r="M103" i="17"/>
  <c r="M104" i="17"/>
  <c r="M96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18" i="17"/>
  <c r="M16" i="17"/>
  <c r="M15" i="17"/>
  <c r="M13" i="17"/>
  <c r="M8" i="17"/>
  <c r="M9" i="17"/>
  <c r="M10" i="17"/>
  <c r="M11" i="17"/>
  <c r="M6" i="17"/>
  <c r="O21" i="14" l="1"/>
  <c r="I21" i="14"/>
  <c r="K21" i="14"/>
  <c r="E21" i="14"/>
  <c r="G26" i="2"/>
  <c r="I26" i="2" s="1"/>
  <c r="H21" i="14" l="1"/>
  <c r="K26" i="2"/>
  <c r="L21" i="14" s="1"/>
  <c r="J21" i="14"/>
  <c r="L26" i="2"/>
  <c r="M21" i="14" s="1"/>
  <c r="O39" i="5" l="1"/>
  <c r="H85" i="3" l="1"/>
  <c r="I46" i="14"/>
  <c r="I33" i="14"/>
  <c r="I42" i="14"/>
  <c r="I32" i="14"/>
  <c r="I45" i="14"/>
  <c r="O62" i="8"/>
  <c r="O38" i="8"/>
  <c r="O41" i="8"/>
  <c r="N221" i="14" s="1"/>
  <c r="K131" i="21"/>
  <c r="L131" i="21"/>
  <c r="N131" i="21"/>
  <c r="K132" i="21"/>
  <c r="L132" i="21"/>
  <c r="N132" i="21"/>
  <c r="K23" i="21"/>
  <c r="L23" i="21"/>
  <c r="N23" i="21"/>
  <c r="K54" i="21"/>
  <c r="L54" i="21"/>
  <c r="N54" i="21"/>
  <c r="K134" i="21"/>
  <c r="L134" i="21"/>
  <c r="N134" i="21"/>
  <c r="K135" i="21"/>
  <c r="L135" i="21"/>
  <c r="N135" i="21"/>
  <c r="K139" i="21"/>
  <c r="L139" i="21"/>
  <c r="N139" i="21"/>
  <c r="L52" i="21"/>
  <c r="N52" i="21"/>
  <c r="K52" i="21"/>
  <c r="L33" i="21"/>
  <c r="N33" i="21"/>
  <c r="K33" i="21"/>
  <c r="K111" i="21"/>
  <c r="L111" i="21"/>
  <c r="N111" i="21"/>
  <c r="K126" i="21"/>
  <c r="L126" i="21"/>
  <c r="N126" i="21"/>
  <c r="K154" i="21"/>
  <c r="L154" i="21"/>
  <c r="N154" i="21"/>
  <c r="K22" i="21"/>
  <c r="L22" i="21"/>
  <c r="N22" i="21"/>
  <c r="K37" i="21"/>
  <c r="L37" i="21"/>
  <c r="N37" i="21"/>
  <c r="K38" i="21"/>
  <c r="L38" i="21"/>
  <c r="N38" i="21"/>
  <c r="K19" i="21"/>
  <c r="L19" i="21"/>
  <c r="N19" i="21"/>
  <c r="L115" i="21"/>
  <c r="N115" i="21"/>
  <c r="K115" i="21"/>
  <c r="K147" i="21"/>
  <c r="L147" i="21"/>
  <c r="N147" i="21"/>
  <c r="K113" i="21"/>
  <c r="L113" i="21"/>
  <c r="N113" i="21"/>
  <c r="K27" i="21"/>
  <c r="L27" i="21"/>
  <c r="N27" i="21"/>
  <c r="K28" i="21"/>
  <c r="L28" i="21"/>
  <c r="N28" i="21"/>
  <c r="K45" i="21"/>
  <c r="L45" i="21"/>
  <c r="N45" i="21"/>
  <c r="K42" i="21"/>
  <c r="L42" i="21"/>
  <c r="N42" i="21"/>
  <c r="K156" i="21"/>
  <c r="L156" i="21"/>
  <c r="N156" i="21"/>
  <c r="K117" i="21"/>
  <c r="L117" i="21"/>
  <c r="N117" i="21"/>
  <c r="K118" i="21"/>
  <c r="L118" i="21"/>
  <c r="N118" i="21"/>
  <c r="K119" i="21"/>
  <c r="L119" i="21"/>
  <c r="N119" i="21"/>
  <c r="K50" i="21"/>
  <c r="L50" i="21"/>
  <c r="N50" i="21"/>
  <c r="K51" i="21"/>
  <c r="L51" i="21"/>
  <c r="N51" i="21"/>
  <c r="K143" i="21"/>
  <c r="L143" i="21"/>
  <c r="N143" i="21"/>
  <c r="K144" i="21"/>
  <c r="L144" i="21"/>
  <c r="N144" i="21"/>
  <c r="K145" i="21"/>
  <c r="L145" i="21"/>
  <c r="N145" i="21"/>
  <c r="K129" i="21"/>
  <c r="L129" i="21"/>
  <c r="N129" i="21"/>
  <c r="K108" i="21"/>
  <c r="L108" i="21"/>
  <c r="N108" i="21"/>
  <c r="N250" i="21"/>
  <c r="N251" i="21"/>
  <c r="N252" i="21"/>
  <c r="N253" i="21"/>
  <c r="N254" i="21"/>
  <c r="N255" i="21"/>
  <c r="N256" i="21"/>
  <c r="N257" i="21"/>
  <c r="N258" i="21"/>
  <c r="N259" i="21"/>
  <c r="N260" i="21"/>
  <c r="N261" i="21"/>
  <c r="N249" i="21"/>
  <c r="N245" i="21"/>
  <c r="N246" i="21"/>
  <c r="N247" i="21"/>
  <c r="N248" i="21"/>
  <c r="N244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20" i="21"/>
  <c r="N21" i="21"/>
  <c r="N24" i="21"/>
  <c r="N25" i="21"/>
  <c r="N26" i="21"/>
  <c r="N29" i="21"/>
  <c r="N30" i="21"/>
  <c r="N31" i="21"/>
  <c r="N32" i="21"/>
  <c r="N34" i="21"/>
  <c r="N35" i="21"/>
  <c r="N36" i="21"/>
  <c r="N39" i="21"/>
  <c r="N40" i="21"/>
  <c r="N41" i="21"/>
  <c r="N43" i="21"/>
  <c r="N44" i="21"/>
  <c r="N46" i="21"/>
  <c r="N47" i="21"/>
  <c r="N48" i="21"/>
  <c r="N49" i="21"/>
  <c r="N53" i="21"/>
  <c r="N106" i="21"/>
  <c r="N107" i="21"/>
  <c r="N109" i="21"/>
  <c r="N110" i="21"/>
  <c r="N112" i="21"/>
  <c r="N114" i="21"/>
  <c r="N116" i="21"/>
  <c r="N120" i="21"/>
  <c r="N121" i="21"/>
  <c r="N122" i="21"/>
  <c r="N123" i="21"/>
  <c r="N124" i="21"/>
  <c r="N125" i="21"/>
  <c r="N127" i="21"/>
  <c r="N128" i="21"/>
  <c r="N130" i="21"/>
  <c r="N133" i="21"/>
  <c r="N136" i="21"/>
  <c r="N137" i="21"/>
  <c r="N138" i="21"/>
  <c r="N140" i="21"/>
  <c r="N141" i="21"/>
  <c r="N142" i="21"/>
  <c r="N146" i="21"/>
  <c r="N148" i="21"/>
  <c r="N149" i="21"/>
  <c r="N150" i="21"/>
  <c r="N151" i="21"/>
  <c r="N152" i="21"/>
  <c r="N153" i="21"/>
  <c r="N155" i="21"/>
  <c r="N157" i="21"/>
  <c r="N158" i="21"/>
  <c r="N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20" i="21"/>
  <c r="L21" i="21"/>
  <c r="L24" i="21"/>
  <c r="L25" i="21"/>
  <c r="L26" i="21"/>
  <c r="L29" i="21"/>
  <c r="L30" i="21"/>
  <c r="L31" i="21"/>
  <c r="L32" i="21"/>
  <c r="L34" i="21"/>
  <c r="L35" i="21"/>
  <c r="L36" i="21"/>
  <c r="L39" i="21"/>
  <c r="L40" i="21"/>
  <c r="L41" i="21"/>
  <c r="L43" i="21"/>
  <c r="L44" i="21"/>
  <c r="L46" i="21"/>
  <c r="L47" i="21"/>
  <c r="L48" i="21"/>
  <c r="L49" i="21"/>
  <c r="L53" i="21"/>
  <c r="L106" i="21"/>
  <c r="L107" i="21"/>
  <c r="L109" i="21"/>
  <c r="L110" i="21"/>
  <c r="L112" i="21"/>
  <c r="L114" i="21"/>
  <c r="L116" i="21"/>
  <c r="L120" i="21"/>
  <c r="L121" i="21"/>
  <c r="L122" i="21"/>
  <c r="L123" i="21"/>
  <c r="L124" i="21"/>
  <c r="L125" i="21"/>
  <c r="L127" i="21"/>
  <c r="L128" i="21"/>
  <c r="L130" i="21"/>
  <c r="L133" i="21"/>
  <c r="L136" i="21"/>
  <c r="L137" i="21"/>
  <c r="L138" i="21"/>
  <c r="L140" i="21"/>
  <c r="L141" i="21"/>
  <c r="L142" i="21"/>
  <c r="L146" i="21"/>
  <c r="L148" i="21"/>
  <c r="L149" i="21"/>
  <c r="L150" i="21"/>
  <c r="L151" i="21"/>
  <c r="L152" i="21"/>
  <c r="L153" i="21"/>
  <c r="L155" i="21"/>
  <c r="L157" i="21"/>
  <c r="L158" i="21"/>
  <c r="L6" i="21"/>
  <c r="L19" i="3"/>
  <c r="M183" i="14" s="1"/>
  <c r="I49" i="14"/>
  <c r="H25" i="7"/>
  <c r="L25" i="7" s="1"/>
  <c r="M69" i="14" s="1"/>
  <c r="H25" i="3"/>
  <c r="J188" i="14" s="1"/>
  <c r="H86" i="7"/>
  <c r="H86" i="3"/>
  <c r="J249" i="14" s="1"/>
  <c r="J154" i="14"/>
  <c r="J158" i="14"/>
  <c r="L110" i="7"/>
  <c r="M150" i="14" s="1"/>
  <c r="N200" i="14"/>
  <c r="L261" i="21"/>
  <c r="L245" i="21"/>
  <c r="L246" i="21"/>
  <c r="L247" i="21"/>
  <c r="L248" i="21"/>
  <c r="L244" i="21"/>
  <c r="K245" i="21"/>
  <c r="K246" i="21"/>
  <c r="K247" i="21"/>
  <c r="K248" i="21"/>
  <c r="K244" i="21"/>
  <c r="L250" i="21"/>
  <c r="L251" i="21"/>
  <c r="L252" i="21"/>
  <c r="L253" i="21"/>
  <c r="L254" i="21"/>
  <c r="L255" i="21"/>
  <c r="L256" i="21"/>
  <c r="L257" i="21"/>
  <c r="L258" i="21"/>
  <c r="L259" i="21"/>
  <c r="L260" i="21"/>
  <c r="L249" i="21"/>
  <c r="K250" i="21"/>
  <c r="M250" i="21" s="1"/>
  <c r="K251" i="21"/>
  <c r="M251" i="21" s="1"/>
  <c r="K252" i="21"/>
  <c r="M252" i="21" s="1"/>
  <c r="K253" i="21"/>
  <c r="M253" i="21" s="1"/>
  <c r="K254" i="21"/>
  <c r="K255" i="21"/>
  <c r="K256" i="21"/>
  <c r="K257" i="21"/>
  <c r="M257" i="21" s="1"/>
  <c r="K258" i="21"/>
  <c r="M258" i="21" s="1"/>
  <c r="K259" i="21"/>
  <c r="M259" i="21" s="1"/>
  <c r="K260" i="21"/>
  <c r="M260" i="21" s="1"/>
  <c r="K261" i="21"/>
  <c r="K249" i="21"/>
  <c r="K158" i="21"/>
  <c r="K157" i="21"/>
  <c r="K155" i="21"/>
  <c r="K153" i="21"/>
  <c r="K152" i="21"/>
  <c r="K151" i="21"/>
  <c r="K150" i="21"/>
  <c r="K149" i="21"/>
  <c r="K148" i="21"/>
  <c r="K146" i="21"/>
  <c r="K142" i="21"/>
  <c r="K141" i="21"/>
  <c r="K140" i="21"/>
  <c r="K138" i="21"/>
  <c r="K137" i="21"/>
  <c r="K136" i="21"/>
  <c r="K133" i="21"/>
  <c r="K130" i="21"/>
  <c r="K128" i="21"/>
  <c r="K127" i="21"/>
  <c r="K125" i="21"/>
  <c r="K124" i="21"/>
  <c r="K123" i="21"/>
  <c r="K122" i="21"/>
  <c r="K121" i="21"/>
  <c r="K120" i="21"/>
  <c r="K116" i="21"/>
  <c r="K114" i="21"/>
  <c r="K112" i="21"/>
  <c r="K110" i="21"/>
  <c r="K109" i="21"/>
  <c r="K107" i="21"/>
  <c r="K106" i="21"/>
  <c r="K53" i="21"/>
  <c r="K49" i="21"/>
  <c r="K48" i="21"/>
  <c r="K47" i="21"/>
  <c r="K46" i="21"/>
  <c r="K44" i="21"/>
  <c r="K43" i="21"/>
  <c r="K41" i="21"/>
  <c r="K40" i="21"/>
  <c r="K39" i="21"/>
  <c r="K36" i="21"/>
  <c r="K35" i="21"/>
  <c r="K34" i="21"/>
  <c r="K32" i="21"/>
  <c r="K31" i="21"/>
  <c r="K30" i="21"/>
  <c r="K29" i="21"/>
  <c r="K26" i="21"/>
  <c r="K25" i="21"/>
  <c r="K24" i="21"/>
  <c r="K21" i="21"/>
  <c r="K20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O50" i="14"/>
  <c r="J64" i="2"/>
  <c r="K53" i="14" s="1"/>
  <c r="O22" i="14"/>
  <c r="K22" i="14"/>
  <c r="E22" i="14"/>
  <c r="I22" i="14"/>
  <c r="G27" i="2"/>
  <c r="I27" i="2" s="1"/>
  <c r="O70" i="8"/>
  <c r="N250" i="14" s="1"/>
  <c r="I15" i="14"/>
  <c r="N189" i="14"/>
  <c r="N191" i="14"/>
  <c r="N192" i="14"/>
  <c r="N193" i="14"/>
  <c r="N194" i="14"/>
  <c r="N196" i="14"/>
  <c r="N197" i="14"/>
  <c r="N198" i="14"/>
  <c r="N199" i="14"/>
  <c r="N202" i="14"/>
  <c r="N204" i="14"/>
  <c r="N205" i="14"/>
  <c r="N206" i="14"/>
  <c r="N207" i="14"/>
  <c r="N208" i="14"/>
  <c r="N209" i="14"/>
  <c r="N210" i="14"/>
  <c r="N212" i="14"/>
  <c r="N213" i="14"/>
  <c r="N215" i="14"/>
  <c r="N216" i="14"/>
  <c r="N219" i="14"/>
  <c r="N220" i="14"/>
  <c r="N222" i="14"/>
  <c r="N224" i="14"/>
  <c r="N225" i="14"/>
  <c r="N226" i="14"/>
  <c r="N227" i="14"/>
  <c r="N228" i="14"/>
  <c r="N231" i="14"/>
  <c r="N232" i="14"/>
  <c r="N233" i="14"/>
  <c r="N234" i="14"/>
  <c r="N235" i="14"/>
  <c r="N236" i="14"/>
  <c r="N237" i="14"/>
  <c r="N238" i="14"/>
  <c r="N240" i="14"/>
  <c r="N243" i="14"/>
  <c r="N245" i="14"/>
  <c r="N263" i="14"/>
  <c r="N264" i="14"/>
  <c r="N188" i="14"/>
  <c r="N145" i="14"/>
  <c r="N144" i="14"/>
  <c r="N141" i="14"/>
  <c r="N139" i="14"/>
  <c r="N137" i="14"/>
  <c r="N136" i="14"/>
  <c r="N135" i="14"/>
  <c r="N134" i="14"/>
  <c r="N126" i="14"/>
  <c r="N124" i="14"/>
  <c r="N121" i="14"/>
  <c r="N119" i="14"/>
  <c r="N118" i="14"/>
  <c r="N117" i="14"/>
  <c r="N116" i="14"/>
  <c r="N115" i="14"/>
  <c r="N114" i="14"/>
  <c r="N113" i="14"/>
  <c r="N112" i="14"/>
  <c r="N109" i="14"/>
  <c r="N108" i="14"/>
  <c r="N107" i="14"/>
  <c r="N106" i="14"/>
  <c r="N105" i="14"/>
  <c r="N103" i="14"/>
  <c r="N101" i="14"/>
  <c r="N100" i="14"/>
  <c r="N97" i="14"/>
  <c r="N96" i="14"/>
  <c r="N94" i="14"/>
  <c r="N93" i="14"/>
  <c r="N91" i="14"/>
  <c r="N90" i="14"/>
  <c r="N89" i="14"/>
  <c r="N88" i="14"/>
  <c r="N87" i="14"/>
  <c r="N86" i="14"/>
  <c r="N85" i="14"/>
  <c r="N83" i="14"/>
  <c r="N81" i="14"/>
  <c r="N80" i="14"/>
  <c r="N79" i="14"/>
  <c r="N78" i="14"/>
  <c r="N77" i="14"/>
  <c r="N75" i="14"/>
  <c r="N74" i="14"/>
  <c r="N73" i="14"/>
  <c r="N72" i="14"/>
  <c r="N70" i="14"/>
  <c r="N69" i="14"/>
  <c r="O20" i="14"/>
  <c r="K20" i="14"/>
  <c r="E20" i="14"/>
  <c r="G25" i="2"/>
  <c r="H20" i="14" s="1"/>
  <c r="I19" i="14"/>
  <c r="O19" i="14"/>
  <c r="K19" i="14"/>
  <c r="E19" i="14"/>
  <c r="G24" i="2"/>
  <c r="H19" i="14" s="1"/>
  <c r="O15" i="8"/>
  <c r="N133" i="14"/>
  <c r="N229" i="14"/>
  <c r="N110" i="14"/>
  <c r="K13" i="17"/>
  <c r="J13" i="17"/>
  <c r="K107" i="17"/>
  <c r="K108" i="17"/>
  <c r="K109" i="17"/>
  <c r="K110" i="17"/>
  <c r="K111" i="17"/>
  <c r="K112" i="17"/>
  <c r="K113" i="17"/>
  <c r="K106" i="17"/>
  <c r="K97" i="17"/>
  <c r="K98" i="17"/>
  <c r="K99" i="17"/>
  <c r="K100" i="17"/>
  <c r="K101" i="17"/>
  <c r="K102" i="17"/>
  <c r="K103" i="17"/>
  <c r="K104" i="17"/>
  <c r="K96" i="17"/>
  <c r="K19" i="17"/>
  <c r="K20" i="17"/>
  <c r="K21" i="17"/>
  <c r="K22" i="17"/>
  <c r="K23" i="17"/>
  <c r="K24" i="17"/>
  <c r="K25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18" i="17"/>
  <c r="K16" i="17"/>
  <c r="K15" i="17"/>
  <c r="K8" i="17"/>
  <c r="K9" i="17"/>
  <c r="K10" i="17"/>
  <c r="K11" i="17"/>
  <c r="K6" i="17"/>
  <c r="J107" i="17"/>
  <c r="J108" i="17"/>
  <c r="J109" i="17"/>
  <c r="J110" i="17"/>
  <c r="J111" i="17"/>
  <c r="J112" i="17"/>
  <c r="J113" i="17"/>
  <c r="J97" i="17"/>
  <c r="J98" i="17"/>
  <c r="J99" i="17"/>
  <c r="J100" i="17"/>
  <c r="J101" i="17"/>
  <c r="J102" i="17"/>
  <c r="J103" i="17"/>
  <c r="J104" i="17"/>
  <c r="J96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91" i="17"/>
  <c r="J18" i="17"/>
  <c r="J16" i="17"/>
  <c r="J15" i="17"/>
  <c r="J8" i="17"/>
  <c r="J9" i="17"/>
  <c r="J10" i="17"/>
  <c r="J11" i="17"/>
  <c r="J6" i="17"/>
  <c r="L18" i="3"/>
  <c r="M182" i="14" s="1"/>
  <c r="O79" i="8"/>
  <c r="N259" i="14" s="1"/>
  <c r="N201" i="14"/>
  <c r="N82" i="14"/>
  <c r="I18" i="14"/>
  <c r="O18" i="14"/>
  <c r="K18" i="14"/>
  <c r="E18" i="14"/>
  <c r="G23" i="2"/>
  <c r="H18" i="14" s="1"/>
  <c r="O77" i="8"/>
  <c r="N257" i="14" s="1"/>
  <c r="O50" i="8"/>
  <c r="N230" i="14" s="1"/>
  <c r="O10" i="8"/>
  <c r="O34" i="8"/>
  <c r="N95" i="14" s="1"/>
  <c r="L79" i="3"/>
  <c r="M242" i="14" s="1"/>
  <c r="L79" i="7"/>
  <c r="M123" i="14" s="1"/>
  <c r="L130" i="3"/>
  <c r="M287" i="14" s="1"/>
  <c r="L130" i="7"/>
  <c r="M168" i="14" s="1"/>
  <c r="N223" i="14"/>
  <c r="N244" i="14"/>
  <c r="N125" i="14"/>
  <c r="L67" i="3"/>
  <c r="M230" i="14" s="1"/>
  <c r="L67" i="7"/>
  <c r="M111" i="14" s="1"/>
  <c r="L8" i="3"/>
  <c r="M174" i="14" s="1"/>
  <c r="L8" i="7"/>
  <c r="M55" i="14" s="1"/>
  <c r="G12" i="9"/>
  <c r="N187" i="14"/>
  <c r="N68" i="14"/>
  <c r="O59" i="8"/>
  <c r="N239" i="14" s="1"/>
  <c r="O31" i="8"/>
  <c r="N211" i="14" s="1"/>
  <c r="L94" i="3"/>
  <c r="M257" i="14" s="1"/>
  <c r="L94" i="7"/>
  <c r="M138" i="14" s="1"/>
  <c r="O23" i="8"/>
  <c r="N84" i="14" s="1"/>
  <c r="O61" i="8"/>
  <c r="N241" i="14" s="1"/>
  <c r="L27" i="3"/>
  <c r="M190" i="14" s="1"/>
  <c r="L27" i="7"/>
  <c r="M71" i="14" s="1"/>
  <c r="N132" i="14"/>
  <c r="N186" i="14"/>
  <c r="N67" i="14"/>
  <c r="G11" i="9"/>
  <c r="G10" i="9"/>
  <c r="G9" i="9"/>
  <c r="G8" i="9"/>
  <c r="G7" i="9"/>
  <c r="G6" i="9"/>
  <c r="O85" i="8"/>
  <c r="N265" i="14" s="1"/>
  <c r="L19" i="7"/>
  <c r="M64" i="14" s="1"/>
  <c r="L51" i="3"/>
  <c r="M214" i="14" s="1"/>
  <c r="L51" i="7"/>
  <c r="M95" i="14" s="1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3" i="8"/>
  <c r="J84" i="8"/>
  <c r="J85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7" i="8"/>
  <c r="G28" i="8"/>
  <c r="G29" i="8"/>
  <c r="G30" i="8"/>
  <c r="G31" i="8"/>
  <c r="G32" i="8"/>
  <c r="G33" i="8"/>
  <c r="G34" i="8"/>
  <c r="G35" i="8"/>
  <c r="G36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3" i="8"/>
  <c r="G84" i="8"/>
  <c r="G85" i="8"/>
  <c r="H62" i="8"/>
  <c r="H61" i="8"/>
  <c r="H31" i="8"/>
  <c r="H30" i="8"/>
  <c r="O90" i="14"/>
  <c r="H68" i="14"/>
  <c r="I68" i="14"/>
  <c r="K68" i="14"/>
  <c r="H69" i="14"/>
  <c r="I69" i="14"/>
  <c r="K69" i="14"/>
  <c r="H70" i="14"/>
  <c r="I70" i="14"/>
  <c r="K70" i="14"/>
  <c r="H71" i="14"/>
  <c r="I71" i="14"/>
  <c r="K71" i="14"/>
  <c r="H72" i="14"/>
  <c r="I72" i="14"/>
  <c r="K72" i="14"/>
  <c r="H73" i="14"/>
  <c r="I73" i="14"/>
  <c r="K73" i="14"/>
  <c r="H74" i="14"/>
  <c r="I74" i="14"/>
  <c r="K74" i="14"/>
  <c r="H75" i="14"/>
  <c r="I75" i="14"/>
  <c r="K75" i="14"/>
  <c r="H76" i="14"/>
  <c r="I76" i="14"/>
  <c r="K76" i="14"/>
  <c r="H77" i="14"/>
  <c r="I77" i="14"/>
  <c r="K77" i="14"/>
  <c r="H78" i="14"/>
  <c r="I78" i="14"/>
  <c r="K78" i="14"/>
  <c r="H79" i="14"/>
  <c r="I79" i="14"/>
  <c r="K79" i="14"/>
  <c r="H80" i="14"/>
  <c r="I80" i="14"/>
  <c r="K80" i="14"/>
  <c r="H81" i="14"/>
  <c r="I81" i="14"/>
  <c r="K81" i="14"/>
  <c r="H82" i="14"/>
  <c r="I82" i="14"/>
  <c r="K82" i="14"/>
  <c r="H83" i="14"/>
  <c r="I83" i="14"/>
  <c r="K83" i="14"/>
  <c r="H84" i="14"/>
  <c r="I84" i="14"/>
  <c r="K84" i="14"/>
  <c r="H85" i="14"/>
  <c r="I85" i="14"/>
  <c r="K85" i="14"/>
  <c r="H86" i="14"/>
  <c r="I86" i="14"/>
  <c r="K86" i="14"/>
  <c r="H87" i="14"/>
  <c r="I87" i="14"/>
  <c r="K87" i="14"/>
  <c r="H88" i="14"/>
  <c r="I88" i="14"/>
  <c r="K88" i="14"/>
  <c r="H89" i="14"/>
  <c r="I89" i="14"/>
  <c r="K89" i="14"/>
  <c r="H90" i="14"/>
  <c r="I90" i="14"/>
  <c r="K90" i="14"/>
  <c r="H91" i="14"/>
  <c r="I91" i="14"/>
  <c r="K91" i="14"/>
  <c r="H92" i="14"/>
  <c r="I92" i="14"/>
  <c r="K92" i="14"/>
  <c r="H93" i="14"/>
  <c r="I93" i="14"/>
  <c r="K93" i="14"/>
  <c r="H94" i="14"/>
  <c r="I94" i="14"/>
  <c r="K94" i="14"/>
  <c r="H95" i="14"/>
  <c r="I95" i="14"/>
  <c r="K95" i="14"/>
  <c r="H96" i="14"/>
  <c r="I96" i="14"/>
  <c r="K96" i="14"/>
  <c r="H97" i="14"/>
  <c r="I97" i="14"/>
  <c r="K97" i="14"/>
  <c r="H99" i="14"/>
  <c r="I99" i="14"/>
  <c r="K99" i="14"/>
  <c r="H100" i="14"/>
  <c r="I100" i="14"/>
  <c r="K100" i="14"/>
  <c r="H101" i="14"/>
  <c r="I101" i="14"/>
  <c r="K101" i="14"/>
  <c r="H102" i="14"/>
  <c r="I102" i="14"/>
  <c r="K102" i="14"/>
  <c r="H103" i="14"/>
  <c r="I103" i="14"/>
  <c r="K103" i="14"/>
  <c r="H104" i="14"/>
  <c r="I104" i="14"/>
  <c r="K104" i="14"/>
  <c r="H105" i="14"/>
  <c r="I105" i="14"/>
  <c r="K105" i="14"/>
  <c r="H106" i="14"/>
  <c r="I106" i="14"/>
  <c r="K106" i="14"/>
  <c r="H107" i="14"/>
  <c r="I107" i="14"/>
  <c r="K107" i="14"/>
  <c r="H108" i="14"/>
  <c r="I108" i="14"/>
  <c r="K108" i="14"/>
  <c r="H109" i="14"/>
  <c r="I109" i="14"/>
  <c r="K109" i="14"/>
  <c r="H110" i="14"/>
  <c r="I110" i="14"/>
  <c r="K110" i="14"/>
  <c r="H111" i="14"/>
  <c r="I111" i="14"/>
  <c r="K111" i="14"/>
  <c r="H112" i="14"/>
  <c r="I112" i="14"/>
  <c r="K112" i="14"/>
  <c r="H113" i="14"/>
  <c r="I113" i="14"/>
  <c r="K113" i="14"/>
  <c r="H114" i="14"/>
  <c r="I114" i="14"/>
  <c r="K114" i="14"/>
  <c r="H115" i="14"/>
  <c r="I115" i="14"/>
  <c r="K115" i="14"/>
  <c r="H116" i="14"/>
  <c r="I116" i="14"/>
  <c r="K116" i="14"/>
  <c r="H117" i="14"/>
  <c r="I117" i="14"/>
  <c r="K117" i="14"/>
  <c r="H118" i="14"/>
  <c r="I118" i="14"/>
  <c r="K118" i="14"/>
  <c r="H119" i="14"/>
  <c r="I119" i="14"/>
  <c r="K119" i="14"/>
  <c r="H120" i="14"/>
  <c r="I120" i="14"/>
  <c r="K120" i="14"/>
  <c r="H121" i="14"/>
  <c r="I121" i="14"/>
  <c r="K121" i="14"/>
  <c r="H122" i="14"/>
  <c r="I122" i="14"/>
  <c r="K122" i="14"/>
  <c r="H123" i="14"/>
  <c r="I123" i="14"/>
  <c r="K123" i="14"/>
  <c r="H124" i="14"/>
  <c r="I124" i="14"/>
  <c r="K124" i="14"/>
  <c r="H125" i="14"/>
  <c r="I125" i="14"/>
  <c r="K125" i="14"/>
  <c r="H126" i="14"/>
  <c r="I126" i="14"/>
  <c r="K126" i="14"/>
  <c r="H131" i="14"/>
  <c r="I131" i="14"/>
  <c r="K131" i="14"/>
  <c r="H132" i="14"/>
  <c r="I132" i="14"/>
  <c r="K132" i="14"/>
  <c r="H133" i="14"/>
  <c r="I133" i="14"/>
  <c r="K133" i="14"/>
  <c r="H134" i="14"/>
  <c r="I134" i="14"/>
  <c r="K134" i="14"/>
  <c r="H135" i="14"/>
  <c r="I135" i="14"/>
  <c r="K135" i="14"/>
  <c r="H136" i="14"/>
  <c r="I136" i="14"/>
  <c r="K136" i="14"/>
  <c r="H137" i="14"/>
  <c r="I137" i="14"/>
  <c r="K137" i="14"/>
  <c r="H138" i="14"/>
  <c r="I138" i="14"/>
  <c r="K138" i="14"/>
  <c r="H139" i="14"/>
  <c r="I139" i="14"/>
  <c r="K139" i="14"/>
  <c r="H140" i="14"/>
  <c r="I140" i="14"/>
  <c r="K140" i="14"/>
  <c r="H141" i="14"/>
  <c r="I141" i="14"/>
  <c r="K141" i="14"/>
  <c r="H144" i="14"/>
  <c r="I144" i="14"/>
  <c r="K144" i="14"/>
  <c r="H145" i="14"/>
  <c r="I145" i="14"/>
  <c r="K145" i="14"/>
  <c r="H146" i="14"/>
  <c r="I146" i="14"/>
  <c r="K146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4" i="14"/>
  <c r="E145" i="14"/>
  <c r="E146" i="14"/>
  <c r="H70" i="7"/>
  <c r="H49" i="7"/>
  <c r="K49" i="7" s="1"/>
  <c r="L93" i="14" s="1"/>
  <c r="H48" i="7"/>
  <c r="L48" i="7" s="1"/>
  <c r="M92" i="14" s="1"/>
  <c r="H36" i="7"/>
  <c r="H37" i="7"/>
  <c r="J10" i="15"/>
  <c r="J9" i="15"/>
  <c r="J8" i="15"/>
  <c r="J7" i="15"/>
  <c r="J6" i="15"/>
  <c r="J5" i="15"/>
  <c r="G13" i="2"/>
  <c r="I52" i="2"/>
  <c r="J41" i="14" s="1"/>
  <c r="H46" i="14"/>
  <c r="H39" i="14"/>
  <c r="O7" i="14"/>
  <c r="O8" i="14"/>
  <c r="I7" i="14"/>
  <c r="K7" i="14"/>
  <c r="I8" i="14"/>
  <c r="K8" i="14"/>
  <c r="E7" i="14"/>
  <c r="E8" i="14"/>
  <c r="G12" i="2"/>
  <c r="O6" i="14"/>
  <c r="K6" i="14"/>
  <c r="E6" i="14"/>
  <c r="G11" i="2"/>
  <c r="H6" i="14" s="1"/>
  <c r="G9" i="5"/>
  <c r="H9" i="5"/>
  <c r="J9" i="5"/>
  <c r="G10" i="5"/>
  <c r="H10" i="5"/>
  <c r="J10" i="5"/>
  <c r="H176" i="14"/>
  <c r="I176" i="14"/>
  <c r="K176" i="14"/>
  <c r="N176" i="14"/>
  <c r="O176" i="14"/>
  <c r="H177" i="14"/>
  <c r="I177" i="14"/>
  <c r="K177" i="14"/>
  <c r="N177" i="14"/>
  <c r="O177" i="14"/>
  <c r="E176" i="14"/>
  <c r="E177" i="14"/>
  <c r="H57" i="14"/>
  <c r="I57" i="14"/>
  <c r="K57" i="14"/>
  <c r="N57" i="14"/>
  <c r="O57" i="14"/>
  <c r="H58" i="14"/>
  <c r="I58" i="14"/>
  <c r="K58" i="14"/>
  <c r="N58" i="14"/>
  <c r="O58" i="14"/>
  <c r="E57" i="14"/>
  <c r="E58" i="14"/>
  <c r="H10" i="3"/>
  <c r="H11" i="3"/>
  <c r="K11" i="3" s="1"/>
  <c r="H10" i="7"/>
  <c r="H11" i="7"/>
  <c r="H263" i="14"/>
  <c r="I263" i="14"/>
  <c r="K263" i="14"/>
  <c r="O263" i="14"/>
  <c r="H200" i="14"/>
  <c r="I200" i="14"/>
  <c r="K200" i="14"/>
  <c r="O200" i="14"/>
  <c r="O144" i="14"/>
  <c r="O81" i="14"/>
  <c r="H83" i="8"/>
  <c r="H20" i="8"/>
  <c r="H100" i="3"/>
  <c r="L100" i="3" s="1"/>
  <c r="M263" i="14" s="1"/>
  <c r="H100" i="7"/>
  <c r="K100" i="7" s="1"/>
  <c r="L144" i="14" s="1"/>
  <c r="H37" i="3"/>
  <c r="H39" i="7"/>
  <c r="J83" i="14" s="1"/>
  <c r="O3" i="14"/>
  <c r="O4" i="14"/>
  <c r="O5" i="14"/>
  <c r="O9" i="14"/>
  <c r="O10" i="14"/>
  <c r="O11" i="14"/>
  <c r="O12" i="14"/>
  <c r="O13" i="14"/>
  <c r="O14" i="14"/>
  <c r="O15" i="14"/>
  <c r="O16" i="14"/>
  <c r="O1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3" i="14"/>
  <c r="O54" i="14"/>
  <c r="O55" i="14"/>
  <c r="O56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2" i="14"/>
  <c r="O83" i="14"/>
  <c r="O84" i="14"/>
  <c r="O85" i="14"/>
  <c r="O86" i="14"/>
  <c r="O87" i="14"/>
  <c r="O88" i="14"/>
  <c r="O89" i="14"/>
  <c r="O91" i="14"/>
  <c r="O92" i="14"/>
  <c r="O93" i="14"/>
  <c r="O94" i="14"/>
  <c r="O95" i="14"/>
  <c r="O96" i="14"/>
  <c r="O97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31" i="14"/>
  <c r="O132" i="14"/>
  <c r="O133" i="14"/>
  <c r="O134" i="14"/>
  <c r="O135" i="14"/>
  <c r="O136" i="14"/>
  <c r="O137" i="14"/>
  <c r="O138" i="14"/>
  <c r="O139" i="14"/>
  <c r="O140" i="14"/>
  <c r="O141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" i="14"/>
  <c r="H16" i="1"/>
  <c r="N54" i="14"/>
  <c r="N55" i="14"/>
  <c r="N56" i="14"/>
  <c r="N59" i="14"/>
  <c r="N60" i="14"/>
  <c r="N61" i="14"/>
  <c r="N62" i="14"/>
  <c r="N63" i="14"/>
  <c r="N64" i="14"/>
  <c r="N65" i="14"/>
  <c r="N66" i="14"/>
  <c r="N147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8" i="14"/>
  <c r="N179" i="14"/>
  <c r="N180" i="14"/>
  <c r="N181" i="14"/>
  <c r="N182" i="14"/>
  <c r="N183" i="14"/>
  <c r="N184" i="14"/>
  <c r="N185" i="14"/>
  <c r="N266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K281" i="14"/>
  <c r="K282" i="14"/>
  <c r="K283" i="14"/>
  <c r="K284" i="14"/>
  <c r="K285" i="14"/>
  <c r="I286" i="14"/>
  <c r="K286" i="14"/>
  <c r="K287" i="14"/>
  <c r="I288" i="14"/>
  <c r="K288" i="14"/>
  <c r="I289" i="14"/>
  <c r="K289" i="14"/>
  <c r="I290" i="14"/>
  <c r="K290" i="14"/>
  <c r="H282" i="14"/>
  <c r="H283" i="14"/>
  <c r="H284" i="14"/>
  <c r="H285" i="14"/>
  <c r="H286" i="14"/>
  <c r="H287" i="14"/>
  <c r="H288" i="14"/>
  <c r="H289" i="14"/>
  <c r="H290" i="14"/>
  <c r="H281" i="14"/>
  <c r="E291" i="14"/>
  <c r="E290" i="14"/>
  <c r="E289" i="14"/>
  <c r="E282" i="14"/>
  <c r="E283" i="14"/>
  <c r="E284" i="14"/>
  <c r="E285" i="14"/>
  <c r="E286" i="14"/>
  <c r="E287" i="14"/>
  <c r="E288" i="14"/>
  <c r="E281" i="14"/>
  <c r="E280" i="14"/>
  <c r="I269" i="14"/>
  <c r="K269" i="14"/>
  <c r="I270" i="14"/>
  <c r="K270" i="14"/>
  <c r="I271" i="14"/>
  <c r="K271" i="14"/>
  <c r="I272" i="14"/>
  <c r="K272" i="14"/>
  <c r="I273" i="14"/>
  <c r="K273" i="14"/>
  <c r="I274" i="14"/>
  <c r="K274" i="14"/>
  <c r="I275" i="14"/>
  <c r="K275" i="14"/>
  <c r="I276" i="14"/>
  <c r="K276" i="14"/>
  <c r="K277" i="14"/>
  <c r="I278" i="14"/>
  <c r="K278" i="14"/>
  <c r="I279" i="14"/>
  <c r="K279" i="14"/>
  <c r="H270" i="14"/>
  <c r="H271" i="14"/>
  <c r="H272" i="14"/>
  <c r="H273" i="14"/>
  <c r="H274" i="14"/>
  <c r="H275" i="14"/>
  <c r="H276" i="14"/>
  <c r="H277" i="14"/>
  <c r="H278" i="14"/>
  <c r="H279" i="14"/>
  <c r="H269" i="14"/>
  <c r="E279" i="14"/>
  <c r="E278" i="14"/>
  <c r="E277" i="14"/>
  <c r="E270" i="14"/>
  <c r="E271" i="14"/>
  <c r="E272" i="14"/>
  <c r="E273" i="14"/>
  <c r="E274" i="14"/>
  <c r="E275" i="14"/>
  <c r="E276" i="14"/>
  <c r="E269" i="14"/>
  <c r="K267" i="14"/>
  <c r="H267" i="14"/>
  <c r="E268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64" i="14"/>
  <c r="K265" i="14"/>
  <c r="I188" i="14"/>
  <c r="I190" i="14"/>
  <c r="I191" i="14"/>
  <c r="I192" i="14"/>
  <c r="I193" i="14"/>
  <c r="I194" i="14"/>
  <c r="I195" i="14"/>
  <c r="I196" i="14"/>
  <c r="I198" i="14"/>
  <c r="I199" i="14"/>
  <c r="I202" i="14"/>
  <c r="I205" i="14"/>
  <c r="I206" i="14"/>
  <c r="I207" i="14"/>
  <c r="I208" i="14"/>
  <c r="I210" i="14"/>
  <c r="I211" i="14"/>
  <c r="I212" i="14"/>
  <c r="I213" i="14"/>
  <c r="I215" i="14"/>
  <c r="I216" i="14"/>
  <c r="I218" i="14"/>
  <c r="I219" i="14"/>
  <c r="I220" i="14"/>
  <c r="I221" i="14"/>
  <c r="I222" i="14"/>
  <c r="I223" i="14"/>
  <c r="I225" i="14"/>
  <c r="I226" i="14"/>
  <c r="I228" i="14"/>
  <c r="I230" i="14"/>
  <c r="I231" i="14"/>
  <c r="I232" i="14"/>
  <c r="I234" i="14"/>
  <c r="I235" i="14"/>
  <c r="I236" i="14"/>
  <c r="I237" i="14"/>
  <c r="I238" i="14"/>
  <c r="I240" i="14"/>
  <c r="I242" i="14"/>
  <c r="I244" i="14"/>
  <c r="I245" i="14"/>
  <c r="I265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64" i="14"/>
  <c r="H265" i="14"/>
  <c r="H186" i="14"/>
  <c r="I182" i="14"/>
  <c r="K182" i="14"/>
  <c r="K183" i="14"/>
  <c r="I184" i="14"/>
  <c r="K184" i="14"/>
  <c r="H183" i="14"/>
  <c r="H184" i="14"/>
  <c r="H182" i="14"/>
  <c r="E183" i="14"/>
  <c r="E184" i="14"/>
  <c r="E185" i="14"/>
  <c r="E182" i="14"/>
  <c r="I180" i="14"/>
  <c r="K180" i="14"/>
  <c r="H180" i="14"/>
  <c r="E181" i="14"/>
  <c r="E180" i="14"/>
  <c r="K173" i="14"/>
  <c r="I174" i="14"/>
  <c r="K174" i="14"/>
  <c r="I175" i="14"/>
  <c r="K175" i="14"/>
  <c r="I178" i="14"/>
  <c r="K178" i="14"/>
  <c r="H174" i="14"/>
  <c r="H175" i="14"/>
  <c r="H178" i="14"/>
  <c r="H173" i="14"/>
  <c r="E174" i="14"/>
  <c r="E175" i="14"/>
  <c r="E178" i="14"/>
  <c r="E179" i="14"/>
  <c r="E173" i="14"/>
  <c r="K162" i="14"/>
  <c r="K163" i="14"/>
  <c r="K164" i="14"/>
  <c r="K165" i="14"/>
  <c r="K166" i="14"/>
  <c r="K167" i="14"/>
  <c r="K168" i="14"/>
  <c r="K169" i="14"/>
  <c r="K170" i="14"/>
  <c r="K171" i="14"/>
  <c r="I167" i="14"/>
  <c r="I169" i="14"/>
  <c r="I171" i="14"/>
  <c r="H163" i="14"/>
  <c r="H164" i="14"/>
  <c r="H165" i="14"/>
  <c r="H166" i="14"/>
  <c r="H167" i="14"/>
  <c r="H168" i="14"/>
  <c r="H169" i="14"/>
  <c r="H170" i="14"/>
  <c r="H171" i="14"/>
  <c r="H162" i="14"/>
  <c r="E172" i="14"/>
  <c r="E170" i="14"/>
  <c r="E171" i="14"/>
  <c r="E163" i="14"/>
  <c r="E164" i="14"/>
  <c r="E165" i="14"/>
  <c r="E166" i="14"/>
  <c r="E167" i="14"/>
  <c r="E168" i="14"/>
  <c r="E169" i="14"/>
  <c r="E162" i="14"/>
  <c r="E161" i="14"/>
  <c r="I150" i="14"/>
  <c r="K150" i="14"/>
  <c r="I151" i="14"/>
  <c r="K151" i="14"/>
  <c r="I152" i="14"/>
  <c r="K152" i="14"/>
  <c r="I153" i="14"/>
  <c r="K153" i="14"/>
  <c r="I154" i="14"/>
  <c r="K154" i="14"/>
  <c r="I155" i="14"/>
  <c r="K155" i="14"/>
  <c r="I156" i="14"/>
  <c r="K156" i="14"/>
  <c r="I157" i="14"/>
  <c r="K157" i="14"/>
  <c r="K158" i="14"/>
  <c r="I159" i="14"/>
  <c r="K159" i="14"/>
  <c r="I160" i="14"/>
  <c r="K160" i="14"/>
  <c r="H151" i="14"/>
  <c r="H152" i="14"/>
  <c r="H153" i="14"/>
  <c r="H154" i="14"/>
  <c r="H155" i="14"/>
  <c r="H156" i="14"/>
  <c r="H157" i="14"/>
  <c r="H158" i="14"/>
  <c r="H159" i="14"/>
  <c r="H160" i="14"/>
  <c r="H150" i="14"/>
  <c r="E160" i="14"/>
  <c r="E159" i="14"/>
  <c r="E151" i="14"/>
  <c r="E152" i="14"/>
  <c r="E153" i="14"/>
  <c r="E154" i="14"/>
  <c r="E155" i="14"/>
  <c r="E156" i="14"/>
  <c r="E157" i="14"/>
  <c r="E158" i="14"/>
  <c r="E150" i="14"/>
  <c r="I148" i="14"/>
  <c r="K148" i="14"/>
  <c r="H148" i="14"/>
  <c r="E149" i="14"/>
  <c r="E148" i="14"/>
  <c r="E147" i="14"/>
  <c r="K67" i="14"/>
  <c r="I67" i="14"/>
  <c r="H67" i="14"/>
  <c r="E67" i="14"/>
  <c r="K63" i="14"/>
  <c r="K64" i="14"/>
  <c r="K65" i="14"/>
  <c r="I63" i="14"/>
  <c r="I65" i="14"/>
  <c r="H64" i="14"/>
  <c r="H65" i="14"/>
  <c r="H63" i="14"/>
  <c r="K61" i="14"/>
  <c r="I61" i="14"/>
  <c r="H61" i="14"/>
  <c r="K54" i="14"/>
  <c r="K55" i="14"/>
  <c r="K56" i="14"/>
  <c r="K59" i="14"/>
  <c r="I55" i="14"/>
  <c r="I56" i="14"/>
  <c r="I59" i="14"/>
  <c r="H55" i="14"/>
  <c r="H56" i="14"/>
  <c r="H59" i="14"/>
  <c r="H54" i="14"/>
  <c r="E64" i="14"/>
  <c r="E65" i="14"/>
  <c r="E66" i="14"/>
  <c r="E63" i="14"/>
  <c r="E62" i="14"/>
  <c r="E61" i="14"/>
  <c r="E60" i="14"/>
  <c r="I267" i="14"/>
  <c r="J134" i="3"/>
  <c r="I134" i="3"/>
  <c r="F134" i="3"/>
  <c r="K280" i="14"/>
  <c r="E34" i="1"/>
  <c r="F21" i="3"/>
  <c r="J16" i="3"/>
  <c r="H28" i="1"/>
  <c r="G16" i="3"/>
  <c r="F16" i="3"/>
  <c r="J13" i="3"/>
  <c r="H179" i="14"/>
  <c r="F135" i="7"/>
  <c r="J108" i="7"/>
  <c r="K149" i="14"/>
  <c r="I21" i="7"/>
  <c r="H9" i="1" s="1"/>
  <c r="F21" i="7"/>
  <c r="E14" i="1"/>
  <c r="J16" i="7"/>
  <c r="I16" i="7"/>
  <c r="H8" i="1" s="1"/>
  <c r="G16" i="7"/>
  <c r="F16" i="7"/>
  <c r="E8" i="1" s="1"/>
  <c r="J13" i="7"/>
  <c r="I13" i="7"/>
  <c r="F13" i="7"/>
  <c r="E55" i="14"/>
  <c r="E56" i="14"/>
  <c r="E59" i="14"/>
  <c r="E54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29" i="14"/>
  <c r="I31" i="14"/>
  <c r="I35" i="14"/>
  <c r="I39" i="14"/>
  <c r="I40" i="14"/>
  <c r="I41" i="14"/>
  <c r="I43" i="14"/>
  <c r="I44" i="14"/>
  <c r="I48" i="14"/>
  <c r="E53" i="14"/>
  <c r="E48" i="14"/>
  <c r="E49" i="14"/>
  <c r="E46" i="14"/>
  <c r="E47" i="14"/>
  <c r="E44" i="14"/>
  <c r="E45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29" i="14"/>
  <c r="K3" i="14"/>
  <c r="K4" i="14"/>
  <c r="K5" i="14"/>
  <c r="K9" i="14"/>
  <c r="K10" i="14"/>
  <c r="K11" i="14"/>
  <c r="K12" i="14"/>
  <c r="K13" i="14"/>
  <c r="K14" i="14"/>
  <c r="K15" i="14"/>
  <c r="K16" i="14"/>
  <c r="K17" i="14"/>
  <c r="K2" i="14"/>
  <c r="I4" i="14"/>
  <c r="I5" i="14"/>
  <c r="I12" i="14"/>
  <c r="I16" i="14"/>
  <c r="E28" i="14"/>
  <c r="E17" i="14"/>
  <c r="E15" i="14"/>
  <c r="E16" i="14"/>
  <c r="E13" i="14"/>
  <c r="E14" i="14"/>
  <c r="E4" i="14"/>
  <c r="E5" i="14"/>
  <c r="E9" i="14"/>
  <c r="E10" i="14"/>
  <c r="E11" i="14"/>
  <c r="E12" i="14"/>
  <c r="E3" i="14"/>
  <c r="E2" i="14"/>
  <c r="K62" i="14"/>
  <c r="I30" i="14"/>
  <c r="I47" i="14"/>
  <c r="I3" i="14"/>
  <c r="I264" i="14"/>
  <c r="I214" i="14"/>
  <c r="I17" i="14"/>
  <c r="I38" i="14"/>
  <c r="I37" i="14"/>
  <c r="I14" i="14"/>
  <c r="I13" i="14"/>
  <c r="I34" i="14"/>
  <c r="I11" i="14"/>
  <c r="I10" i="14"/>
  <c r="I9" i="14"/>
  <c r="I29" i="14"/>
  <c r="I227" i="14"/>
  <c r="I287" i="14"/>
  <c r="I168" i="14"/>
  <c r="I2" i="14"/>
  <c r="I285" i="14"/>
  <c r="I166" i="14"/>
  <c r="I283" i="14"/>
  <c r="I164" i="14"/>
  <c r="I282" i="14"/>
  <c r="I163" i="14"/>
  <c r="I239" i="14"/>
  <c r="I189" i="14"/>
  <c r="I243" i="14"/>
  <c r="I224" i="14"/>
  <c r="H121" i="3"/>
  <c r="L121" i="3" s="1"/>
  <c r="L121" i="7"/>
  <c r="I158" i="14"/>
  <c r="I161" i="14"/>
  <c r="I277" i="14"/>
  <c r="I280" i="14"/>
  <c r="I229" i="14"/>
  <c r="K107" i="7"/>
  <c r="H107" i="3"/>
  <c r="I233" i="14"/>
  <c r="I241" i="14"/>
  <c r="I281" i="14"/>
  <c r="I162" i="14"/>
  <c r="I204" i="14"/>
  <c r="I203" i="14"/>
  <c r="I170" i="14"/>
  <c r="I165" i="14"/>
  <c r="F16" i="1"/>
  <c r="I284" i="14"/>
  <c r="F36" i="1"/>
  <c r="I201" i="14"/>
  <c r="I197" i="14"/>
  <c r="I186" i="14"/>
  <c r="I187" i="14"/>
  <c r="H23" i="3"/>
  <c r="L23" i="3" s="1"/>
  <c r="M186" i="14" s="1"/>
  <c r="H103" i="7"/>
  <c r="K103" i="7" s="1"/>
  <c r="H103" i="3"/>
  <c r="K103" i="3" s="1"/>
  <c r="J7" i="8"/>
  <c r="J8" i="8"/>
  <c r="J9" i="8"/>
  <c r="J10" i="8"/>
  <c r="J11" i="8"/>
  <c r="J12" i="8"/>
  <c r="J13" i="8"/>
  <c r="J6" i="8"/>
  <c r="J34" i="5"/>
  <c r="J35" i="5"/>
  <c r="J36" i="5"/>
  <c r="J37" i="5"/>
  <c r="J38" i="5"/>
  <c r="J39" i="5"/>
  <c r="J40" i="5"/>
  <c r="J41" i="5"/>
  <c r="J42" i="5"/>
  <c r="J33" i="5"/>
  <c r="J22" i="5"/>
  <c r="J23" i="5"/>
  <c r="J24" i="5"/>
  <c r="J25" i="5"/>
  <c r="J26" i="5"/>
  <c r="J27" i="5"/>
  <c r="J28" i="5"/>
  <c r="J29" i="5"/>
  <c r="J30" i="5"/>
  <c r="J31" i="5"/>
  <c r="J21" i="5"/>
  <c r="J19" i="5"/>
  <c r="J16" i="5"/>
  <c r="J17" i="5"/>
  <c r="J15" i="5"/>
  <c r="J13" i="5"/>
  <c r="J7" i="5"/>
  <c r="J8" i="5"/>
  <c r="J11" i="5"/>
  <c r="J6" i="5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1" i="8"/>
  <c r="H22" i="8"/>
  <c r="H23" i="8"/>
  <c r="H24" i="8"/>
  <c r="H25" i="8"/>
  <c r="H26" i="8"/>
  <c r="H27" i="8"/>
  <c r="H28" i="8"/>
  <c r="H29" i="8"/>
  <c r="H32" i="8"/>
  <c r="H33" i="8"/>
  <c r="H34" i="8"/>
  <c r="H35" i="8"/>
  <c r="H36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3" i="8"/>
  <c r="H64" i="8"/>
  <c r="H65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4" i="8"/>
  <c r="H85" i="8"/>
  <c r="H6" i="8"/>
  <c r="G7" i="8"/>
  <c r="G8" i="8"/>
  <c r="G9" i="8"/>
  <c r="G10" i="8"/>
  <c r="G11" i="8"/>
  <c r="G6" i="8"/>
  <c r="H34" i="5"/>
  <c r="H35" i="5"/>
  <c r="H36" i="5"/>
  <c r="H37" i="5"/>
  <c r="H38" i="5"/>
  <c r="H39" i="5"/>
  <c r="H40" i="5"/>
  <c r="H41" i="5"/>
  <c r="H42" i="5"/>
  <c r="H33" i="5"/>
  <c r="H22" i="5"/>
  <c r="H23" i="5"/>
  <c r="H24" i="5"/>
  <c r="H25" i="5"/>
  <c r="H26" i="5"/>
  <c r="H27" i="5"/>
  <c r="H28" i="5"/>
  <c r="H29" i="5"/>
  <c r="H30" i="5"/>
  <c r="H31" i="5"/>
  <c r="H21" i="5"/>
  <c r="H19" i="5"/>
  <c r="H16" i="5"/>
  <c r="H17" i="5"/>
  <c r="H15" i="5"/>
  <c r="H13" i="5"/>
  <c r="H7" i="5"/>
  <c r="H8" i="5"/>
  <c r="H11" i="5"/>
  <c r="H6" i="5"/>
  <c r="G34" i="5"/>
  <c r="G35" i="5"/>
  <c r="G36" i="5"/>
  <c r="G37" i="5"/>
  <c r="G38" i="5"/>
  <c r="G39" i="5"/>
  <c r="G40" i="5"/>
  <c r="G41" i="5"/>
  <c r="G42" i="5"/>
  <c r="G33" i="5"/>
  <c r="G22" i="5"/>
  <c r="G23" i="5"/>
  <c r="G24" i="5"/>
  <c r="G25" i="5"/>
  <c r="G26" i="5"/>
  <c r="G27" i="5"/>
  <c r="G28" i="5"/>
  <c r="G29" i="5"/>
  <c r="G30" i="5"/>
  <c r="G31" i="5"/>
  <c r="G21" i="5"/>
  <c r="G19" i="5"/>
  <c r="G16" i="5"/>
  <c r="G17" i="5"/>
  <c r="G15" i="5"/>
  <c r="G13" i="5"/>
  <c r="G7" i="5"/>
  <c r="G8" i="5"/>
  <c r="G11" i="5"/>
  <c r="G6" i="5"/>
  <c r="G37" i="1"/>
  <c r="G39" i="1"/>
  <c r="J39" i="1" s="1"/>
  <c r="G40" i="1"/>
  <c r="G41" i="1"/>
  <c r="J41" i="1" s="1"/>
  <c r="G17" i="1"/>
  <c r="I17" i="1" s="1"/>
  <c r="G19" i="1"/>
  <c r="I19" i="1" s="1"/>
  <c r="G20" i="1"/>
  <c r="G21" i="1"/>
  <c r="I21" i="1" s="1"/>
  <c r="H133" i="7"/>
  <c r="J171" i="14" s="1"/>
  <c r="H132" i="7"/>
  <c r="L132" i="7" s="1"/>
  <c r="M170" i="14" s="1"/>
  <c r="H131" i="7"/>
  <c r="K131" i="7" s="1"/>
  <c r="K40" i="5" s="1"/>
  <c r="H130" i="7"/>
  <c r="J168" i="14" s="1"/>
  <c r="H129" i="7"/>
  <c r="K129" i="7" s="1"/>
  <c r="H128" i="7"/>
  <c r="J166" i="14" s="1"/>
  <c r="H127" i="7"/>
  <c r="H126" i="7"/>
  <c r="K126" i="7" s="1"/>
  <c r="L164" i="14" s="1"/>
  <c r="H125" i="7"/>
  <c r="J163" i="14" s="1"/>
  <c r="H124" i="7"/>
  <c r="L118" i="7"/>
  <c r="M158" i="14" s="1"/>
  <c r="L116" i="7"/>
  <c r="M156" i="14" s="1"/>
  <c r="L115" i="7"/>
  <c r="M155" i="14" s="1"/>
  <c r="L114" i="7"/>
  <c r="M154" i="14" s="1"/>
  <c r="L112" i="7"/>
  <c r="M152" i="14" s="1"/>
  <c r="L111" i="7"/>
  <c r="M151" i="14" s="1"/>
  <c r="H102" i="7"/>
  <c r="K102" i="7" s="1"/>
  <c r="L146" i="14" s="1"/>
  <c r="H101" i="7"/>
  <c r="K101" i="7" s="1"/>
  <c r="H97" i="7"/>
  <c r="J141" i="14" s="1"/>
  <c r="H96" i="7"/>
  <c r="L96" i="7" s="1"/>
  <c r="M140" i="14" s="1"/>
  <c r="H95" i="7"/>
  <c r="L95" i="7" s="1"/>
  <c r="M139" i="14" s="1"/>
  <c r="H94" i="7"/>
  <c r="J138" i="14" s="1"/>
  <c r="H93" i="7"/>
  <c r="L93" i="7" s="1"/>
  <c r="M137" i="14" s="1"/>
  <c r="H92" i="7"/>
  <c r="J136" i="14" s="1"/>
  <c r="H91" i="7"/>
  <c r="K91" i="7" s="1"/>
  <c r="L135" i="14" s="1"/>
  <c r="H90" i="7"/>
  <c r="H89" i="7"/>
  <c r="K89" i="7" s="1"/>
  <c r="L133" i="14" s="1"/>
  <c r="H88" i="7"/>
  <c r="K88" i="7" s="1"/>
  <c r="L132" i="14" s="1"/>
  <c r="H87" i="7"/>
  <c r="J131" i="14" s="1"/>
  <c r="H85" i="7"/>
  <c r="H84" i="7"/>
  <c r="J128" i="14" s="1"/>
  <c r="H82" i="7"/>
  <c r="L82" i="7" s="1"/>
  <c r="M126" i="14" s="1"/>
  <c r="H81" i="7"/>
  <c r="J125" i="14" s="1"/>
  <c r="H80" i="7"/>
  <c r="K80" i="7" s="1"/>
  <c r="H79" i="7"/>
  <c r="H78" i="7"/>
  <c r="J122" i="14" s="1"/>
  <c r="H77" i="7"/>
  <c r="J121" i="14" s="1"/>
  <c r="H76" i="7"/>
  <c r="H75" i="7"/>
  <c r="K75" i="7" s="1"/>
  <c r="L119" i="14" s="1"/>
  <c r="H74" i="7"/>
  <c r="L74" i="7" s="1"/>
  <c r="M118" i="14" s="1"/>
  <c r="H73" i="7"/>
  <c r="H72" i="7"/>
  <c r="K72" i="7" s="1"/>
  <c r="H71" i="7"/>
  <c r="J115" i="14" s="1"/>
  <c r="H69" i="7"/>
  <c r="L69" i="7" s="1"/>
  <c r="M113" i="14" s="1"/>
  <c r="H68" i="7"/>
  <c r="L68" i="7" s="1"/>
  <c r="M112" i="14" s="1"/>
  <c r="H67" i="7"/>
  <c r="H66" i="7"/>
  <c r="L66" i="7" s="1"/>
  <c r="M110" i="14" s="1"/>
  <c r="H65" i="7"/>
  <c r="L65" i="7" s="1"/>
  <c r="M109" i="14" s="1"/>
  <c r="H64" i="7"/>
  <c r="K64" i="7" s="1"/>
  <c r="H63" i="7"/>
  <c r="H62" i="7"/>
  <c r="L62" i="7" s="1"/>
  <c r="M106" i="14" s="1"/>
  <c r="H61" i="7"/>
  <c r="J105" i="14" s="1"/>
  <c r="H60" i="7"/>
  <c r="J104" i="14" s="1"/>
  <c r="H59" i="7"/>
  <c r="H58" i="7"/>
  <c r="K58" i="7" s="1"/>
  <c r="H57" i="7"/>
  <c r="K57" i="7" s="1"/>
  <c r="K40" i="8" s="1"/>
  <c r="H56" i="7"/>
  <c r="K56" i="7" s="1"/>
  <c r="H55" i="7"/>
  <c r="H53" i="7"/>
  <c r="K53" i="7" s="1"/>
  <c r="L97" i="14" s="1"/>
  <c r="H52" i="7"/>
  <c r="K52" i="7" s="1"/>
  <c r="L96" i="14" s="1"/>
  <c r="H51" i="7"/>
  <c r="J95" i="14" s="1"/>
  <c r="H50" i="7"/>
  <c r="H47" i="7"/>
  <c r="J91" i="14" s="1"/>
  <c r="H46" i="7"/>
  <c r="K46" i="7" s="1"/>
  <c r="H45" i="7"/>
  <c r="L45" i="7" s="1"/>
  <c r="M89" i="14" s="1"/>
  <c r="H44" i="7"/>
  <c r="H43" i="7"/>
  <c r="J87" i="14" s="1"/>
  <c r="H42" i="7"/>
  <c r="J86" i="14" s="1"/>
  <c r="H41" i="7"/>
  <c r="H40" i="7"/>
  <c r="H38" i="7"/>
  <c r="J82" i="14" s="1"/>
  <c r="H35" i="7"/>
  <c r="J79" i="14" s="1"/>
  <c r="H34" i="7"/>
  <c r="J78" i="14" s="1"/>
  <c r="H33" i="7"/>
  <c r="J77" i="14" s="1"/>
  <c r="H32" i="7"/>
  <c r="H31" i="7"/>
  <c r="J75" i="14" s="1"/>
  <c r="H30" i="7"/>
  <c r="J74" i="14" s="1"/>
  <c r="H29" i="7"/>
  <c r="L29" i="7" s="1"/>
  <c r="M73" i="14" s="1"/>
  <c r="H28" i="7"/>
  <c r="J72" i="14" s="1"/>
  <c r="H27" i="7"/>
  <c r="J71" i="14" s="1"/>
  <c r="H26" i="7"/>
  <c r="L26" i="7" s="1"/>
  <c r="M70" i="14" s="1"/>
  <c r="H24" i="7"/>
  <c r="L24" i="7" s="1"/>
  <c r="M68" i="14" s="1"/>
  <c r="H20" i="7"/>
  <c r="J65" i="14" s="1"/>
  <c r="H19" i="7"/>
  <c r="K19" i="7" s="1"/>
  <c r="H15" i="7"/>
  <c r="K15" i="7" s="1"/>
  <c r="L61" i="14" s="1"/>
  <c r="H12" i="7"/>
  <c r="J59" i="14" s="1"/>
  <c r="H9" i="7"/>
  <c r="K9" i="7" s="1"/>
  <c r="L56" i="14" s="1"/>
  <c r="H125" i="3"/>
  <c r="K125" i="3" s="1"/>
  <c r="L282" i="14" s="1"/>
  <c r="H126" i="3"/>
  <c r="K126" i="3" s="1"/>
  <c r="L283" i="14" s="1"/>
  <c r="H127" i="3"/>
  <c r="L127" i="3" s="1"/>
  <c r="M284" i="14" s="1"/>
  <c r="H128" i="3"/>
  <c r="J285" i="14" s="1"/>
  <c r="H129" i="3"/>
  <c r="J286" i="14" s="1"/>
  <c r="H130" i="3"/>
  <c r="K130" i="3" s="1"/>
  <c r="L287" i="14" s="1"/>
  <c r="H131" i="3"/>
  <c r="J288" i="14" s="1"/>
  <c r="H132" i="3"/>
  <c r="K132" i="3" s="1"/>
  <c r="H133" i="3"/>
  <c r="K133" i="3" s="1"/>
  <c r="H124" i="3"/>
  <c r="L124" i="3" s="1"/>
  <c r="M281" i="14" s="1"/>
  <c r="H111" i="3"/>
  <c r="K111" i="3" s="1"/>
  <c r="L270" i="14" s="1"/>
  <c r="H112" i="3"/>
  <c r="H113" i="3"/>
  <c r="J272" i="14" s="1"/>
  <c r="H114" i="3"/>
  <c r="K114" i="3" s="1"/>
  <c r="H115" i="3"/>
  <c r="K115" i="3" s="1"/>
  <c r="H116" i="3"/>
  <c r="L116" i="3" s="1"/>
  <c r="M275" i="14" s="1"/>
  <c r="H117" i="3"/>
  <c r="J276" i="14" s="1"/>
  <c r="H118" i="3"/>
  <c r="L118" i="3" s="1"/>
  <c r="M277" i="14" s="1"/>
  <c r="H119" i="3"/>
  <c r="L119" i="3" s="1"/>
  <c r="M278" i="14" s="1"/>
  <c r="H120" i="3"/>
  <c r="K120" i="3" s="1"/>
  <c r="L279" i="14" s="1"/>
  <c r="H110" i="3"/>
  <c r="L110" i="3" s="1"/>
  <c r="M269" i="14" s="1"/>
  <c r="H106" i="3"/>
  <c r="K106" i="3" s="1"/>
  <c r="L267" i="14" s="1"/>
  <c r="H24" i="3"/>
  <c r="J187" i="14" s="1"/>
  <c r="H26" i="3"/>
  <c r="L26" i="3" s="1"/>
  <c r="M189" i="14" s="1"/>
  <c r="H27" i="3"/>
  <c r="H28" i="3"/>
  <c r="K28" i="3" s="1"/>
  <c r="L191" i="14" s="1"/>
  <c r="H29" i="3"/>
  <c r="L29" i="3" s="1"/>
  <c r="M192" i="14" s="1"/>
  <c r="H30" i="3"/>
  <c r="K30" i="3" s="1"/>
  <c r="L193" i="14" s="1"/>
  <c r="H31" i="3"/>
  <c r="L31" i="3" s="1"/>
  <c r="M194" i="14" s="1"/>
  <c r="H32" i="3"/>
  <c r="K32" i="3" s="1"/>
  <c r="L195" i="14" s="1"/>
  <c r="H33" i="3"/>
  <c r="K33" i="3" s="1"/>
  <c r="L196" i="14" s="1"/>
  <c r="H34" i="3"/>
  <c r="K34" i="3" s="1"/>
  <c r="L197" i="14" s="1"/>
  <c r="H35" i="3"/>
  <c r="K35" i="3" s="1"/>
  <c r="H36" i="3"/>
  <c r="J199" i="14" s="1"/>
  <c r="H38" i="3"/>
  <c r="L38" i="3" s="1"/>
  <c r="M201" i="14" s="1"/>
  <c r="H39" i="3"/>
  <c r="J202" i="14" s="1"/>
  <c r="H40" i="3"/>
  <c r="K40" i="3" s="1"/>
  <c r="H41" i="3"/>
  <c r="K41" i="3" s="1"/>
  <c r="L204" i="14" s="1"/>
  <c r="H42" i="3"/>
  <c r="L42" i="3" s="1"/>
  <c r="M205" i="14" s="1"/>
  <c r="H43" i="3"/>
  <c r="K43" i="3" s="1"/>
  <c r="L26" i="8" s="1"/>
  <c r="H44" i="3"/>
  <c r="J207" i="14" s="1"/>
  <c r="H45" i="3"/>
  <c r="L45" i="3" s="1"/>
  <c r="M208" i="14" s="1"/>
  <c r="H47" i="3"/>
  <c r="H48" i="3"/>
  <c r="K48" i="3" s="1"/>
  <c r="L31" i="8" s="1"/>
  <c r="H49" i="3"/>
  <c r="L49" i="3" s="1"/>
  <c r="M212" i="14" s="1"/>
  <c r="H50" i="3"/>
  <c r="J213" i="14" s="1"/>
  <c r="H51" i="3"/>
  <c r="K51" i="3" s="1"/>
  <c r="H52" i="3"/>
  <c r="K52" i="3" s="1"/>
  <c r="L35" i="8" s="1"/>
  <c r="H53" i="3"/>
  <c r="H55" i="3"/>
  <c r="L55" i="3" s="1"/>
  <c r="M218" i="14" s="1"/>
  <c r="H56" i="3"/>
  <c r="J219" i="14" s="1"/>
  <c r="H57" i="3"/>
  <c r="K57" i="3" s="1"/>
  <c r="H58" i="3"/>
  <c r="K58" i="3" s="1"/>
  <c r="L41" i="8" s="1"/>
  <c r="H59" i="3"/>
  <c r="J222" i="14" s="1"/>
  <c r="H60" i="3"/>
  <c r="K60" i="3" s="1"/>
  <c r="H61" i="3"/>
  <c r="L61" i="3" s="1"/>
  <c r="M224" i="14" s="1"/>
  <c r="H62" i="3"/>
  <c r="J225" i="14" s="1"/>
  <c r="H63" i="3"/>
  <c r="K63" i="3" s="1"/>
  <c r="L226" i="14" s="1"/>
  <c r="H64" i="3"/>
  <c r="H65" i="3"/>
  <c r="L65" i="3" s="1"/>
  <c r="M228" i="14" s="1"/>
  <c r="H66" i="3"/>
  <c r="L66" i="3" s="1"/>
  <c r="M229" i="14" s="1"/>
  <c r="H67" i="3"/>
  <c r="J230" i="14" s="1"/>
  <c r="H68" i="3"/>
  <c r="H69" i="3"/>
  <c r="K69" i="3" s="1"/>
  <c r="H70" i="3"/>
  <c r="K70" i="3" s="1"/>
  <c r="H71" i="3"/>
  <c r="J234" i="14" s="1"/>
  <c r="H72" i="3"/>
  <c r="L72" i="3" s="1"/>
  <c r="M235" i="14" s="1"/>
  <c r="H73" i="3"/>
  <c r="K73" i="3" s="1"/>
  <c r="H74" i="3"/>
  <c r="J237" i="14" s="1"/>
  <c r="H75" i="3"/>
  <c r="J238" i="14" s="1"/>
  <c r="H76" i="3"/>
  <c r="K76" i="3" s="1"/>
  <c r="H77" i="3"/>
  <c r="K77" i="3" s="1"/>
  <c r="L60" i="8" s="1"/>
  <c r="H78" i="3"/>
  <c r="J241" i="14" s="1"/>
  <c r="H79" i="3"/>
  <c r="K79" i="3" s="1"/>
  <c r="L62" i="8" s="1"/>
  <c r="H80" i="3"/>
  <c r="K80" i="3" s="1"/>
  <c r="H81" i="3"/>
  <c r="J244" i="14" s="1"/>
  <c r="H82" i="3"/>
  <c r="L82" i="3" s="1"/>
  <c r="M245" i="14" s="1"/>
  <c r="H84" i="3"/>
  <c r="H87" i="3"/>
  <c r="J250" i="14" s="1"/>
  <c r="H88" i="3"/>
  <c r="J251" i="14" s="1"/>
  <c r="H89" i="3"/>
  <c r="J252" i="14" s="1"/>
  <c r="H90" i="3"/>
  <c r="H91" i="3"/>
  <c r="J254" i="14" s="1"/>
  <c r="H92" i="3"/>
  <c r="L92" i="3" s="1"/>
  <c r="M255" i="14" s="1"/>
  <c r="H93" i="3"/>
  <c r="H94" i="3"/>
  <c r="H95" i="3"/>
  <c r="H96" i="3"/>
  <c r="H97" i="3"/>
  <c r="H101" i="3"/>
  <c r="K101" i="3" s="1"/>
  <c r="L84" i="8" s="1"/>
  <c r="H102" i="3"/>
  <c r="H19" i="3"/>
  <c r="J183" i="14" s="1"/>
  <c r="H20" i="3"/>
  <c r="K20" i="3" s="1"/>
  <c r="H18" i="3"/>
  <c r="J182" i="14" s="1"/>
  <c r="H15" i="3"/>
  <c r="L15" i="3" s="1"/>
  <c r="M180" i="14" s="1"/>
  <c r="H8" i="3"/>
  <c r="K8" i="3" s="1"/>
  <c r="L174" i="14" s="1"/>
  <c r="H9" i="3"/>
  <c r="K9" i="3" s="1"/>
  <c r="L175" i="14" s="1"/>
  <c r="H12" i="3"/>
  <c r="K12" i="3" s="1"/>
  <c r="L59" i="2"/>
  <c r="M48" i="14" s="1"/>
  <c r="H47" i="14"/>
  <c r="H45" i="14"/>
  <c r="I51" i="2"/>
  <c r="K51" i="2" s="1"/>
  <c r="L40" i="14" s="1"/>
  <c r="L51" i="2"/>
  <c r="M40" i="14" s="1"/>
  <c r="L53" i="2"/>
  <c r="M42" i="14" s="1"/>
  <c r="H43" i="14"/>
  <c r="L55" i="2"/>
  <c r="M44" i="14" s="1"/>
  <c r="L44" i="2"/>
  <c r="M33" i="14" s="1"/>
  <c r="H36" i="14"/>
  <c r="L41" i="2"/>
  <c r="M30" i="14" s="1"/>
  <c r="G8" i="2"/>
  <c r="H3" i="14" s="1"/>
  <c r="G10" i="2"/>
  <c r="I10" i="2" s="1"/>
  <c r="J5" i="14" s="1"/>
  <c r="G14" i="2"/>
  <c r="H9" i="14" s="1"/>
  <c r="G15" i="2"/>
  <c r="L15" i="2" s="1"/>
  <c r="M10" i="14" s="1"/>
  <c r="G16" i="2"/>
  <c r="H11" i="14" s="1"/>
  <c r="G17" i="2"/>
  <c r="H12" i="14" s="1"/>
  <c r="G18" i="2"/>
  <c r="I18" i="2" s="1"/>
  <c r="G19" i="2"/>
  <c r="G20" i="2"/>
  <c r="H15" i="14" s="1"/>
  <c r="G21" i="2"/>
  <c r="G22" i="2"/>
  <c r="G7" i="2"/>
  <c r="H2" i="14" s="1"/>
  <c r="H44" i="14"/>
  <c r="I56" i="2"/>
  <c r="J45" i="14" s="1"/>
  <c r="H46" i="3"/>
  <c r="K46" i="3" s="1"/>
  <c r="L209" i="14" s="1"/>
  <c r="I209" i="14"/>
  <c r="K106" i="7"/>
  <c r="L148" i="14" s="1"/>
  <c r="J148" i="14"/>
  <c r="I183" i="14"/>
  <c r="G21" i="3"/>
  <c r="I46" i="2"/>
  <c r="J35" i="14" s="1"/>
  <c r="I64" i="14"/>
  <c r="I42" i="2"/>
  <c r="K118" i="7"/>
  <c r="L158" i="14" s="1"/>
  <c r="J156" i="14"/>
  <c r="K116" i="7"/>
  <c r="J155" i="14"/>
  <c r="K115" i="7"/>
  <c r="L155" i="14" s="1"/>
  <c r="K114" i="7"/>
  <c r="L154" i="14" s="1"/>
  <c r="J152" i="14"/>
  <c r="K112" i="7"/>
  <c r="L152" i="14" s="1"/>
  <c r="J151" i="14"/>
  <c r="K111" i="7"/>
  <c r="L151" i="14" s="1"/>
  <c r="H23" i="7"/>
  <c r="L23" i="7" s="1"/>
  <c r="M67" i="14" s="1"/>
  <c r="L106" i="7"/>
  <c r="M148" i="14" s="1"/>
  <c r="J19" i="1" l="1"/>
  <c r="J194" i="14"/>
  <c r="E10" i="8"/>
  <c r="F10" i="8" s="1"/>
  <c r="M255" i="21"/>
  <c r="L66" i="17"/>
  <c r="L50" i="17"/>
  <c r="L38" i="17"/>
  <c r="L30" i="17"/>
  <c r="L26" i="17"/>
  <c r="L22" i="17"/>
  <c r="L97" i="17"/>
  <c r="M249" i="21"/>
  <c r="M254" i="21"/>
  <c r="M256" i="21"/>
  <c r="K50" i="3"/>
  <c r="L213" i="14" s="1"/>
  <c r="J233" i="14"/>
  <c r="L16" i="17"/>
  <c r="L89" i="17"/>
  <c r="L85" i="17"/>
  <c r="L81" i="17"/>
  <c r="L77" i="17"/>
  <c r="L73" i="17"/>
  <c r="L69" i="17"/>
  <c r="L65" i="17"/>
  <c r="L61" i="17"/>
  <c r="L57" i="17"/>
  <c r="L53" i="17"/>
  <c r="L49" i="17"/>
  <c r="L45" i="17"/>
  <c r="L41" i="17"/>
  <c r="L37" i="17"/>
  <c r="L33" i="17"/>
  <c r="L29" i="17"/>
  <c r="L25" i="17"/>
  <c r="L21" i="17"/>
  <c r="M8" i="21"/>
  <c r="M11" i="21"/>
  <c r="M14" i="21"/>
  <c r="M18" i="21"/>
  <c r="M25" i="21"/>
  <c r="M31" i="21"/>
  <c r="M36" i="21"/>
  <c r="M43" i="21"/>
  <c r="M48" i="21"/>
  <c r="M107" i="21"/>
  <c r="M114" i="21"/>
  <c r="M122" i="21"/>
  <c r="L113" i="17"/>
  <c r="L6" i="17"/>
  <c r="L8" i="17"/>
  <c r="L75" i="17"/>
  <c r="L71" i="17"/>
  <c r="L51" i="17"/>
  <c r="L19" i="17"/>
  <c r="L102" i="17"/>
  <c r="L98" i="17"/>
  <c r="L108" i="17"/>
  <c r="L106" i="17"/>
  <c r="L111" i="17"/>
  <c r="L107" i="17"/>
  <c r="L104" i="17"/>
  <c r="L100" i="17"/>
  <c r="L109" i="17"/>
  <c r="L9" i="17"/>
  <c r="L103" i="17"/>
  <c r="M143" i="21"/>
  <c r="J283" i="14"/>
  <c r="M135" i="21"/>
  <c r="J287" i="14"/>
  <c r="K67" i="3"/>
  <c r="L50" i="8" s="1"/>
  <c r="J184" i="14"/>
  <c r="M17" i="21"/>
  <c r="M30" i="21"/>
  <c r="M41" i="21"/>
  <c r="M106" i="21"/>
  <c r="M121" i="21"/>
  <c r="M133" i="21"/>
  <c r="M148" i="21"/>
  <c r="M158" i="21"/>
  <c r="L73" i="3"/>
  <c r="M236" i="14" s="1"/>
  <c r="L44" i="3"/>
  <c r="M207" i="14" s="1"/>
  <c r="I185" i="14"/>
  <c r="F29" i="1"/>
  <c r="L58" i="3"/>
  <c r="M221" i="14" s="1"/>
  <c r="M7" i="21"/>
  <c r="M13" i="21"/>
  <c r="M24" i="21"/>
  <c r="M35" i="21"/>
  <c r="M47" i="21"/>
  <c r="M112" i="21"/>
  <c r="M125" i="21"/>
  <c r="M140" i="21"/>
  <c r="M152" i="21"/>
  <c r="K44" i="3"/>
  <c r="L207" i="14" s="1"/>
  <c r="J175" i="14"/>
  <c r="J290" i="14"/>
  <c r="I62" i="14"/>
  <c r="F8" i="1"/>
  <c r="G8" i="1" s="1"/>
  <c r="I181" i="14"/>
  <c r="F28" i="1"/>
  <c r="K185" i="14"/>
  <c r="H29" i="1"/>
  <c r="K291" i="14"/>
  <c r="H36" i="1"/>
  <c r="K179" i="14"/>
  <c r="H27" i="1"/>
  <c r="L96" i="3"/>
  <c r="M259" i="14" s="1"/>
  <c r="J259" i="14"/>
  <c r="H266" i="14"/>
  <c r="E30" i="1"/>
  <c r="K65" i="3"/>
  <c r="L228" i="14" s="1"/>
  <c r="J174" i="14"/>
  <c r="K94" i="3"/>
  <c r="J257" i="14"/>
  <c r="K90" i="3"/>
  <c r="J253" i="14"/>
  <c r="K84" i="3"/>
  <c r="L247" i="14" s="1"/>
  <c r="J247" i="14"/>
  <c r="K60" i="14"/>
  <c r="H7" i="1"/>
  <c r="M261" i="21"/>
  <c r="L81" i="3"/>
  <c r="M244" i="14" s="1"/>
  <c r="K97" i="3"/>
  <c r="J260" i="14"/>
  <c r="L93" i="3"/>
  <c r="M256" i="14" s="1"/>
  <c r="J256" i="14"/>
  <c r="H147" i="14"/>
  <c r="E10" i="1"/>
  <c r="G10" i="1" s="1"/>
  <c r="J10" i="1" s="1"/>
  <c r="M248" i="21"/>
  <c r="L86" i="7"/>
  <c r="M130" i="14" s="1"/>
  <c r="J130" i="14"/>
  <c r="K85" i="3"/>
  <c r="L248" i="14" s="1"/>
  <c r="J248" i="14"/>
  <c r="K92" i="3"/>
  <c r="J255" i="14"/>
  <c r="L43" i="3"/>
  <c r="M206" i="14" s="1"/>
  <c r="K95" i="3"/>
  <c r="L258" i="14" s="1"/>
  <c r="J258" i="14"/>
  <c r="J99" i="14"/>
  <c r="E38" i="8"/>
  <c r="F38" i="8" s="1"/>
  <c r="L85" i="7"/>
  <c r="M129" i="14" s="1"/>
  <c r="J129" i="14"/>
  <c r="L56" i="2"/>
  <c r="M45" i="14" s="1"/>
  <c r="L16" i="2"/>
  <c r="M11" i="14" s="1"/>
  <c r="H22" i="14"/>
  <c r="K88" i="3"/>
  <c r="L251" i="14" s="1"/>
  <c r="L86" i="3"/>
  <c r="M249" i="14" s="1"/>
  <c r="J240" i="14"/>
  <c r="E56" i="8"/>
  <c r="F56" i="8" s="1"/>
  <c r="J228" i="14"/>
  <c r="J215" i="14"/>
  <c r="L52" i="3"/>
  <c r="M215" i="14" s="1"/>
  <c r="K49" i="3"/>
  <c r="L212" i="14" s="1"/>
  <c r="L48" i="3"/>
  <c r="M211" i="14" s="1"/>
  <c r="J198" i="14"/>
  <c r="J190" i="14"/>
  <c r="K26" i="3"/>
  <c r="L9" i="8" s="1"/>
  <c r="L35" i="3"/>
  <c r="M198" i="14" s="1"/>
  <c r="K31" i="3"/>
  <c r="L194" i="14" s="1"/>
  <c r="K55" i="3"/>
  <c r="L38" i="8" s="1"/>
  <c r="K24" i="3"/>
  <c r="L101" i="3"/>
  <c r="M264" i="14" s="1"/>
  <c r="L59" i="3"/>
  <c r="M222" i="14" s="1"/>
  <c r="J192" i="14"/>
  <c r="J218" i="14"/>
  <c r="K42" i="3"/>
  <c r="L25" i="8" s="1"/>
  <c r="E62" i="8"/>
  <c r="F62" i="8" s="1"/>
  <c r="E36" i="5"/>
  <c r="F36" i="5" s="1"/>
  <c r="L92" i="7"/>
  <c r="M136" i="14" s="1"/>
  <c r="J140" i="14"/>
  <c r="I10" i="5"/>
  <c r="I36" i="8"/>
  <c r="I8" i="5"/>
  <c r="I39" i="8"/>
  <c r="I31" i="8"/>
  <c r="I7" i="8"/>
  <c r="I45" i="8"/>
  <c r="E65" i="8"/>
  <c r="F65" i="8" s="1"/>
  <c r="L61" i="7"/>
  <c r="M105" i="14" s="1"/>
  <c r="L9" i="7"/>
  <c r="M56" i="14" s="1"/>
  <c r="L133" i="7"/>
  <c r="M171" i="14" s="1"/>
  <c r="J137" i="14"/>
  <c r="I60" i="8"/>
  <c r="I52" i="8"/>
  <c r="I48" i="8"/>
  <c r="I40" i="8"/>
  <c r="I35" i="8"/>
  <c r="K33" i="7"/>
  <c r="L77" i="14" s="1"/>
  <c r="I64" i="8"/>
  <c r="I10" i="8"/>
  <c r="I56" i="8"/>
  <c r="I44" i="8"/>
  <c r="I32" i="8"/>
  <c r="I9" i="8"/>
  <c r="E13" i="8"/>
  <c r="F13" i="8" s="1"/>
  <c r="J167" i="14"/>
  <c r="E41" i="5"/>
  <c r="F41" i="5" s="1"/>
  <c r="I15" i="5"/>
  <c r="N111" i="14"/>
  <c r="K132" i="7"/>
  <c r="L170" i="14" s="1"/>
  <c r="K125" i="7"/>
  <c r="L163" i="14" s="1"/>
  <c r="I13" i="5"/>
  <c r="I17" i="5"/>
  <c r="I31" i="5"/>
  <c r="I23" i="5"/>
  <c r="I37" i="5"/>
  <c r="L52" i="7"/>
  <c r="M96" i="14" s="1"/>
  <c r="J118" i="14"/>
  <c r="K35" i="7"/>
  <c r="L79" i="14" s="1"/>
  <c r="K61" i="7"/>
  <c r="L105" i="14" s="1"/>
  <c r="J123" i="14"/>
  <c r="J101" i="14"/>
  <c r="I57" i="8"/>
  <c r="I21" i="8"/>
  <c r="N214" i="14"/>
  <c r="K78" i="7"/>
  <c r="L122" i="14" s="1"/>
  <c r="K69" i="7"/>
  <c r="L113" i="14" s="1"/>
  <c r="I16" i="5"/>
  <c r="I26" i="5"/>
  <c r="I22" i="5"/>
  <c r="I11" i="5"/>
  <c r="I28" i="5"/>
  <c r="I38" i="5"/>
  <c r="I79" i="8"/>
  <c r="I75" i="8"/>
  <c r="I71" i="8"/>
  <c r="I67" i="8"/>
  <c r="I27" i="8"/>
  <c r="I9" i="5"/>
  <c r="I77" i="8"/>
  <c r="I28" i="8"/>
  <c r="K45" i="7"/>
  <c r="L89" i="14" s="1"/>
  <c r="E25" i="8"/>
  <c r="F25" i="8" s="1"/>
  <c r="L273" i="14"/>
  <c r="L25" i="5"/>
  <c r="H66" i="14"/>
  <c r="E9" i="1"/>
  <c r="E37" i="5"/>
  <c r="F37" i="5" s="1"/>
  <c r="K25" i="3"/>
  <c r="L188" i="14" s="1"/>
  <c r="I54" i="2"/>
  <c r="K54" i="2" s="1"/>
  <c r="L43" i="14" s="1"/>
  <c r="I70" i="8"/>
  <c r="H185" i="14"/>
  <c r="E29" i="1"/>
  <c r="I63" i="2"/>
  <c r="J52" i="14" s="1"/>
  <c r="L63" i="2"/>
  <c r="M52" i="14" s="1"/>
  <c r="E8" i="5"/>
  <c r="F8" i="5" s="1"/>
  <c r="K75" i="3"/>
  <c r="L238" i="14" s="1"/>
  <c r="L24" i="3"/>
  <c r="M187" i="14" s="1"/>
  <c r="H5" i="14"/>
  <c r="K59" i="3"/>
  <c r="L42" i="8" s="1"/>
  <c r="E30" i="8"/>
  <c r="F30" i="8" s="1"/>
  <c r="E36" i="8"/>
  <c r="F36" i="8" s="1"/>
  <c r="I12" i="8"/>
  <c r="H172" i="14"/>
  <c r="E16" i="1"/>
  <c r="G16" i="1" s="1"/>
  <c r="K8" i="5"/>
  <c r="L125" i="7"/>
  <c r="M163" i="14" s="1"/>
  <c r="L75" i="3"/>
  <c r="M238" i="14" s="1"/>
  <c r="J206" i="14"/>
  <c r="J278" i="14"/>
  <c r="J211" i="14"/>
  <c r="J165" i="14"/>
  <c r="I16" i="2"/>
  <c r="J11" i="14" s="1"/>
  <c r="K38" i="7"/>
  <c r="L82" i="14" s="1"/>
  <c r="L90" i="3"/>
  <c r="M253" i="14" s="1"/>
  <c r="L78" i="3"/>
  <c r="M241" i="14" s="1"/>
  <c r="J56" i="14"/>
  <c r="J139" i="14"/>
  <c r="L54" i="2"/>
  <c r="M43" i="14" s="1"/>
  <c r="E34" i="5"/>
  <c r="F34" i="5" s="1"/>
  <c r="I24" i="8"/>
  <c r="H291" i="14"/>
  <c r="E36" i="1"/>
  <c r="G36" i="1" s="1"/>
  <c r="I20" i="8"/>
  <c r="L15" i="17"/>
  <c r="I83" i="8"/>
  <c r="L89" i="7"/>
  <c r="M133" i="14" s="1"/>
  <c r="K39" i="3"/>
  <c r="L202" i="14" s="1"/>
  <c r="I41" i="2"/>
  <c r="K41" i="2" s="1"/>
  <c r="L30" i="14" s="1"/>
  <c r="J106" i="14"/>
  <c r="I74" i="8"/>
  <c r="H60" i="14"/>
  <c r="E7" i="1"/>
  <c r="H181" i="14"/>
  <c r="E28" i="1"/>
  <c r="H268" i="14"/>
  <c r="E32" i="1"/>
  <c r="G32" i="1" s="1"/>
  <c r="I32" i="1" s="1"/>
  <c r="K72" i="8"/>
  <c r="L12" i="7"/>
  <c r="M59" i="14" s="1"/>
  <c r="L71" i="3"/>
  <c r="M234" i="14" s="1"/>
  <c r="L25" i="3"/>
  <c r="M188" i="14" s="1"/>
  <c r="J284" i="14"/>
  <c r="K18" i="3"/>
  <c r="L182" i="14" s="1"/>
  <c r="L53" i="7"/>
  <c r="M97" i="14" s="1"/>
  <c r="I16" i="8"/>
  <c r="H149" i="14"/>
  <c r="E12" i="1"/>
  <c r="G12" i="1" s="1"/>
  <c r="H10" i="9"/>
  <c r="H6" i="9"/>
  <c r="I39" i="1"/>
  <c r="L132" i="3"/>
  <c r="M289" i="14" s="1"/>
  <c r="L129" i="3"/>
  <c r="M286" i="14" s="1"/>
  <c r="L126" i="3"/>
  <c r="M283" i="14" s="1"/>
  <c r="J281" i="14"/>
  <c r="K124" i="3"/>
  <c r="L281" i="14" s="1"/>
  <c r="J274" i="14"/>
  <c r="L12" i="3"/>
  <c r="M178" i="14" s="1"/>
  <c r="L9" i="3"/>
  <c r="M175" i="14" s="1"/>
  <c r="K133" i="7"/>
  <c r="L171" i="14" s="1"/>
  <c r="L167" i="14"/>
  <c r="K38" i="5"/>
  <c r="L129" i="7"/>
  <c r="M167" i="14" s="1"/>
  <c r="L20" i="7"/>
  <c r="M65" i="14" s="1"/>
  <c r="J64" i="14"/>
  <c r="K13" i="5"/>
  <c r="J61" i="14"/>
  <c r="M127" i="21"/>
  <c r="M136" i="21"/>
  <c r="M141" i="21"/>
  <c r="M149" i="21"/>
  <c r="M153" i="21"/>
  <c r="M27" i="21"/>
  <c r="M244" i="21"/>
  <c r="M23" i="21"/>
  <c r="M9" i="21"/>
  <c r="M12" i="21"/>
  <c r="M15" i="21"/>
  <c r="M20" i="21"/>
  <c r="M26" i="21"/>
  <c r="M32" i="21"/>
  <c r="M39" i="21"/>
  <c r="M44" i="21"/>
  <c r="M49" i="21"/>
  <c r="M109" i="21"/>
  <c r="M116" i="21"/>
  <c r="M245" i="21"/>
  <c r="M247" i="21"/>
  <c r="L99" i="17"/>
  <c r="L87" i="17"/>
  <c r="L79" i="17"/>
  <c r="L63" i="17"/>
  <c r="L47" i="17"/>
  <c r="L31" i="17"/>
  <c r="L27" i="17"/>
  <c r="L23" i="17"/>
  <c r="L82" i="17"/>
  <c r="L70" i="17"/>
  <c r="L18" i="17"/>
  <c r="L88" i="17"/>
  <c r="L32" i="17"/>
  <c r="L20" i="17"/>
  <c r="L46" i="17"/>
  <c r="L34" i="17"/>
  <c r="L67" i="17"/>
  <c r="L59" i="17"/>
  <c r="L55" i="17"/>
  <c r="L62" i="17"/>
  <c r="L54" i="17"/>
  <c r="L43" i="17"/>
  <c r="L39" i="17"/>
  <c r="L35" i="17"/>
  <c r="L76" i="17"/>
  <c r="L72" i="17"/>
  <c r="L60" i="17"/>
  <c r="L13" i="17"/>
  <c r="L11" i="17"/>
  <c r="L91" i="17"/>
  <c r="L83" i="17"/>
  <c r="L86" i="17"/>
  <c r="L78" i="17"/>
  <c r="L84" i="17"/>
  <c r="L80" i="17"/>
  <c r="L39" i="5"/>
  <c r="I40" i="5"/>
  <c r="I36" i="5"/>
  <c r="I33" i="5"/>
  <c r="I39" i="5"/>
  <c r="I35" i="5"/>
  <c r="E38" i="5"/>
  <c r="F38" i="5" s="1"/>
  <c r="K129" i="3"/>
  <c r="J282" i="14"/>
  <c r="L133" i="3"/>
  <c r="M290" i="14" s="1"/>
  <c r="J289" i="14"/>
  <c r="L125" i="3"/>
  <c r="M282" i="14" s="1"/>
  <c r="E42" i="5"/>
  <c r="F42" i="5" s="1"/>
  <c r="H134" i="3"/>
  <c r="L134" i="3" s="1"/>
  <c r="M291" i="14" s="1"/>
  <c r="I25" i="5"/>
  <c r="I21" i="5"/>
  <c r="K113" i="3"/>
  <c r="L24" i="5" s="1"/>
  <c r="L113" i="3"/>
  <c r="M272" i="14" s="1"/>
  <c r="K117" i="3"/>
  <c r="L276" i="14" s="1"/>
  <c r="K116" i="3"/>
  <c r="L275" i="14" s="1"/>
  <c r="L22" i="5"/>
  <c r="L31" i="5"/>
  <c r="K119" i="3"/>
  <c r="J275" i="14"/>
  <c r="I19" i="5"/>
  <c r="L106" i="3"/>
  <c r="M267" i="14" s="1"/>
  <c r="H108" i="3"/>
  <c r="L108" i="3" s="1"/>
  <c r="M268" i="14" s="1"/>
  <c r="I61" i="8"/>
  <c r="L221" i="14"/>
  <c r="I46" i="8"/>
  <c r="I30" i="8"/>
  <c r="L198" i="14"/>
  <c r="L18" i="8"/>
  <c r="J195" i="14"/>
  <c r="K93" i="3"/>
  <c r="L97" i="3"/>
  <c r="M260" i="14" s="1"/>
  <c r="L28" i="3"/>
  <c r="M191" i="14" s="1"/>
  <c r="L70" i="3"/>
  <c r="M233" i="14" s="1"/>
  <c r="K82" i="3"/>
  <c r="E18" i="8"/>
  <c r="F18" i="8" s="1"/>
  <c r="E35" i="8"/>
  <c r="F35" i="8" s="1"/>
  <c r="L215" i="14"/>
  <c r="K86" i="3"/>
  <c r="L77" i="3"/>
  <c r="M240" i="14" s="1"/>
  <c r="L32" i="3"/>
  <c r="M195" i="14" s="1"/>
  <c r="K36" i="3"/>
  <c r="J212" i="14"/>
  <c r="K61" i="3"/>
  <c r="L44" i="8" s="1"/>
  <c r="K81" i="3"/>
  <c r="L244" i="14" s="1"/>
  <c r="K66" i="3"/>
  <c r="K78" i="3"/>
  <c r="J245" i="14"/>
  <c r="E48" i="8"/>
  <c r="F48" i="8" s="1"/>
  <c r="K74" i="3"/>
  <c r="L237" i="14" s="1"/>
  <c r="L40" i="3"/>
  <c r="M203" i="14" s="1"/>
  <c r="L36" i="3"/>
  <c r="M199" i="14" s="1"/>
  <c r="J221" i="14"/>
  <c r="E76" i="8"/>
  <c r="F76" i="8" s="1"/>
  <c r="L20" i="3"/>
  <c r="M184" i="14" s="1"/>
  <c r="H21" i="3"/>
  <c r="L21" i="3" s="1"/>
  <c r="M185" i="14" s="1"/>
  <c r="K19" i="3"/>
  <c r="L8" i="5"/>
  <c r="I6" i="5"/>
  <c r="I7" i="5"/>
  <c r="J178" i="14"/>
  <c r="H135" i="7"/>
  <c r="J172" i="14" s="1"/>
  <c r="J170" i="14"/>
  <c r="L127" i="7"/>
  <c r="M165" i="14" s="1"/>
  <c r="L128" i="7"/>
  <c r="M166" i="14" s="1"/>
  <c r="K25" i="5"/>
  <c r="K19" i="5"/>
  <c r="N203" i="14"/>
  <c r="N122" i="14"/>
  <c r="N92" i="14"/>
  <c r="N140" i="14"/>
  <c r="N102" i="14"/>
  <c r="N131" i="14"/>
  <c r="I55" i="8"/>
  <c r="I51" i="8"/>
  <c r="K36" i="8"/>
  <c r="I84" i="8"/>
  <c r="I58" i="8"/>
  <c r="I54" i="8"/>
  <c r="I50" i="8"/>
  <c r="I43" i="8"/>
  <c r="K85" i="8"/>
  <c r="I80" i="8"/>
  <c r="I76" i="8"/>
  <c r="I68" i="8"/>
  <c r="I63" i="8"/>
  <c r="I42" i="8"/>
  <c r="I38" i="8"/>
  <c r="I33" i="8"/>
  <c r="I19" i="8"/>
  <c r="I15" i="8"/>
  <c r="I62" i="8"/>
  <c r="L87" i="7"/>
  <c r="M131" i="14" s="1"/>
  <c r="L77" i="7"/>
  <c r="M121" i="14" s="1"/>
  <c r="K73" i="7"/>
  <c r="K95" i="7"/>
  <c r="L139" i="14" s="1"/>
  <c r="K30" i="7"/>
  <c r="K13" i="8" s="1"/>
  <c r="J117" i="14"/>
  <c r="L78" i="7"/>
  <c r="M122" i="14" s="1"/>
  <c r="L42" i="7"/>
  <c r="M86" i="14" s="1"/>
  <c r="L102" i="7"/>
  <c r="M146" i="14" s="1"/>
  <c r="K96" i="7"/>
  <c r="K79" i="8" s="1"/>
  <c r="K60" i="7"/>
  <c r="L104" i="14" s="1"/>
  <c r="K82" i="7"/>
  <c r="L126" i="14" s="1"/>
  <c r="K42" i="7"/>
  <c r="L86" i="14" s="1"/>
  <c r="K74" i="7"/>
  <c r="L118" i="14" s="1"/>
  <c r="E75" i="8"/>
  <c r="F75" i="8" s="1"/>
  <c r="J89" i="14"/>
  <c r="J113" i="14"/>
  <c r="J96" i="14"/>
  <c r="J92" i="14"/>
  <c r="L97" i="7"/>
  <c r="M141" i="14" s="1"/>
  <c r="L31" i="7"/>
  <c r="M75" i="14" s="1"/>
  <c r="E14" i="8"/>
  <c r="F14" i="8" s="1"/>
  <c r="L38" i="7"/>
  <c r="M82" i="14" s="1"/>
  <c r="L60" i="7"/>
  <c r="M104" i="14" s="1"/>
  <c r="K47" i="7"/>
  <c r="K30" i="8" s="1"/>
  <c r="L71" i="7"/>
  <c r="M115" i="14" s="1"/>
  <c r="K31" i="7"/>
  <c r="L75" i="14" s="1"/>
  <c r="K65" i="7"/>
  <c r="J132" i="14"/>
  <c r="E45" i="8"/>
  <c r="F45" i="8" s="1"/>
  <c r="J126" i="14"/>
  <c r="J109" i="14"/>
  <c r="J90" i="14"/>
  <c r="E21" i="8"/>
  <c r="F21" i="8" s="1"/>
  <c r="E7" i="8"/>
  <c r="F7" i="8" s="1"/>
  <c r="J68" i="14"/>
  <c r="K24" i="7"/>
  <c r="L40" i="7"/>
  <c r="M84" i="14" s="1"/>
  <c r="J84" i="14"/>
  <c r="E27" i="8"/>
  <c r="F27" i="8" s="1"/>
  <c r="K44" i="7"/>
  <c r="L88" i="14" s="1"/>
  <c r="K50" i="7"/>
  <c r="L94" i="14" s="1"/>
  <c r="L50" i="7"/>
  <c r="M94" i="14" s="1"/>
  <c r="E33" i="8"/>
  <c r="F33" i="8" s="1"/>
  <c r="J103" i="14"/>
  <c r="L59" i="7"/>
  <c r="M103" i="14" s="1"/>
  <c r="K63" i="7"/>
  <c r="L107" i="14" s="1"/>
  <c r="J107" i="14"/>
  <c r="E50" i="8"/>
  <c r="F50" i="8" s="1"/>
  <c r="J111" i="14"/>
  <c r="K67" i="7"/>
  <c r="L111" i="14" s="1"/>
  <c r="L116" i="14"/>
  <c r="K55" i="8"/>
  <c r="J120" i="14"/>
  <c r="K76" i="7"/>
  <c r="L120" i="14" s="1"/>
  <c r="L76" i="7"/>
  <c r="M120" i="14" s="1"/>
  <c r="K63" i="8"/>
  <c r="L124" i="14"/>
  <c r="J134" i="14"/>
  <c r="K90" i="7"/>
  <c r="L134" i="14" s="1"/>
  <c r="L145" i="14"/>
  <c r="K84" i="8"/>
  <c r="M84" i="8" s="1"/>
  <c r="K36" i="7"/>
  <c r="L80" i="14" s="1"/>
  <c r="E19" i="8"/>
  <c r="F19" i="8" s="1"/>
  <c r="L70" i="7"/>
  <c r="M114" i="14" s="1"/>
  <c r="K70" i="7"/>
  <c r="L114" i="14" s="1"/>
  <c r="J114" i="14"/>
  <c r="L72" i="7"/>
  <c r="M116" i="14" s="1"/>
  <c r="L55" i="7"/>
  <c r="M99" i="14" s="1"/>
  <c r="L33" i="7"/>
  <c r="M77" i="14" s="1"/>
  <c r="K94" i="7"/>
  <c r="J94" i="14"/>
  <c r="K29" i="8"/>
  <c r="L90" i="14"/>
  <c r="L101" i="7"/>
  <c r="M145" i="14" s="1"/>
  <c r="L80" i="7"/>
  <c r="M124" i="14" s="1"/>
  <c r="L63" i="7"/>
  <c r="M107" i="14" s="1"/>
  <c r="L44" i="7"/>
  <c r="M88" i="14" s="1"/>
  <c r="K40" i="7"/>
  <c r="K85" i="7"/>
  <c r="L129" i="14" s="1"/>
  <c r="L30" i="7"/>
  <c r="M74" i="14" s="1"/>
  <c r="K87" i="7"/>
  <c r="K70" i="8" s="1"/>
  <c r="L73" i="7"/>
  <c r="M117" i="14" s="1"/>
  <c r="K51" i="7"/>
  <c r="L95" i="14" s="1"/>
  <c r="K26" i="7"/>
  <c r="L70" i="14" s="1"/>
  <c r="J100" i="14"/>
  <c r="J67" i="14"/>
  <c r="L57" i="7"/>
  <c r="M101" i="14" s="1"/>
  <c r="L46" i="7"/>
  <c r="M90" i="14" s="1"/>
  <c r="L35" i="7"/>
  <c r="M79" i="14" s="1"/>
  <c r="K27" i="7"/>
  <c r="K92" i="7"/>
  <c r="K68" i="7"/>
  <c r="K51" i="8" s="1"/>
  <c r="E29" i="8"/>
  <c r="F29" i="8" s="1"/>
  <c r="K81" i="7"/>
  <c r="J112" i="14"/>
  <c r="J146" i="14"/>
  <c r="E61" i="8"/>
  <c r="F61" i="8" s="1"/>
  <c r="E53" i="8"/>
  <c r="F53" i="8" s="1"/>
  <c r="E16" i="8"/>
  <c r="F16" i="8" s="1"/>
  <c r="E17" i="5"/>
  <c r="F17" i="5" s="1"/>
  <c r="K20" i="7"/>
  <c r="L65" i="14" s="1"/>
  <c r="L64" i="14"/>
  <c r="K16" i="5"/>
  <c r="E16" i="5"/>
  <c r="F16" i="5" s="1"/>
  <c r="E13" i="5"/>
  <c r="F13" i="5" s="1"/>
  <c r="K12" i="7"/>
  <c r="K46" i="2"/>
  <c r="L35" i="14" s="1"/>
  <c r="H40" i="14"/>
  <c r="H48" i="14"/>
  <c r="H41" i="14"/>
  <c r="L52" i="2"/>
  <c r="M41" i="14" s="1"/>
  <c r="I59" i="2"/>
  <c r="I55" i="2"/>
  <c r="K55" i="2" s="1"/>
  <c r="L44" i="14" s="1"/>
  <c r="H42" i="14"/>
  <c r="K56" i="2"/>
  <c r="L45" i="14" s="1"/>
  <c r="I57" i="2"/>
  <c r="I50" i="2"/>
  <c r="I25" i="2"/>
  <c r="K25" i="2" s="1"/>
  <c r="L20" i="14" s="1"/>
  <c r="H13" i="14"/>
  <c r="K10" i="2"/>
  <c r="L5" i="14" s="1"/>
  <c r="H10" i="14"/>
  <c r="I11" i="2"/>
  <c r="K11" i="2" s="1"/>
  <c r="L6" i="14" s="1"/>
  <c r="I7" i="2"/>
  <c r="I15" i="2"/>
  <c r="J10" i="14" s="1"/>
  <c r="L18" i="2"/>
  <c r="M13" i="14" s="1"/>
  <c r="I41" i="1"/>
  <c r="J17" i="1"/>
  <c r="L239" i="14"/>
  <c r="L59" i="8"/>
  <c r="L22" i="2"/>
  <c r="M17" i="14" s="1"/>
  <c r="I22" i="2"/>
  <c r="L119" i="7"/>
  <c r="M159" i="14" s="1"/>
  <c r="J159" i="14"/>
  <c r="E30" i="5"/>
  <c r="F30" i="5" s="1"/>
  <c r="K119" i="7"/>
  <c r="J57" i="14"/>
  <c r="E9" i="5"/>
  <c r="F9" i="5" s="1"/>
  <c r="K10" i="7"/>
  <c r="L10" i="7"/>
  <c r="M57" i="14" s="1"/>
  <c r="L7" i="7"/>
  <c r="M54" i="14" s="1"/>
  <c r="I54" i="14"/>
  <c r="H7" i="7"/>
  <c r="G13" i="7"/>
  <c r="F7" i="1" s="1"/>
  <c r="I36" i="14"/>
  <c r="I47" i="2"/>
  <c r="L47" i="2"/>
  <c r="M36" i="14" s="1"/>
  <c r="N218" i="14"/>
  <c r="N99" i="14"/>
  <c r="K120" i="7"/>
  <c r="L160" i="14" s="1"/>
  <c r="L120" i="7"/>
  <c r="M160" i="14" s="1"/>
  <c r="K35" i="5"/>
  <c r="J160" i="14"/>
  <c r="H17" i="14"/>
  <c r="H49" i="14"/>
  <c r="L60" i="2"/>
  <c r="M49" i="14" s="1"/>
  <c r="I60" i="2"/>
  <c r="K102" i="3"/>
  <c r="L102" i="3"/>
  <c r="M265" i="14" s="1"/>
  <c r="E85" i="8"/>
  <c r="F85" i="8" s="1"/>
  <c r="J265" i="14"/>
  <c r="J235" i="14"/>
  <c r="K72" i="3"/>
  <c r="L235" i="14" s="1"/>
  <c r="L64" i="3"/>
  <c r="M227" i="14" s="1"/>
  <c r="J227" i="14"/>
  <c r="K64" i="3"/>
  <c r="N76" i="14"/>
  <c r="N195" i="14"/>
  <c r="K28" i="14"/>
  <c r="G9" i="2"/>
  <c r="H31" i="14"/>
  <c r="L42" i="2"/>
  <c r="M31" i="14" s="1"/>
  <c r="J157" i="14"/>
  <c r="L117" i="7"/>
  <c r="M157" i="14" s="1"/>
  <c r="K117" i="7"/>
  <c r="L157" i="14" s="1"/>
  <c r="L113" i="7"/>
  <c r="M153" i="14" s="1"/>
  <c r="J153" i="14"/>
  <c r="K113" i="7"/>
  <c r="E69" i="8"/>
  <c r="F69" i="8" s="1"/>
  <c r="K86" i="7"/>
  <c r="L130" i="14" s="1"/>
  <c r="I173" i="14"/>
  <c r="H7" i="3"/>
  <c r="L7" i="3"/>
  <c r="M173" i="14" s="1"/>
  <c r="K29" i="5"/>
  <c r="L184" i="14"/>
  <c r="L17" i="5"/>
  <c r="L289" i="14"/>
  <c r="L41" i="5"/>
  <c r="I14" i="2"/>
  <c r="L14" i="2"/>
  <c r="M9" i="14" s="1"/>
  <c r="L45" i="2"/>
  <c r="M34" i="14" s="1"/>
  <c r="H34" i="14"/>
  <c r="I58" i="2"/>
  <c r="J47" i="14" s="1"/>
  <c r="L58" i="2"/>
  <c r="M47" i="14" s="1"/>
  <c r="L178" i="14"/>
  <c r="L11" i="5"/>
  <c r="J37" i="1"/>
  <c r="I37" i="1"/>
  <c r="J31" i="14"/>
  <c r="K42" i="2"/>
  <c r="L31" i="14" s="1"/>
  <c r="L233" i="14"/>
  <c r="L53" i="8"/>
  <c r="L156" i="14"/>
  <c r="K27" i="5"/>
  <c r="L290" i="14"/>
  <c r="L42" i="5"/>
  <c r="J13" i="14"/>
  <c r="K18" i="2"/>
  <c r="L13" i="14" s="1"/>
  <c r="L40" i="2"/>
  <c r="M29" i="14" s="1"/>
  <c r="H29" i="14"/>
  <c r="I40" i="2"/>
  <c r="J180" i="14"/>
  <c r="K15" i="3"/>
  <c r="K91" i="3"/>
  <c r="L91" i="3"/>
  <c r="M254" i="14" s="1"/>
  <c r="E70" i="8"/>
  <c r="F70" i="8" s="1"/>
  <c r="L87" i="3"/>
  <c r="M250" i="14" s="1"/>
  <c r="K87" i="3"/>
  <c r="L250" i="14" s="1"/>
  <c r="L76" i="3"/>
  <c r="M239" i="14" s="1"/>
  <c r="E59" i="8"/>
  <c r="F59" i="8" s="1"/>
  <c r="J239" i="14"/>
  <c r="E51" i="8"/>
  <c r="F51" i="8" s="1"/>
  <c r="K68" i="3"/>
  <c r="K22" i="5"/>
  <c r="L19" i="2"/>
  <c r="M14" i="14" s="1"/>
  <c r="I19" i="2"/>
  <c r="K19" i="2" s="1"/>
  <c r="L14" i="14" s="1"/>
  <c r="H14" i="14"/>
  <c r="L48" i="2"/>
  <c r="M37" i="14" s="1"/>
  <c r="I48" i="2"/>
  <c r="J37" i="14" s="1"/>
  <c r="H37" i="14"/>
  <c r="L274" i="14"/>
  <c r="L26" i="5"/>
  <c r="J164" i="14"/>
  <c r="E35" i="5"/>
  <c r="F35" i="5" s="1"/>
  <c r="L126" i="7"/>
  <c r="M164" i="14" s="1"/>
  <c r="I6" i="8"/>
  <c r="L10" i="3"/>
  <c r="M176" i="14" s="1"/>
  <c r="K10" i="3"/>
  <c r="J176" i="14"/>
  <c r="I12" i="2"/>
  <c r="J7" i="14" s="1"/>
  <c r="H7" i="14"/>
  <c r="H38" i="14"/>
  <c r="I49" i="2"/>
  <c r="L49" i="2" s="1"/>
  <c r="M38" i="14" s="1"/>
  <c r="I13" i="8"/>
  <c r="I6" i="14"/>
  <c r="L11" i="2"/>
  <c r="M6" i="14" s="1"/>
  <c r="L21" i="2"/>
  <c r="M16" i="14" s="1"/>
  <c r="I21" i="2"/>
  <c r="J93" i="14"/>
  <c r="L49" i="7"/>
  <c r="M93" i="14" s="1"/>
  <c r="N190" i="14"/>
  <c r="N71" i="14"/>
  <c r="L18" i="7"/>
  <c r="M63" i="14" s="1"/>
  <c r="G21" i="7"/>
  <c r="L24" i="17"/>
  <c r="L7" i="2"/>
  <c r="M2" i="14" s="1"/>
  <c r="J210" i="14"/>
  <c r="K47" i="3"/>
  <c r="L30" i="8" s="1"/>
  <c r="L112" i="3"/>
  <c r="M271" i="14" s="1"/>
  <c r="K112" i="3"/>
  <c r="L271" i="14" s="1"/>
  <c r="J76" i="14"/>
  <c r="K32" i="7"/>
  <c r="E15" i="8"/>
  <c r="F15" i="8" s="1"/>
  <c r="J110" i="14"/>
  <c r="K66" i="7"/>
  <c r="E58" i="8"/>
  <c r="F58" i="8" s="1"/>
  <c r="I43" i="2"/>
  <c r="L28" i="17"/>
  <c r="L110" i="17"/>
  <c r="L7" i="5"/>
  <c r="L101" i="14"/>
  <c r="K58" i="8"/>
  <c r="L15" i="7"/>
  <c r="M61" i="14" s="1"/>
  <c r="L47" i="7"/>
  <c r="M91" i="14" s="1"/>
  <c r="E11" i="5"/>
  <c r="F11" i="5" s="1"/>
  <c r="L50" i="3"/>
  <c r="M213" i="14" s="1"/>
  <c r="L75" i="7"/>
  <c r="M119" i="14" s="1"/>
  <c r="L85" i="3"/>
  <c r="M248" i="14" s="1"/>
  <c r="I20" i="2"/>
  <c r="L20" i="2" s="1"/>
  <c r="M15" i="14" s="1"/>
  <c r="K59" i="7"/>
  <c r="K93" i="7"/>
  <c r="J193" i="14"/>
  <c r="K79" i="7"/>
  <c r="L123" i="14" s="1"/>
  <c r="K62" i="7"/>
  <c r="L106" i="14" s="1"/>
  <c r="J279" i="14"/>
  <c r="K38" i="3"/>
  <c r="J205" i="14"/>
  <c r="J189" i="14"/>
  <c r="J133" i="14"/>
  <c r="L57" i="2"/>
  <c r="M46" i="14" s="1"/>
  <c r="L62" i="3"/>
  <c r="M225" i="14" s="1"/>
  <c r="K62" i="3"/>
  <c r="L53" i="3"/>
  <c r="M216" i="14" s="1"/>
  <c r="K53" i="3"/>
  <c r="L216" i="14" s="1"/>
  <c r="E28" i="8"/>
  <c r="F28" i="8" s="1"/>
  <c r="J208" i="14"/>
  <c r="E24" i="8"/>
  <c r="F24" i="8" s="1"/>
  <c r="L41" i="3"/>
  <c r="M204" i="14" s="1"/>
  <c r="E22" i="5"/>
  <c r="F22" i="5" s="1"/>
  <c r="J270" i="14"/>
  <c r="H8" i="7"/>
  <c r="H18" i="7"/>
  <c r="J73" i="14"/>
  <c r="K29" i="7"/>
  <c r="K55" i="7"/>
  <c r="L99" i="14" s="1"/>
  <c r="E55" i="8"/>
  <c r="F55" i="8" s="1"/>
  <c r="E73" i="8"/>
  <c r="F73" i="8" s="1"/>
  <c r="L90" i="7"/>
  <c r="M134" i="14" s="1"/>
  <c r="E77" i="8"/>
  <c r="F77" i="8" s="1"/>
  <c r="E84" i="8"/>
  <c r="F84" i="8" s="1"/>
  <c r="J20" i="1"/>
  <c r="I20" i="1"/>
  <c r="J40" i="1"/>
  <c r="I40" i="1"/>
  <c r="I24" i="5"/>
  <c r="I42" i="5"/>
  <c r="I34" i="5"/>
  <c r="H16" i="3"/>
  <c r="L16" i="3" s="1"/>
  <c r="M181" i="14" s="1"/>
  <c r="I13" i="2"/>
  <c r="L13" i="2"/>
  <c r="M8" i="14" s="1"/>
  <c r="H8" i="14"/>
  <c r="J81" i="14"/>
  <c r="L37" i="7"/>
  <c r="M81" i="14" s="1"/>
  <c r="M134" i="21"/>
  <c r="N242" i="14"/>
  <c r="N123" i="14"/>
  <c r="K23" i="7"/>
  <c r="K6" i="8" s="1"/>
  <c r="K52" i="2"/>
  <c r="L41" i="14" s="1"/>
  <c r="L24" i="8"/>
  <c r="L34" i="5"/>
  <c r="L206" i="14"/>
  <c r="L128" i="3"/>
  <c r="M285" i="14" s="1"/>
  <c r="L32" i="7"/>
  <c r="M76" i="14" s="1"/>
  <c r="E12" i="8"/>
  <c r="F12" i="8" s="1"/>
  <c r="K71" i="3"/>
  <c r="K127" i="7"/>
  <c r="K127" i="3"/>
  <c r="H16" i="14"/>
  <c r="K128" i="3"/>
  <c r="J204" i="14"/>
  <c r="J264" i="14"/>
  <c r="H30" i="14"/>
  <c r="K128" i="7"/>
  <c r="K37" i="5" s="1"/>
  <c r="L30" i="3"/>
  <c r="M193" i="14" s="1"/>
  <c r="J271" i="14"/>
  <c r="K29" i="3"/>
  <c r="J201" i="14"/>
  <c r="J229" i="14"/>
  <c r="J145" i="14"/>
  <c r="J119" i="14"/>
  <c r="E49" i="8"/>
  <c r="F49" i="8" s="1"/>
  <c r="J97" i="14"/>
  <c r="J124" i="14"/>
  <c r="J116" i="14"/>
  <c r="J88" i="14"/>
  <c r="L17" i="2"/>
  <c r="M12" i="14" s="1"/>
  <c r="I17" i="2"/>
  <c r="L8" i="2"/>
  <c r="M3" i="14" s="1"/>
  <c r="I8" i="2"/>
  <c r="J3" i="14" s="1"/>
  <c r="L46" i="2"/>
  <c r="M35" i="14" s="1"/>
  <c r="H35" i="14"/>
  <c r="I53" i="2"/>
  <c r="L50" i="2"/>
  <c r="M39" i="14" s="1"/>
  <c r="E79" i="8"/>
  <c r="F79" i="8" s="1"/>
  <c r="E44" i="8"/>
  <c r="F44" i="8" s="1"/>
  <c r="J224" i="14"/>
  <c r="E32" i="8"/>
  <c r="F32" i="8" s="1"/>
  <c r="L114" i="3"/>
  <c r="M273" i="14" s="1"/>
  <c r="J273" i="14"/>
  <c r="J70" i="14"/>
  <c r="E9" i="8"/>
  <c r="F9" i="8" s="1"/>
  <c r="J85" i="14"/>
  <c r="K41" i="7"/>
  <c r="L41" i="7"/>
  <c r="M85" i="14" s="1"/>
  <c r="E64" i="8"/>
  <c r="F64" i="8" s="1"/>
  <c r="L81" i="7"/>
  <c r="M125" i="14" s="1"/>
  <c r="L91" i="7"/>
  <c r="M135" i="14" s="1"/>
  <c r="J135" i="14"/>
  <c r="I49" i="8"/>
  <c r="I25" i="8"/>
  <c r="E20" i="8"/>
  <c r="F20" i="8" s="1"/>
  <c r="J200" i="14"/>
  <c r="L48" i="17"/>
  <c r="L44" i="17"/>
  <c r="L40" i="17"/>
  <c r="L36" i="17"/>
  <c r="L74" i="17"/>
  <c r="L58" i="17"/>
  <c r="L101" i="17"/>
  <c r="L112" i="17"/>
  <c r="M124" i="21"/>
  <c r="M130" i="21"/>
  <c r="M138" i="21"/>
  <c r="M146" i="21"/>
  <c r="M151" i="21"/>
  <c r="M157" i="21"/>
  <c r="M144" i="21"/>
  <c r="E72" i="8"/>
  <c r="F72" i="8" s="1"/>
  <c r="E42" i="8"/>
  <c r="F42" i="8" s="1"/>
  <c r="E24" i="5"/>
  <c r="F24" i="5" s="1"/>
  <c r="I41" i="5"/>
  <c r="I8" i="8"/>
  <c r="I73" i="8"/>
  <c r="I69" i="8"/>
  <c r="L11" i="7"/>
  <c r="M58" i="14" s="1"/>
  <c r="J58" i="14"/>
  <c r="L10" i="17"/>
  <c r="L90" i="17"/>
  <c r="L56" i="17"/>
  <c r="L52" i="17"/>
  <c r="L96" i="17"/>
  <c r="L25" i="2"/>
  <c r="M20" i="14" s="1"/>
  <c r="I20" i="14"/>
  <c r="I26" i="8"/>
  <c r="I22" i="8"/>
  <c r="I18" i="8"/>
  <c r="I14" i="8"/>
  <c r="H108" i="7"/>
  <c r="J149" i="14" s="1"/>
  <c r="L68" i="17"/>
  <c r="L64" i="17"/>
  <c r="L42" i="17"/>
  <c r="M6" i="21"/>
  <c r="M10" i="21"/>
  <c r="M16" i="21"/>
  <c r="M21" i="21"/>
  <c r="M29" i="21"/>
  <c r="M34" i="21"/>
  <c r="M40" i="21"/>
  <c r="M46" i="21"/>
  <c r="M53" i="21"/>
  <c r="M110" i="21"/>
  <c r="M120" i="21"/>
  <c r="M123" i="21"/>
  <c r="M128" i="21"/>
  <c r="M137" i="21"/>
  <c r="M142" i="21"/>
  <c r="M150" i="21"/>
  <c r="M155" i="21"/>
  <c r="M246" i="21"/>
  <c r="M54" i="21"/>
  <c r="I29" i="5"/>
  <c r="K131" i="3"/>
  <c r="L288" i="14" s="1"/>
  <c r="I268" i="14"/>
  <c r="I149" i="14"/>
  <c r="L131" i="3"/>
  <c r="M288" i="14" s="1"/>
  <c r="L131" i="7"/>
  <c r="M169" i="14" s="1"/>
  <c r="E40" i="5"/>
  <c r="F40" i="5" s="1"/>
  <c r="J169" i="14"/>
  <c r="J216" i="14"/>
  <c r="I30" i="5"/>
  <c r="J269" i="14"/>
  <c r="L88" i="7"/>
  <c r="M132" i="14" s="1"/>
  <c r="E71" i="8"/>
  <c r="F71" i="8" s="1"/>
  <c r="E33" i="5"/>
  <c r="F33" i="5" s="1"/>
  <c r="E39" i="5"/>
  <c r="F39" i="5" s="1"/>
  <c r="L111" i="3"/>
  <c r="M270" i="14" s="1"/>
  <c r="L240" i="14"/>
  <c r="L236" i="14"/>
  <c r="L56" i="8"/>
  <c r="L243" i="14"/>
  <c r="L63" i="8"/>
  <c r="L220" i="14"/>
  <c r="L40" i="8"/>
  <c r="L214" i="14"/>
  <c r="L34" i="8"/>
  <c r="L203" i="14"/>
  <c r="L23" i="8"/>
  <c r="L16" i="8"/>
  <c r="L264" i="14"/>
  <c r="J236" i="14"/>
  <c r="K27" i="3"/>
  <c r="K45" i="3"/>
  <c r="J203" i="14"/>
  <c r="L34" i="3"/>
  <c r="M197" i="14" s="1"/>
  <c r="L63" i="3"/>
  <c r="M226" i="14" s="1"/>
  <c r="J191" i="14"/>
  <c r="L95" i="3"/>
  <c r="M258" i="14" s="1"/>
  <c r="J186" i="14"/>
  <c r="E68" i="8"/>
  <c r="F68" i="8" s="1"/>
  <c r="L57" i="3"/>
  <c r="M220" i="14" s="1"/>
  <c r="J197" i="14"/>
  <c r="J226" i="14"/>
  <c r="J242" i="14"/>
  <c r="K23" i="3"/>
  <c r="E78" i="8"/>
  <c r="F78" i="8" s="1"/>
  <c r="E52" i="8"/>
  <c r="F52" i="8" s="1"/>
  <c r="E46" i="8"/>
  <c r="F46" i="8" s="1"/>
  <c r="E26" i="8"/>
  <c r="F26" i="8" s="1"/>
  <c r="E80" i="8"/>
  <c r="F80" i="8" s="1"/>
  <c r="L56" i="3"/>
  <c r="M219" i="14" s="1"/>
  <c r="L39" i="3"/>
  <c r="M202" i="14" s="1"/>
  <c r="J220" i="14"/>
  <c r="L68" i="3"/>
  <c r="M231" i="14" s="1"/>
  <c r="L80" i="3"/>
  <c r="M243" i="14" s="1"/>
  <c r="L89" i="3"/>
  <c r="M252" i="14" s="1"/>
  <c r="L33" i="3"/>
  <c r="M196" i="14" s="1"/>
  <c r="E40" i="8"/>
  <c r="F40" i="8" s="1"/>
  <c r="E83" i="8"/>
  <c r="F83" i="8" s="1"/>
  <c r="L46" i="3"/>
  <c r="M209" i="14" s="1"/>
  <c r="K56" i="3"/>
  <c r="L69" i="3"/>
  <c r="M232" i="14" s="1"/>
  <c r="J214" i="14"/>
  <c r="J231" i="14"/>
  <c r="J243" i="14"/>
  <c r="L47" i="3"/>
  <c r="M210" i="14" s="1"/>
  <c r="L88" i="3"/>
  <c r="M251" i="14" s="1"/>
  <c r="J196" i="14"/>
  <c r="E63" i="8"/>
  <c r="F63" i="8" s="1"/>
  <c r="J209" i="14"/>
  <c r="E6" i="8"/>
  <c r="F6" i="8" s="1"/>
  <c r="L74" i="3"/>
  <c r="M237" i="14" s="1"/>
  <c r="K89" i="3"/>
  <c r="L252" i="14" s="1"/>
  <c r="E23" i="8"/>
  <c r="F23" i="8" s="1"/>
  <c r="L169" i="14"/>
  <c r="J162" i="14"/>
  <c r="K130" i="7"/>
  <c r="K124" i="7"/>
  <c r="L124" i="7"/>
  <c r="M162" i="14" s="1"/>
  <c r="I27" i="5"/>
  <c r="K23" i="5"/>
  <c r="N120" i="14"/>
  <c r="N146" i="14"/>
  <c r="L102" i="14"/>
  <c r="K41" i="8"/>
  <c r="N41" i="8" s="1"/>
  <c r="L108" i="14"/>
  <c r="K47" i="8"/>
  <c r="K71" i="8"/>
  <c r="K77" i="7"/>
  <c r="K28" i="7"/>
  <c r="K11" i="8" s="1"/>
  <c r="K71" i="7"/>
  <c r="E47" i="8"/>
  <c r="F47" i="8" s="1"/>
  <c r="E31" i="8"/>
  <c r="F31" i="8" s="1"/>
  <c r="L43" i="7"/>
  <c r="M87" i="14" s="1"/>
  <c r="L28" i="7"/>
  <c r="M72" i="14" s="1"/>
  <c r="K25" i="7"/>
  <c r="L69" i="14" s="1"/>
  <c r="K97" i="7"/>
  <c r="E34" i="8"/>
  <c r="F34" i="8" s="1"/>
  <c r="E54" i="8"/>
  <c r="F54" i="8" s="1"/>
  <c r="J108" i="14"/>
  <c r="E41" i="8"/>
  <c r="F41" i="8" s="1"/>
  <c r="E74" i="8"/>
  <c r="F74" i="8" s="1"/>
  <c r="K39" i="7"/>
  <c r="L83" i="14" s="1"/>
  <c r="J144" i="14"/>
  <c r="K48" i="7"/>
  <c r="L92" i="14" s="1"/>
  <c r="E8" i="8"/>
  <c r="F8" i="8" s="1"/>
  <c r="K74" i="8"/>
  <c r="E11" i="8"/>
  <c r="F11" i="8" s="1"/>
  <c r="L58" i="7"/>
  <c r="M102" i="14" s="1"/>
  <c r="L84" i="7"/>
  <c r="M128" i="14" s="1"/>
  <c r="L64" i="7"/>
  <c r="M108" i="14" s="1"/>
  <c r="E60" i="8"/>
  <c r="F60" i="8" s="1"/>
  <c r="J102" i="14"/>
  <c r="J69" i="14"/>
  <c r="L34" i="7"/>
  <c r="M78" i="14" s="1"/>
  <c r="K84" i="7"/>
  <c r="L128" i="14" s="1"/>
  <c r="K43" i="7"/>
  <c r="E67" i="8"/>
  <c r="F67" i="8" s="1"/>
  <c r="E22" i="8"/>
  <c r="F22" i="8" s="1"/>
  <c r="L36" i="7"/>
  <c r="M80" i="14" s="1"/>
  <c r="J40" i="14"/>
  <c r="L107" i="7"/>
  <c r="K121" i="7"/>
  <c r="K110" i="3"/>
  <c r="J150" i="14"/>
  <c r="K110" i="7"/>
  <c r="I172" i="14"/>
  <c r="J277" i="14"/>
  <c r="K118" i="3"/>
  <c r="L29" i="8"/>
  <c r="L103" i="7"/>
  <c r="K32" i="8"/>
  <c r="I11" i="8"/>
  <c r="L11" i="8"/>
  <c r="L17" i="8"/>
  <c r="L242" i="14"/>
  <c r="I72" i="8"/>
  <c r="I34" i="8"/>
  <c r="L13" i="8"/>
  <c r="L46" i="8"/>
  <c r="L15" i="8"/>
  <c r="L211" i="14"/>
  <c r="L19" i="5"/>
  <c r="L37" i="3"/>
  <c r="M200" i="14" s="1"/>
  <c r="K37" i="3"/>
  <c r="L20" i="8" s="1"/>
  <c r="L43" i="8"/>
  <c r="L223" i="14"/>
  <c r="E43" i="8"/>
  <c r="F43" i="8" s="1"/>
  <c r="L60" i="3"/>
  <c r="M223" i="14" s="1"/>
  <c r="J223" i="14"/>
  <c r="K37" i="7"/>
  <c r="K268" i="14"/>
  <c r="K26" i="5"/>
  <c r="G34" i="1"/>
  <c r="K121" i="3"/>
  <c r="I78" i="8"/>
  <c r="I65" i="8"/>
  <c r="I59" i="8"/>
  <c r="I53" i="8"/>
  <c r="I47" i="8"/>
  <c r="I41" i="8"/>
  <c r="I29" i="8"/>
  <c r="I23" i="8"/>
  <c r="I17" i="8"/>
  <c r="I85" i="8"/>
  <c r="K83" i="8"/>
  <c r="K35" i="8"/>
  <c r="M119" i="21"/>
  <c r="M117" i="21"/>
  <c r="M45" i="21"/>
  <c r="M22" i="21"/>
  <c r="M145" i="21"/>
  <c r="M132" i="21"/>
  <c r="M154" i="21"/>
  <c r="M131" i="21"/>
  <c r="M115" i="21"/>
  <c r="M126" i="21"/>
  <c r="M42" i="21"/>
  <c r="M52" i="21"/>
  <c r="M51" i="21"/>
  <c r="M118" i="21"/>
  <c r="M139" i="21"/>
  <c r="M147" i="21"/>
  <c r="M33" i="21"/>
  <c r="M108" i="21"/>
  <c r="M50" i="21"/>
  <c r="M28" i="21"/>
  <c r="M113" i="21"/>
  <c r="M38" i="21"/>
  <c r="L103" i="3"/>
  <c r="L35" i="5"/>
  <c r="I291" i="14"/>
  <c r="K266" i="14"/>
  <c r="K147" i="14"/>
  <c r="K172" i="14"/>
  <c r="L100" i="14"/>
  <c r="K39" i="8"/>
  <c r="L56" i="7"/>
  <c r="M100" i="14" s="1"/>
  <c r="K34" i="7"/>
  <c r="E17" i="8"/>
  <c r="F17" i="8" s="1"/>
  <c r="L232" i="14"/>
  <c r="L52" i="8"/>
  <c r="J232" i="14"/>
  <c r="H104" i="7"/>
  <c r="M147" i="14" s="1"/>
  <c r="H8" i="9"/>
  <c r="L84" i="3"/>
  <c r="M247" i="14" s="1"/>
  <c r="I147" i="14"/>
  <c r="I45" i="2"/>
  <c r="K96" i="3"/>
  <c r="L259" i="14" s="1"/>
  <c r="H33" i="14"/>
  <c r="I44" i="2"/>
  <c r="E39" i="8"/>
  <c r="F39" i="8" s="1"/>
  <c r="E57" i="8"/>
  <c r="F57" i="8" s="1"/>
  <c r="E28" i="5"/>
  <c r="F28" i="5" s="1"/>
  <c r="L117" i="3"/>
  <c r="M276" i="14" s="1"/>
  <c r="E26" i="5"/>
  <c r="F26" i="5" s="1"/>
  <c r="L115" i="3"/>
  <c r="M274" i="14" s="1"/>
  <c r="K107" i="3"/>
  <c r="L107" i="3"/>
  <c r="H161" i="14"/>
  <c r="H280" i="14"/>
  <c r="H122" i="3"/>
  <c r="E19" i="5"/>
  <c r="F19" i="5" s="1"/>
  <c r="J267" i="14"/>
  <c r="E31" i="5"/>
  <c r="F31" i="5" s="1"/>
  <c r="L120" i="3"/>
  <c r="M279" i="14" s="1"/>
  <c r="H62" i="14"/>
  <c r="H16" i="7"/>
  <c r="L16" i="7" s="1"/>
  <c r="M62" i="14" s="1"/>
  <c r="K66" i="14"/>
  <c r="K181" i="14"/>
  <c r="K161" i="14"/>
  <c r="L177" i="14"/>
  <c r="L10" i="5"/>
  <c r="L39" i="7"/>
  <c r="M83" i="14" s="1"/>
  <c r="K100" i="3"/>
  <c r="L100" i="7"/>
  <c r="M144" i="14" s="1"/>
  <c r="J263" i="14"/>
  <c r="K11" i="7"/>
  <c r="E10" i="5"/>
  <c r="F10" i="5" s="1"/>
  <c r="J177" i="14"/>
  <c r="L11" i="3"/>
  <c r="M177" i="14" s="1"/>
  <c r="L12" i="2"/>
  <c r="M7" i="14" s="1"/>
  <c r="J80" i="14"/>
  <c r="N138" i="14"/>
  <c r="N104" i="14"/>
  <c r="L23" i="2"/>
  <c r="M18" i="14" s="1"/>
  <c r="I23" i="2"/>
  <c r="I24" i="2"/>
  <c r="L24" i="2"/>
  <c r="M19" i="14" s="1"/>
  <c r="E29" i="5"/>
  <c r="F29" i="5" s="1"/>
  <c r="E27" i="5"/>
  <c r="F27" i="5" s="1"/>
  <c r="E25" i="5"/>
  <c r="F25" i="5" s="1"/>
  <c r="E23" i="5"/>
  <c r="F23" i="5" s="1"/>
  <c r="K27" i="2"/>
  <c r="L22" i="14" s="1"/>
  <c r="J22" i="14"/>
  <c r="E21" i="5"/>
  <c r="F21" i="5" s="1"/>
  <c r="M129" i="21"/>
  <c r="M156" i="21"/>
  <c r="M19" i="21"/>
  <c r="M37" i="21"/>
  <c r="M111" i="21"/>
  <c r="K63" i="2" l="1"/>
  <c r="L52" i="14" s="1"/>
  <c r="K16" i="8"/>
  <c r="N16" i="8" s="1"/>
  <c r="Q16" i="8" s="1"/>
  <c r="P10" i="8"/>
  <c r="G28" i="1"/>
  <c r="J28" i="1" s="1"/>
  <c r="L40" i="5"/>
  <c r="M40" i="5" s="1"/>
  <c r="L71" i="8"/>
  <c r="N71" i="8" s="1"/>
  <c r="Q71" i="8" s="1"/>
  <c r="L67" i="8"/>
  <c r="K16" i="2"/>
  <c r="L11" i="14" s="1"/>
  <c r="I28" i="14"/>
  <c r="F18" i="1"/>
  <c r="I53" i="14"/>
  <c r="F38" i="1"/>
  <c r="F42" i="1" s="1"/>
  <c r="L67" i="14"/>
  <c r="L33" i="8"/>
  <c r="G29" i="1"/>
  <c r="J29" i="1" s="1"/>
  <c r="K48" i="2"/>
  <c r="L37" i="14" s="1"/>
  <c r="L68" i="8"/>
  <c r="L27" i="8"/>
  <c r="M8" i="5"/>
  <c r="L230" i="14"/>
  <c r="L48" i="8"/>
  <c r="L78" i="8"/>
  <c r="J20" i="14"/>
  <c r="I179" i="14"/>
  <c r="G27" i="1"/>
  <c r="J28" i="14"/>
  <c r="L15" i="5"/>
  <c r="L55" i="8"/>
  <c r="N55" i="8" s="1"/>
  <c r="Q55" i="8" s="1"/>
  <c r="H21" i="7"/>
  <c r="L21" i="7" s="1"/>
  <c r="M66" i="14" s="1"/>
  <c r="F9" i="1"/>
  <c r="L69" i="8"/>
  <c r="L249" i="14"/>
  <c r="L76" i="8"/>
  <c r="L256" i="14"/>
  <c r="L77" i="8"/>
  <c r="L257" i="14"/>
  <c r="L74" i="8"/>
  <c r="N74" i="8" s="1"/>
  <c r="Q74" i="8" s="1"/>
  <c r="L254" i="14"/>
  <c r="L80" i="8"/>
  <c r="L260" i="14"/>
  <c r="L32" i="8"/>
  <c r="N32" i="8" s="1"/>
  <c r="Q32" i="8" s="1"/>
  <c r="K34" i="5"/>
  <c r="M34" i="5" s="1"/>
  <c r="P37" i="5"/>
  <c r="L75" i="8"/>
  <c r="L255" i="14"/>
  <c r="L73" i="8"/>
  <c r="L253" i="14"/>
  <c r="J30" i="14"/>
  <c r="J43" i="14"/>
  <c r="P56" i="8"/>
  <c r="L218" i="14"/>
  <c r="L22" i="8"/>
  <c r="L189" i="14"/>
  <c r="L58" i="8"/>
  <c r="M58" i="8" s="1"/>
  <c r="P36" i="5"/>
  <c r="L222" i="14"/>
  <c r="N25" i="5"/>
  <c r="Q25" i="5" s="1"/>
  <c r="L8" i="8"/>
  <c r="H13" i="3"/>
  <c r="J179" i="14" s="1"/>
  <c r="L14" i="8"/>
  <c r="P62" i="8"/>
  <c r="J291" i="14"/>
  <c r="L205" i="14"/>
  <c r="L187" i="14"/>
  <c r="L7" i="8"/>
  <c r="K108" i="3"/>
  <c r="L268" i="14" s="1"/>
  <c r="L28" i="5"/>
  <c r="P44" i="8"/>
  <c r="J32" i="1"/>
  <c r="P65" i="8"/>
  <c r="M11" i="8"/>
  <c r="P67" i="8"/>
  <c r="M25" i="5"/>
  <c r="K50" i="8"/>
  <c r="N50" i="8" s="1"/>
  <c r="Q50" i="8" s="1"/>
  <c r="P24" i="8"/>
  <c r="P38" i="5"/>
  <c r="K28" i="8"/>
  <c r="P20" i="8"/>
  <c r="P13" i="8"/>
  <c r="K67" i="8"/>
  <c r="P51" i="8"/>
  <c r="P36" i="8"/>
  <c r="P41" i="5"/>
  <c r="P49" i="8"/>
  <c r="K18" i="8"/>
  <c r="M18" i="8" s="1"/>
  <c r="K61" i="8"/>
  <c r="P18" i="8"/>
  <c r="K43" i="8"/>
  <c r="M43" i="8" s="1"/>
  <c r="P48" i="8"/>
  <c r="K21" i="8"/>
  <c r="P45" i="8"/>
  <c r="P83" i="8"/>
  <c r="P80" i="8"/>
  <c r="P30" i="8"/>
  <c r="P28" i="8"/>
  <c r="K41" i="5"/>
  <c r="M41" i="5" s="1"/>
  <c r="P33" i="8"/>
  <c r="K52" i="8"/>
  <c r="N52" i="8" s="1"/>
  <c r="Q52" i="8" s="1"/>
  <c r="M13" i="8"/>
  <c r="P70" i="8"/>
  <c r="L74" i="14"/>
  <c r="K44" i="8"/>
  <c r="N44" i="8" s="1"/>
  <c r="Q44" i="8" s="1"/>
  <c r="K14" i="8"/>
  <c r="P34" i="5"/>
  <c r="P25" i="8"/>
  <c r="K17" i="5"/>
  <c r="N17" i="5" s="1"/>
  <c r="Q17" i="5" s="1"/>
  <c r="J268" i="14"/>
  <c r="K25" i="8"/>
  <c r="N25" i="8" s="1"/>
  <c r="Q25" i="8" s="1"/>
  <c r="P53" i="8"/>
  <c r="N11" i="8"/>
  <c r="Q11" i="8" s="1"/>
  <c r="L33" i="5"/>
  <c r="P8" i="5"/>
  <c r="K78" i="8"/>
  <c r="P29" i="8"/>
  <c r="P40" i="8"/>
  <c r="P75" i="8"/>
  <c r="P39" i="5"/>
  <c r="K134" i="3"/>
  <c r="L291" i="14" s="1"/>
  <c r="N8" i="5"/>
  <c r="Q8" i="5" s="1"/>
  <c r="K42" i="5"/>
  <c r="M42" i="5" s="1"/>
  <c r="K135" i="7"/>
  <c r="L172" i="14" s="1"/>
  <c r="L135" i="7"/>
  <c r="M172" i="14" s="1"/>
  <c r="P22" i="5"/>
  <c r="P9" i="5"/>
  <c r="N40" i="5"/>
  <c r="Q40" i="5" s="1"/>
  <c r="P42" i="5"/>
  <c r="L286" i="14"/>
  <c r="L38" i="5"/>
  <c r="L272" i="14"/>
  <c r="L23" i="5"/>
  <c r="N23" i="5" s="1"/>
  <c r="Q23" i="5" s="1"/>
  <c r="N22" i="5"/>
  <c r="Q22" i="5" s="1"/>
  <c r="L27" i="5"/>
  <c r="N27" i="5" s="1"/>
  <c r="Q27" i="5" s="1"/>
  <c r="L278" i="14"/>
  <c r="L30" i="5"/>
  <c r="P24" i="5"/>
  <c r="L64" i="8"/>
  <c r="L210" i="14"/>
  <c r="L224" i="14"/>
  <c r="L241" i="14"/>
  <c r="L61" i="8"/>
  <c r="L57" i="8"/>
  <c r="P35" i="8"/>
  <c r="L229" i="14"/>
  <c r="L49" i="8"/>
  <c r="L199" i="14"/>
  <c r="L19" i="8"/>
  <c r="L245" i="14"/>
  <c r="L65" i="8"/>
  <c r="P34" i="8"/>
  <c r="P76" i="8"/>
  <c r="P46" i="8"/>
  <c r="P14" i="8"/>
  <c r="L183" i="14"/>
  <c r="L16" i="5"/>
  <c r="M16" i="5" s="1"/>
  <c r="J185" i="14"/>
  <c r="K21" i="3"/>
  <c r="L185" i="14" s="1"/>
  <c r="M35" i="5"/>
  <c r="L166" i="14"/>
  <c r="M22" i="5"/>
  <c r="K28" i="5"/>
  <c r="K31" i="5"/>
  <c r="N31" i="5" s="1"/>
  <c r="Q31" i="5" s="1"/>
  <c r="P30" i="5"/>
  <c r="M19" i="5"/>
  <c r="L108" i="7"/>
  <c r="M149" i="14" s="1"/>
  <c r="K57" i="8"/>
  <c r="L91" i="14"/>
  <c r="M16" i="8"/>
  <c r="K33" i="8"/>
  <c r="K22" i="8"/>
  <c r="L140" i="14"/>
  <c r="N84" i="8"/>
  <c r="Q84" i="8" s="1"/>
  <c r="L131" i="14"/>
  <c r="N30" i="8"/>
  <c r="Q30" i="8" s="1"/>
  <c r="M30" i="8"/>
  <c r="P19" i="8"/>
  <c r="K56" i="8"/>
  <c r="N56" i="8" s="1"/>
  <c r="Q56" i="8" s="1"/>
  <c r="L117" i="14"/>
  <c r="K19" i="8"/>
  <c r="P42" i="8"/>
  <c r="P21" i="8"/>
  <c r="P72" i="8"/>
  <c r="P32" i="8"/>
  <c r="P9" i="8"/>
  <c r="P15" i="8"/>
  <c r="L112" i="14"/>
  <c r="K59" i="8"/>
  <c r="N59" i="8" s="1"/>
  <c r="Q59" i="8" s="1"/>
  <c r="P59" i="8"/>
  <c r="K53" i="8"/>
  <c r="M53" i="8" s="1"/>
  <c r="M41" i="8"/>
  <c r="K34" i="8"/>
  <c r="N34" i="8" s="1"/>
  <c r="Q34" i="8" s="1"/>
  <c r="K65" i="8"/>
  <c r="P16" i="8"/>
  <c r="K48" i="8"/>
  <c r="L109" i="14"/>
  <c r="L71" i="14"/>
  <c r="K10" i="8"/>
  <c r="K77" i="8"/>
  <c r="L138" i="14"/>
  <c r="K7" i="8"/>
  <c r="L68" i="14"/>
  <c r="P61" i="8"/>
  <c r="M29" i="8"/>
  <c r="P50" i="8"/>
  <c r="P22" i="8"/>
  <c r="P73" i="8"/>
  <c r="K23" i="8"/>
  <c r="M23" i="8" s="1"/>
  <c r="L84" i="14"/>
  <c r="P52" i="8"/>
  <c r="P78" i="8"/>
  <c r="P58" i="8"/>
  <c r="P12" i="8"/>
  <c r="K45" i="8"/>
  <c r="K46" i="8"/>
  <c r="N46" i="8" s="1"/>
  <c r="Q46" i="8" s="1"/>
  <c r="K68" i="8"/>
  <c r="K73" i="8"/>
  <c r="P8" i="8"/>
  <c r="P27" i="8"/>
  <c r="K9" i="8"/>
  <c r="K27" i="8"/>
  <c r="P7" i="8"/>
  <c r="L125" i="14"/>
  <c r="K64" i="8"/>
  <c r="K75" i="8"/>
  <c r="L136" i="14"/>
  <c r="G137" i="7"/>
  <c r="P17" i="5"/>
  <c r="P16" i="5"/>
  <c r="P13" i="5"/>
  <c r="L59" i="14"/>
  <c r="K11" i="5"/>
  <c r="N11" i="5" s="1"/>
  <c r="Q11" i="5" s="1"/>
  <c r="K58" i="2"/>
  <c r="L47" i="14" s="1"/>
  <c r="J44" i="14"/>
  <c r="J39" i="14"/>
  <c r="K50" i="2"/>
  <c r="L39" i="14" s="1"/>
  <c r="K57" i="2"/>
  <c r="L46" i="14" s="1"/>
  <c r="J46" i="14"/>
  <c r="J48" i="14"/>
  <c r="K59" i="2"/>
  <c r="L48" i="14" s="1"/>
  <c r="K15" i="2"/>
  <c r="L10" i="14" s="1"/>
  <c r="J6" i="14"/>
  <c r="K7" i="2"/>
  <c r="L2" i="14" s="1"/>
  <c r="J2" i="14"/>
  <c r="K12" i="2"/>
  <c r="L7" i="14" s="1"/>
  <c r="K8" i="2"/>
  <c r="L3" i="14" s="1"/>
  <c r="K17" i="2"/>
  <c r="L12" i="14" s="1"/>
  <c r="J12" i="14"/>
  <c r="L180" i="14"/>
  <c r="L13" i="5"/>
  <c r="J49" i="14"/>
  <c r="K60" i="2"/>
  <c r="L49" i="14" s="1"/>
  <c r="P71" i="8"/>
  <c r="L284" i="14"/>
  <c r="L36" i="5"/>
  <c r="L201" i="14"/>
  <c r="L21" i="8"/>
  <c r="J16" i="14"/>
  <c r="K21" i="2"/>
  <c r="L16" i="14" s="1"/>
  <c r="L176" i="14"/>
  <c r="L9" i="5"/>
  <c r="I60" i="14"/>
  <c r="G7" i="1"/>
  <c r="L159" i="14"/>
  <c r="K30" i="5"/>
  <c r="K108" i="7"/>
  <c r="L149" i="14" s="1"/>
  <c r="J14" i="14"/>
  <c r="K38" i="8"/>
  <c r="N38" i="8" s="1"/>
  <c r="Q38" i="8" s="1"/>
  <c r="K62" i="8"/>
  <c r="M62" i="8" s="1"/>
  <c r="P38" i="8"/>
  <c r="P31" i="8"/>
  <c r="L165" i="14"/>
  <c r="K36" i="5"/>
  <c r="K13" i="2"/>
  <c r="L8" i="14" s="1"/>
  <c r="J8" i="14"/>
  <c r="L73" i="14"/>
  <c r="K12" i="8"/>
  <c r="L45" i="8"/>
  <c r="L225" i="14"/>
  <c r="L137" i="14"/>
  <c r="K76" i="8"/>
  <c r="P55" i="8"/>
  <c r="I66" i="14"/>
  <c r="L70" i="8"/>
  <c r="M70" i="8" s="1"/>
  <c r="J29" i="14"/>
  <c r="K40" i="2"/>
  <c r="L29" i="14" s="1"/>
  <c r="K24" i="5"/>
  <c r="L153" i="14"/>
  <c r="L9" i="2"/>
  <c r="M4" i="14" s="1"/>
  <c r="I9" i="2"/>
  <c r="H4" i="14"/>
  <c r="H13" i="7"/>
  <c r="J54" i="14"/>
  <c r="K7" i="7"/>
  <c r="L57" i="14"/>
  <c r="K9" i="5"/>
  <c r="L192" i="14"/>
  <c r="L12" i="8"/>
  <c r="E15" i="5"/>
  <c r="F15" i="5" s="1"/>
  <c r="J63" i="14"/>
  <c r="K18" i="7"/>
  <c r="K20" i="2"/>
  <c r="L15" i="14" s="1"/>
  <c r="J15" i="14"/>
  <c r="K49" i="8"/>
  <c r="L110" i="14"/>
  <c r="P11" i="5"/>
  <c r="E6" i="5"/>
  <c r="F6" i="5" s="1"/>
  <c r="J173" i="14"/>
  <c r="K7" i="3"/>
  <c r="L36" i="8"/>
  <c r="M36" i="8" s="1"/>
  <c r="P79" i="8"/>
  <c r="K8" i="7"/>
  <c r="J55" i="14"/>
  <c r="E7" i="5"/>
  <c r="F7" i="5" s="1"/>
  <c r="L51" i="8"/>
  <c r="L231" i="14"/>
  <c r="J17" i="14"/>
  <c r="K22" i="2"/>
  <c r="L17" i="14" s="1"/>
  <c r="M28" i="14"/>
  <c r="P35" i="5"/>
  <c r="P85" i="8"/>
  <c r="P69" i="8"/>
  <c r="P77" i="8"/>
  <c r="L85" i="14"/>
  <c r="K24" i="8"/>
  <c r="M24" i="8" s="1"/>
  <c r="J42" i="14"/>
  <c r="K53" i="2"/>
  <c r="L42" i="14" s="1"/>
  <c r="L285" i="14"/>
  <c r="L37" i="5"/>
  <c r="M37" i="5" s="1"/>
  <c r="L54" i="8"/>
  <c r="L234" i="14"/>
  <c r="K16" i="3"/>
  <c r="L181" i="14" s="1"/>
  <c r="J181" i="14"/>
  <c r="P84" i="8"/>
  <c r="L103" i="14"/>
  <c r="K42" i="8"/>
  <c r="L43" i="2"/>
  <c r="M32" i="14" s="1"/>
  <c r="H32" i="14"/>
  <c r="K15" i="8"/>
  <c r="M15" i="8" s="1"/>
  <c r="L76" i="14"/>
  <c r="K49" i="2"/>
  <c r="L38" i="14" s="1"/>
  <c r="J38" i="14"/>
  <c r="J9" i="14"/>
  <c r="K14" i="2"/>
  <c r="L9" i="14" s="1"/>
  <c r="K69" i="8"/>
  <c r="H28" i="14"/>
  <c r="L47" i="8"/>
  <c r="M47" i="8" s="1"/>
  <c r="L227" i="14"/>
  <c r="L85" i="8"/>
  <c r="L265" i="14"/>
  <c r="K47" i="2"/>
  <c r="L36" i="14" s="1"/>
  <c r="J36" i="14"/>
  <c r="P64" i="8"/>
  <c r="P60" i="8"/>
  <c r="P40" i="5"/>
  <c r="P33" i="5"/>
  <c r="N35" i="5"/>
  <c r="Q35" i="5" s="1"/>
  <c r="L219" i="14"/>
  <c r="L39" i="8"/>
  <c r="N39" i="8" s="1"/>
  <c r="Q39" i="8" s="1"/>
  <c r="L190" i="14"/>
  <c r="L10" i="8"/>
  <c r="P23" i="8"/>
  <c r="P63" i="8"/>
  <c r="P6" i="8"/>
  <c r="L208" i="14"/>
  <c r="L28" i="8"/>
  <c r="M63" i="8"/>
  <c r="N63" i="8"/>
  <c r="Q63" i="8" s="1"/>
  <c r="P26" i="8"/>
  <c r="P68" i="8"/>
  <c r="L72" i="8"/>
  <c r="L186" i="14"/>
  <c r="L6" i="8"/>
  <c r="M40" i="8"/>
  <c r="N40" i="8"/>
  <c r="Q40" i="8" s="1"/>
  <c r="L162" i="14"/>
  <c r="K33" i="5"/>
  <c r="K39" i="5"/>
  <c r="L168" i="14"/>
  <c r="L72" i="14"/>
  <c r="L141" i="14"/>
  <c r="K80" i="8"/>
  <c r="L115" i="14"/>
  <c r="K54" i="8"/>
  <c r="P47" i="8"/>
  <c r="P41" i="8"/>
  <c r="K31" i="8"/>
  <c r="N31" i="8" s="1"/>
  <c r="Q31" i="8" s="1"/>
  <c r="K8" i="8"/>
  <c r="Q41" i="8"/>
  <c r="P54" i="8"/>
  <c r="L87" i="14"/>
  <c r="K26" i="8"/>
  <c r="P74" i="8"/>
  <c r="L121" i="14"/>
  <c r="K60" i="8"/>
  <c r="P11" i="8"/>
  <c r="L269" i="14"/>
  <c r="L21" i="5"/>
  <c r="L150" i="14"/>
  <c r="K21" i="5"/>
  <c r="P21" i="5"/>
  <c r="L277" i="14"/>
  <c r="L29" i="5"/>
  <c r="N29" i="8"/>
  <c r="Q29" i="8" s="1"/>
  <c r="L200" i="14"/>
  <c r="N13" i="8"/>
  <c r="Q13" i="8" s="1"/>
  <c r="N19" i="5"/>
  <c r="Q19" i="5" s="1"/>
  <c r="P43" i="8"/>
  <c r="L81" i="14"/>
  <c r="K20" i="8"/>
  <c r="N26" i="5"/>
  <c r="Q26" i="5" s="1"/>
  <c r="M26" i="5"/>
  <c r="G14" i="1"/>
  <c r="I14" i="1" s="1"/>
  <c r="M35" i="8"/>
  <c r="N35" i="8"/>
  <c r="Q35" i="8" s="1"/>
  <c r="I36" i="1"/>
  <c r="J36" i="1"/>
  <c r="J16" i="1"/>
  <c r="I16" i="1"/>
  <c r="L78" i="14"/>
  <c r="K17" i="8"/>
  <c r="P17" i="8"/>
  <c r="K104" i="7"/>
  <c r="L147" i="14" s="1"/>
  <c r="I10" i="1"/>
  <c r="J147" i="14"/>
  <c r="H42" i="1"/>
  <c r="I34" i="1"/>
  <c r="J34" i="1"/>
  <c r="G30" i="1"/>
  <c r="H104" i="3"/>
  <c r="I266" i="14"/>
  <c r="P23" i="5"/>
  <c r="K10" i="5"/>
  <c r="L58" i="14"/>
  <c r="L263" i="14"/>
  <c r="L83" i="8"/>
  <c r="K16" i="7"/>
  <c r="L62" i="14" s="1"/>
  <c r="J62" i="14"/>
  <c r="J280" i="14"/>
  <c r="L122" i="3"/>
  <c r="M280" i="14" s="1"/>
  <c r="K122" i="3"/>
  <c r="L280" i="14" s="1"/>
  <c r="H22" i="1"/>
  <c r="P28" i="5"/>
  <c r="P27" i="5"/>
  <c r="K23" i="2"/>
  <c r="L18" i="14" s="1"/>
  <c r="J18" i="14"/>
  <c r="K122" i="7"/>
  <c r="L161" i="14" s="1"/>
  <c r="J161" i="14"/>
  <c r="L122" i="7"/>
  <c r="M161" i="14" s="1"/>
  <c r="P26" i="5"/>
  <c r="P57" i="8"/>
  <c r="J33" i="14"/>
  <c r="K44" i="2"/>
  <c r="L33" i="14" s="1"/>
  <c r="L79" i="8"/>
  <c r="K45" i="2"/>
  <c r="L34" i="14" s="1"/>
  <c r="J34" i="14"/>
  <c r="P25" i="5"/>
  <c r="P29" i="5"/>
  <c r="J19" i="14"/>
  <c r="K24" i="2"/>
  <c r="L19" i="14" s="1"/>
  <c r="P10" i="5"/>
  <c r="J8" i="1"/>
  <c r="I8" i="1"/>
  <c r="P19" i="5"/>
  <c r="J12" i="1"/>
  <c r="I12" i="1"/>
  <c r="L64" i="2"/>
  <c r="M53" i="14" s="1"/>
  <c r="H53" i="14"/>
  <c r="I64" i="2"/>
  <c r="P39" i="8"/>
  <c r="K43" i="2"/>
  <c r="L32" i="14" s="1"/>
  <c r="J32" i="14"/>
  <c r="P31" i="5"/>
  <c r="M71" i="8" l="1"/>
  <c r="N19" i="8"/>
  <c r="Q19" i="8" s="1"/>
  <c r="N34" i="5"/>
  <c r="Q34" i="5" s="1"/>
  <c r="I28" i="1"/>
  <c r="M68" i="8"/>
  <c r="M74" i="8"/>
  <c r="K13" i="3"/>
  <c r="L179" i="14" s="1"/>
  <c r="N48" i="8"/>
  <c r="Q48" i="8" s="1"/>
  <c r="N67" i="8"/>
  <c r="Q67" i="8" s="1"/>
  <c r="F22" i="1"/>
  <c r="N73" i="8"/>
  <c r="Q73" i="8" s="1"/>
  <c r="K33" i="2"/>
  <c r="L28" i="14" s="1"/>
  <c r="L13" i="3"/>
  <c r="M179" i="14" s="1"/>
  <c r="M32" i="8"/>
  <c r="G9" i="1"/>
  <c r="J9" i="1" s="1"/>
  <c r="M78" i="8"/>
  <c r="I29" i="1"/>
  <c r="M27" i="8"/>
  <c r="M33" i="8"/>
  <c r="M28" i="5"/>
  <c r="J66" i="14"/>
  <c r="K21" i="7"/>
  <c r="L66" i="14" s="1"/>
  <c r="M52" i="8"/>
  <c r="M55" i="8"/>
  <c r="N78" i="8"/>
  <c r="Q78" i="8" s="1"/>
  <c r="N58" i="8"/>
  <c r="Q58" i="8" s="1"/>
  <c r="N14" i="8"/>
  <c r="Q14" i="8" s="1"/>
  <c r="M22" i="8"/>
  <c r="M23" i="5"/>
  <c r="M39" i="8"/>
  <c r="N61" i="8"/>
  <c r="Q61" i="8" s="1"/>
  <c r="N47" i="8"/>
  <c r="Q47" i="8" s="1"/>
  <c r="M50" i="8"/>
  <c r="M27" i="5"/>
  <c r="N16" i="5"/>
  <c r="Q16" i="5" s="1"/>
  <c r="M21" i="8"/>
  <c r="M67" i="8"/>
  <c r="N18" i="8"/>
  <c r="Q18" i="8" s="1"/>
  <c r="M28" i="8"/>
  <c r="M61" i="8"/>
  <c r="N42" i="5"/>
  <c r="Q42" i="5" s="1"/>
  <c r="N62" i="8"/>
  <c r="Q62" i="8" s="1"/>
  <c r="M44" i="8"/>
  <c r="M14" i="8"/>
  <c r="N41" i="5"/>
  <c r="Q41" i="5" s="1"/>
  <c r="N43" i="8"/>
  <c r="Q43" i="8" s="1"/>
  <c r="N22" i="8"/>
  <c r="Q22" i="8" s="1"/>
  <c r="M17" i="5"/>
  <c r="N68" i="8"/>
  <c r="Q68" i="8" s="1"/>
  <c r="N33" i="8"/>
  <c r="Q33" i="8" s="1"/>
  <c r="M34" i="8"/>
  <c r="M48" i="8"/>
  <c r="M25" i="8"/>
  <c r="M38" i="8"/>
  <c r="N23" i="8"/>
  <c r="Q23" i="8" s="1"/>
  <c r="N70" i="8"/>
  <c r="Q70" i="8" s="1"/>
  <c r="N53" i="8"/>
  <c r="Q53" i="8" s="1"/>
  <c r="P7" i="5"/>
  <c r="M38" i="5"/>
  <c r="N38" i="5"/>
  <c r="Q38" i="5" s="1"/>
  <c r="N64" i="8"/>
  <c r="Q64" i="8" s="1"/>
  <c r="N57" i="8"/>
  <c r="Q57" i="8" s="1"/>
  <c r="N36" i="8"/>
  <c r="Q36" i="8" s="1"/>
  <c r="M65" i="8"/>
  <c r="M19" i="8"/>
  <c r="N28" i="8"/>
  <c r="Q28" i="8" s="1"/>
  <c r="N28" i="5"/>
  <c r="Q28" i="5" s="1"/>
  <c r="M31" i="5"/>
  <c r="M57" i="8"/>
  <c r="N15" i="8"/>
  <c r="Q15" i="8" s="1"/>
  <c r="M56" i="8"/>
  <c r="M64" i="8"/>
  <c r="M46" i="8"/>
  <c r="N24" i="8"/>
  <c r="Q24" i="8" s="1"/>
  <c r="N65" i="8"/>
  <c r="Q65" i="8" s="1"/>
  <c r="M59" i="8"/>
  <c r="M7" i="8"/>
  <c r="N7" i="8"/>
  <c r="Q7" i="8" s="1"/>
  <c r="M73" i="8"/>
  <c r="M45" i="8"/>
  <c r="M75" i="8"/>
  <c r="N75" i="8"/>
  <c r="Q75" i="8" s="1"/>
  <c r="N77" i="8"/>
  <c r="Q77" i="8" s="1"/>
  <c r="M77" i="8"/>
  <c r="N27" i="8"/>
  <c r="Q27" i="8" s="1"/>
  <c r="M9" i="8"/>
  <c r="N9" i="8"/>
  <c r="Q9" i="8" s="1"/>
  <c r="M11" i="5"/>
  <c r="N45" i="8"/>
  <c r="Q45" i="8" s="1"/>
  <c r="N13" i="5"/>
  <c r="Q13" i="5" s="1"/>
  <c r="M13" i="5"/>
  <c r="E22" i="1"/>
  <c r="G18" i="1"/>
  <c r="L63" i="14"/>
  <c r="K15" i="5"/>
  <c r="L54" i="14"/>
  <c r="K6" i="5"/>
  <c r="N76" i="8"/>
  <c r="Q76" i="8" s="1"/>
  <c r="M76" i="8"/>
  <c r="M12" i="8"/>
  <c r="N12" i="8"/>
  <c r="Q12" i="8" s="1"/>
  <c r="N21" i="8"/>
  <c r="Q21" i="8" s="1"/>
  <c r="N85" i="8"/>
  <c r="Q85" i="8" s="1"/>
  <c r="M85" i="8"/>
  <c r="N49" i="8"/>
  <c r="Q49" i="8" s="1"/>
  <c r="M49" i="8"/>
  <c r="N51" i="8"/>
  <c r="Q51" i="8" s="1"/>
  <c r="M51" i="8"/>
  <c r="N24" i="5"/>
  <c r="Q24" i="5" s="1"/>
  <c r="M24" i="5"/>
  <c r="M42" i="8"/>
  <c r="N42" i="8"/>
  <c r="Q42" i="8" s="1"/>
  <c r="L173" i="14"/>
  <c r="L6" i="5"/>
  <c r="J4" i="14"/>
  <c r="K9" i="2"/>
  <c r="L4" i="14" s="1"/>
  <c r="M30" i="5"/>
  <c r="N30" i="5"/>
  <c r="Q30" i="5" s="1"/>
  <c r="M69" i="8"/>
  <c r="N69" i="8"/>
  <c r="Q69" i="8" s="1"/>
  <c r="N37" i="5"/>
  <c r="Q37" i="5" s="1"/>
  <c r="L55" i="14"/>
  <c r="K7" i="5"/>
  <c r="P6" i="5"/>
  <c r="P15" i="5"/>
  <c r="N9" i="5"/>
  <c r="Q9" i="5" s="1"/>
  <c r="M9" i="5"/>
  <c r="L13" i="7"/>
  <c r="M60" i="14" s="1"/>
  <c r="K13" i="7"/>
  <c r="L60" i="14" s="1"/>
  <c r="J60" i="14"/>
  <c r="N36" i="5"/>
  <c r="Q36" i="5" s="1"/>
  <c r="M36" i="5"/>
  <c r="J7" i="1"/>
  <c r="I7" i="1"/>
  <c r="M72" i="8"/>
  <c r="N72" i="8"/>
  <c r="Q72" i="8" s="1"/>
  <c r="N6" i="8"/>
  <c r="Q6" i="8" s="1"/>
  <c r="M6" i="8"/>
  <c r="N10" i="8"/>
  <c r="Q10" i="8" s="1"/>
  <c r="M10" i="8"/>
  <c r="M39" i="5"/>
  <c r="N39" i="5"/>
  <c r="Q39" i="5" s="1"/>
  <c r="N33" i="5"/>
  <c r="Q33" i="5" s="1"/>
  <c r="M33" i="5"/>
  <c r="N26" i="8"/>
  <c r="Q26" i="8" s="1"/>
  <c r="M26" i="8"/>
  <c r="N8" i="8"/>
  <c r="Q8" i="8" s="1"/>
  <c r="M8" i="8"/>
  <c r="N54" i="8"/>
  <c r="Q54" i="8" s="1"/>
  <c r="M54" i="8"/>
  <c r="N60" i="8"/>
  <c r="Q60" i="8" s="1"/>
  <c r="M60" i="8"/>
  <c r="N80" i="8"/>
  <c r="Q80" i="8" s="1"/>
  <c r="M80" i="8"/>
  <c r="M31" i="8"/>
  <c r="N21" i="5"/>
  <c r="Q21" i="5" s="1"/>
  <c r="M21" i="5"/>
  <c r="M29" i="5"/>
  <c r="N29" i="5"/>
  <c r="Q29" i="5" s="1"/>
  <c r="N20" i="8"/>
  <c r="Q20" i="8" s="1"/>
  <c r="M20" i="8"/>
  <c r="J14" i="1"/>
  <c r="M17" i="8"/>
  <c r="N17" i="8"/>
  <c r="Q17" i="8" s="1"/>
  <c r="G38" i="1"/>
  <c r="E42" i="1"/>
  <c r="N83" i="8"/>
  <c r="Q83" i="8" s="1"/>
  <c r="M83" i="8"/>
  <c r="J30" i="1"/>
  <c r="I30" i="1"/>
  <c r="J53" i="14"/>
  <c r="K64" i="2"/>
  <c r="L53" i="14" s="1"/>
  <c r="I27" i="1"/>
  <c r="J27" i="1"/>
  <c r="N79" i="8"/>
  <c r="Q79" i="8" s="1"/>
  <c r="M79" i="8"/>
  <c r="N10" i="5"/>
  <c r="Q10" i="5" s="1"/>
  <c r="M10" i="5"/>
  <c r="J266" i="14"/>
  <c r="M266" i="14"/>
  <c r="K104" i="3"/>
  <c r="L266" i="14" s="1"/>
  <c r="I9" i="1" l="1"/>
  <c r="M6" i="5"/>
  <c r="G22" i="1"/>
  <c r="J22" i="1" s="1"/>
  <c r="N7" i="5"/>
  <c r="Q7" i="5" s="1"/>
  <c r="M7" i="5"/>
  <c r="M15" i="5"/>
  <c r="N15" i="5"/>
  <c r="Q15" i="5" s="1"/>
  <c r="N6" i="5"/>
  <c r="Q6" i="5" s="1"/>
  <c r="J18" i="1"/>
  <c r="I18" i="1"/>
  <c r="G42" i="1"/>
  <c r="J42" i="1" s="1"/>
  <c r="J38" i="1"/>
  <c r="I38" i="1"/>
  <c r="I22" i="1" l="1"/>
  <c r="I42" i="1"/>
</calcChain>
</file>

<file path=xl/comments1.xml><?xml version="1.0" encoding="utf-8"?>
<comments xmlns="http://schemas.openxmlformats.org/spreadsheetml/2006/main">
  <authors>
    <author>nperez</author>
  </authors>
  <commentList>
    <comment ref="E2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D.ex. 142-22 Modf D.ex. 217-21.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D.ex. 142-22 Modf D.ex. 217-21.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1962-22 Cede -721 hacia Emb VIII.
Res 2191-22 Cede -1312,22 hacia IX Región.
Res 2422-22 Cede -1227,866 ton hacia Org Puerto de San Antonio 2510 V.</t>
        </r>
      </text>
    </comment>
  </commentList>
</comments>
</file>

<file path=xl/comments2.xml><?xml version="1.0" encoding="utf-8"?>
<comments xmlns="http://schemas.openxmlformats.org/spreadsheetml/2006/main">
  <authors>
    <author>nperez</author>
    <author>CARLOS FELIPE VALDIVIA PINO</author>
    <author>SBENALCAZAR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D.ex. 142-22 Modf D.ex. 217-21.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3415-21 LTP B
Res. 3413-21 LTP A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317-22 Cede -840 ton hacia Emb. VIII
Res 474-22 Cede -220 ton hacia Emb. VIII
Res 480-22 Cede -1001 ton hacia Embs. VIII
Res 477-22 Cede -1941,5 ton hacia Embs. VIII
Res 539-22 Cede -835,043 ton hacia Embs. VIII
Res 619-22 Cede -100 ton hacia Embs. VIII
Res 679-22 Cede -235 ton hacia Emb VIII
Res 697-22 Cede -1276,26 ton hacia Emb VIII
Res 816-22 Cede -265 ton hacia Emb VIII
Res 818-22 Cede -200 ton hacia Emb VIII
Res 2183-22 Cede -230 ton hacia Emb VIII
Res 2192-22 Cede -150 ton hacia Emb VIII
Res 2559-22 Cede -65 ton hacia Emb VIII.
Res 2651-22 Cede -143 ton hacia Emb VIII.
Res 2746-22 Cede -1962 ton hacia Emb VIII.
Res 2825-22 Cede -150 ton hacia Emb VIII.</t>
        </r>
      </text>
    </comment>
    <comment ref="H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544-22 Cede -450 ton hacia Emb. VIII
Res 578-22 Cede -368 ton hacia Emb. IX
Res 607-22 Cede -375 ton hacia Emb. VIII
Res 608-22 Cede -273 ton hacia Emb. VIII
Res 614-22 Cede -2 ton hacia Emb. VIII
Res 618-22 Cede -144 ton hacia Emb. VIII
Res 623-22 Cede -105 ton hacia Emb. VIII
Res 773-22 Cede -90 ton hacia Emb VIII.
Res 841-22 Cede -1690 ton hacia Emb XIV.
Res 846-22 Cede -1424 ton hacia Emb VIII.
Res 903-22 Cede -346 ton hacia Emb IX y XIV.
Res 1516-22 Cede -310 ton hacia Emb XIV.
Res 1917-22 Cede -2350 ton hacia Emb XIV.
Res 1919-22 Cede -625 ton hacia Emb XIV.
Res 2006-22 Cede -235 ton hacia Emb XIV.
Res 2431-22 Cede -399 ton hacia Emb IX.
Res 2521-22 Cede -584 ton hacia Emb XIV.
Res 2673-22 Cede -580 ton hacia Emb IX.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632-22 Cede -5495 ton hacia Emb VIII.
Res 726-22 Cede -200 ton hacia Emb VIII y XIV.
Res 845-22 Cede -60 ton hacia Emb VIII.
Res 1047-22 Deja sin efecto Res 845-22.
Res 1936-22 Cede -80 ton hacia Emb XIV.
Res 2557-22 Cede -2147 ton hacia Emb VIII.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791-22 Cede -1287,852 ton hacia Emb XIV.
Res 1512-22 Cede -467,922 ton hacia Emb XIV.
Res 2652-22 Cede -44,850 ton hacia Emb XIV.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932-22 Cede -746,580 ton hacia Emb XIV.
Res 1513-22 Cede -271,260 ton hacia Emb XIV.
Res 2643-22 Cede -26 ton hacia Emb XIV.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823-22 Cede -373,294 ton hacia Emb VIII.
Res 2193-22 Cede -135,628 ton hacia Emb VIII.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844-22 Cede -299,088 ton hacia Emb VIII.
Res 956-22 Cede -94,878 ton hacia Emb VIII.
Res 2285-22 Cede -239,193 ton hacia Emb VIII.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843-22 Cede -242,568 ton hacia Emb VIII.
Res 2251-22 Cede -887,048 ton hacia Emb VIII.</t>
        </r>
      </text>
    </comment>
    <comment ref="H1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469-22 Cede -1011 ton hacia Emb VIII.
Res 1480-22 Cede -69 ton hacia Emb VIII.
Res 1488-22 Cede -301 ton hacia Emb VIII.</t>
        </r>
      </text>
    </comment>
    <comment ref="H1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523-22 Cede -550 ton hacia Emb. VIII
Res 524-22 Cede -692ton hacia Emb. VIII
Res 525-22 Cede -640 ton hacia Emb. VIII
Res 820-22 Cede -100 ton hacia Emb VIII
Certificado N° 30-22 Cede -0,50892 ton hacia Landes S.A.
Res 2824-22 Cede -950 ton hacia Emb VIII.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1177-22 Cede -475 ton hacia Emb VIII.
Res 1798-22 Cede -170 ton hacia Emb VIII.</t>
        </r>
      </text>
    </comment>
    <comment ref="H2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527-22 Cede -1152 ton hacia Emb VIII.
Res 935-22 Cede -182 ton hacia Emb VIII.
Res 992-22 Cede -2165 ton hacia Emb VIII.
Res 2380-22 Cede -960 ton hacia Emb VIII.
Res 2658-22 Cede -2968 ton hacia Emb VIII.
Res 2745-22 Cede -1481 ton hacia Emb VIII.</t>
        </r>
      </text>
    </comment>
    <comment ref="H22" authorId="2" shapeId="0">
      <text>
        <r>
          <rPr>
            <b/>
            <sz val="9"/>
            <color indexed="81"/>
            <rFont val="Tahoma"/>
            <family val="2"/>
          </rPr>
          <t>SBENALCAZAR</t>
        </r>
        <r>
          <rPr>
            <sz val="9"/>
            <color indexed="81"/>
            <rFont val="Tahoma"/>
            <family val="2"/>
          </rPr>
          <t xml:space="preserve">
Res 475-22 Cede -237 ton hacia Emb VIII.
Res 1327-22 Cede -88 ton hacia Emb VIII.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824-22 Cede -149,317 ton hacia Emb VIII.
Res 2452-22 Cede -5,2 ton hacia Emb VIII.
Res 2879-22 Cede -54,251 ton hacia Emb VIII.</t>
        </r>
      </text>
    </comment>
    <comment ref="H2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993-22 Cede -93,323 ton hacia Emb VIII.
Res 1918-22 Cede -33,907 ton hacia Emb VIII.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991-22 Cede -149,317 ton hacia Emb VIII.
Res 1916-22 Cede -54,251 ton hacia Emb VIII.</t>
        </r>
      </text>
    </comment>
    <comment ref="H2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479-22 Cede -186,645 ton hacia Emb. VIII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Certificado N° 30-22 Incremento de 0,50892 ton desde Landes S.A.</t>
        </r>
      </text>
    </comment>
    <comment ref="H28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937-22 Cede -653,258 ton hacia Emb VIII.
Res 2826-22 Cede -260 ton hacia Emb VIII.</t>
        </r>
      </text>
    </comment>
    <comment ref="H2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1219-22 Cede -690,587 ton hacia Emb VIII.
Res 2286-22 Cede -250,915 ton hacia Emb VIII.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790-22 Cede -522,608 ton hacia Emb VIII.
Res 2827-22 Cede -208,080 ton hacia Emb VIII.</t>
        </r>
      </text>
    </comment>
    <comment ref="H3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2421-22 Cede -40 ton hacia Emb VIII.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3415-21 LTP B
Res. 3413-21 LTP A</t>
        </r>
      </text>
    </comment>
    <comment ref="H40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317-22 Cede -910 ton hacia Emb. VIII
Res 474-22 Cede -200 ton hacia Emb. VIII
Res 480-22 Cede -749 ton hacia Embs. VIII
Res 477-22 Cede -1676,812 ton hacia Embs. VIII
Res 539-22 Cede -835,043 ton hacia Embs. VIII
Res 619-22 Cede -100 ton hacia Embs. VIII
Res 679-22 Cede -129 ton hacia Emb VIII
Res 697-22 Cede -1113,74 ton hacia Emb VIII
Res 816-22 Cede -370 ton hacia Emb VIII
Res 818-22 Cede -135,750 ton hacia Emb VIII
Res 45-22 Incremento de 2 ton desde Org 71 VIII
Res 2183-22 Cede -50 ton hacia Emb VIII
Res 2192-22 Cede -50 ton hacia Emb VIII
Res 2559-22 Cede -7 ton hacia Emb VIII.
Res 2651-22 Cede -57 ton hacia Emb VIII.
Res 2746-22 Cede -550,290 ton hacia Emb VIII.</t>
        </r>
      </text>
    </comment>
    <comment ref="H4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544-22 Cede -1050 ton hacia Emb. VIII
Res 578-22 Cede -732 ton hacia Emb. IX
Res 607-22 Cede -770 ton hacia Emb. VIII
Res 608-22 Cede -542 ton hacia Emb. VIII
Res 614-22 Cede -320 ton hacia Emb. VIII
Res 618-22 Cede -287 ton hacia Emb. VIII
Res 623-22 Cede -240 ton hacia Emb. VIII
Res 773-22 Cede -200 ton hacia Emb VIII.
Res 841-22 Cede -3380 ton hacia Emb XIV.
Res 846-22 Cede -2664 ton hacia Emb VIII.
Res 903-22 Cede -694 ton hacia Emb IX y XIV.
Res 1516-22 Cede -670 ton hacia Emb XIV.
Res 1917-22 Cede -2050 ton hacia Emb XIV.
Res 1919-22 Cede -625 ton hacia Emb XIV.
Res 2006-22 Cede -205 ton hacia Emb XIV.
Res 2431-22 Cede -1101 ton hacia Emb IX.
Res 2521-22 Cede -314 ton hacia Emb XIV.
Res 2673-22 Cede -600 ton hacia Emb IX.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632-22 Cede -10202 ton hacia Emb VIII.
Res 726-22 Cede -3300 ton hacia Emb VIII y XIV.
Res 934-22 Modf Res 726-22 Cede -3330 ton.
Res 845-22 Cede -946 ton hacia Emb VIII.
Res 1047-22 Deja sin efecto Res 845-22.
Res 1936-22 Cede -920 ton hacia Emb XIV.
Res 2557-22 Cede -753 ton hacia Emb VIII.</t>
        </r>
      </text>
    </comment>
    <comment ref="H4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730-22 Cede -429,731 ton hacia Emb VIII.
Res 844-22 Cede -3340,207 ton hacia Emb VIII.
Res 956-22 Cede -716,560 ton hacia Emb VIII.</t>
        </r>
      </text>
    </comment>
    <comment ref="H4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843-22 Cede -626,140 ton hacia Emb VIII.
Res 2251-22 Cede -619,887 ton hacia Emb VIII.</t>
        </r>
      </text>
    </comment>
    <comment ref="H4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469-22 Cede -1406 ton hacia Emb VIII.
Res 1480-22 Cede -31 ton hacia Emb VIII.
Res 1488-22 Cede -134 ton hacia Emb VIII.</t>
        </r>
      </text>
    </comment>
    <comment ref="H4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523-22 Cede -1520 ton hacia Emb. VIII
Res 524-22 Cede -1819 ton hacia Emb. VIII
Res 525-22 Cede -1940 ton hacia Emb. VIII
Res 820-22 Cede -150 ton hacia Emb VIII
Certificado N° 32-22 Cede -0,7768 ton hacia Thor Fisheries Chile.
Res 113-22 Incremento de 2000 ton desde Org 75 VIII.
Res 120-22 Modf Res 113-22 Incremento de 325 ton.
Res 2824-22 Cede -2 ton hacia Emb VIII.</t>
        </r>
      </text>
    </comment>
    <comment ref="H48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1177-2 Cede -2385 ton hacia Emb VIII.
Res 1798-22 Cede -275 ton hacia Emb VIII.</t>
        </r>
      </text>
    </comment>
    <comment ref="H4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527-22 Cede -2046 ton hacia Emb VIII.
Res 935-22 Cede -318 ton hacia Emb VIII.
Res 992-22 Cede -3765 ton hacia Emb VIII.
Res 2380-22 Cede -740 ton hacia Emb VIII.
Res 2658-22 Cede -2332 ton hacia Emb VIII.
Res 2745-22 Cede -1119 ton hacia Emb VIII.</t>
        </r>
      </text>
    </comment>
    <comment ref="H5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2657-22 Cede -640,860 ton hacia Emb VIII.</t>
        </r>
      </text>
    </comment>
    <comment ref="H5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698-22 Cede -939,6 ton hacia Emb XIV.</t>
        </r>
      </text>
    </comment>
    <comment ref="H5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791-22 Cede -939,6 ton hacia Emb XIV.
Res 1512-22 Cede -109,080 ton hacia Emb XIV.</t>
        </r>
      </text>
    </comment>
    <comment ref="H5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815-22 Cede -312,2 ton hacia Emb XIV.
Res 1797-22 Cede -36,360 ton hacia Emb XIV.</t>
        </r>
      </text>
    </comment>
    <comment ref="H5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821-22 Cede -156,6 ton hacia Emb XIV.
Res 1817-22 Cede -18,180 ton hacia Emb XIV.</t>
        </r>
      </text>
    </comment>
    <comment ref="H5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542-22 Cede -626,4 ton hacia Emb XIV.
Res 2334-22 Cede -72,72 ton hacia Emb XIV.</t>
        </r>
      </text>
    </comment>
    <comment ref="H56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822-22 Cede -156,6 ton hacia Emb XIV.
Res 1794-22 Cede -18,180 ton hacia Emb XIV.</t>
        </r>
      </text>
    </comment>
    <comment ref="H57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727-22 Cede -469,8 ton hacia Emb VIII.
Res 2253-22 Cede -54,54 ton hacia Emb VIII.</t>
        </r>
      </text>
    </comment>
    <comment ref="H5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478-22 Cede -1924,44 ton hacia Emb. VIII
Res 524-22 Cede -1819 ton hacia Emb. VIII</t>
        </r>
      </text>
    </comment>
    <comment ref="H6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475-22 Cede -298 ton hacia Emb VIII.
Res 1327-22 Cede -36 ton hacia Emb VIII.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Certificado N° 32-22 Incremento de 0,7768 ton desde Landes S.A.</t>
        </r>
      </text>
    </comment>
    <comment ref="H6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2421-22 Cede -119 ton hacia Emb VIII.</t>
        </r>
      </text>
    </comment>
  </commentList>
</comments>
</file>

<file path=xl/comments3.xml><?xml version="1.0" encoding="utf-8"?>
<comments xmlns="http://schemas.openxmlformats.org/spreadsheetml/2006/main">
  <authors>
    <author>CARLOS FELIPE VALDIVIA PINO</author>
    <author>SBENALCAZAR</author>
    <author>nperez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3446-21.
Res 1072-22 Modf Res 3446-21.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613-22 Cede -2100 ton hacia Emb VIII, org 19 y 26 VIII.
Res 626-22 Cede -700 ton hacia Emb VIII.
Res 627-22 Cede -3786,25 ton hacia: 2448,75 ton a Org 12 VIII ; 750 ton a Org 15 VIII ; 587,5 ton a Emb VIII.
Res 785-22 Cede -1400 ton hacia: 50 ton a Org 71 VIII; 600 ton a Org 25 VIII; 750 ton a Emb VIII.
Res 1404-22 Cede -2943 ton hacia: 1909 ton a Org 55 VIII; 1034 ton a Org 15 VIII. 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258-22 Cede -140,478 ton hacia Emb VIII.
Res 1291-22 Cede -51,095 ton hacia Org 14 VIII.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3359-21
Res. 1057-22 Modf Res 3359-21
Res. 2198-22 Modf Res 3359-21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3418-21.
Res 1074-22 Modf Res 3418-21.
Res 2260-22 Modf Res 3418-21.</t>
        </r>
      </text>
    </comment>
    <comment ref="G1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678-22 Cede -514,097 ton hacia Org 69 VIII.</t>
        </r>
      </text>
    </comment>
    <comment ref="G1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624-22 Cede -278,742 ton hacia Org 34 VIII.
Res 1439-22 Cede -101,4 ton hacia Emb VIII.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148-22
Res. 1071-22 Modf Res 148-22.
Res 2298-22 Modf Res 148-22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20-22 Cede -84  ton hacia Org 15 VIII.
Res 86-22 Cede -41,9 ton hacia Org 15 VIII.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44-22 Cierre Cuota.
Res 109-22 Apertura Cuota.</t>
        </r>
      </text>
    </comment>
    <comment ref="G24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34-22 Cede -99 ton hacia Org 69 VIII.</t>
        </r>
      </text>
    </comment>
    <comment ref="G2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41-22 Cede -164 ton hacia Emb VIII.
Res 42-22 Cede -246 ton hacia Org 44 VIII.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12-22 Cede -35  ton hacia emb. VIII.
Res 1223-22 Cede -1 ton hacia Emb XIV.
Res 1486-22 Cede -1 ton hacia Emb XIV.
Res 128-22 Cede -1 ton hacia Org 59 VIII.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06-22 Cede -100 ton hacia org. 19 VIII
Res 09-22 Cede -391  ton hacia org. 13 VIII
Res 26-22 Cede -200 ton hacia Org 75 VIII.
Res 80-22 Modf Res 26-22 Cede -100 ton.
Res 46-22 Cede -412,9 ton hacia Org 70 VIII.
Res 47-22 Cede -412,9 ton hacia Org 74 VIII.
Res 53-22 Cede -50 ton hacia Emb VIII.
Res 55-22 Cede -142 ton hacia Org 13 VIII.
Res 88-22 Cede -80 ton hacia Org 13 VIII.
Res 89-22 Cede -20 ton hacia Org 19 VIII.
Res 119-22 Cede -27 ton hacia Org 13 VIII.
Res 125-22 Incremento de 50 ton desde Org 75 VIII.</t>
        </r>
      </text>
    </comment>
    <comment ref="G2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93-22 Cede -500 ton hacia Org 13 VIII.
Res 94-22 Cede -100 ton hacia Org 24 VIII.</t>
        </r>
      </text>
    </comment>
    <comment ref="G2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27-22 Incremento de 30 ton desde Org 70 VIII.</t>
        </r>
      </text>
    </comment>
    <comment ref="G31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85-22 Cede -5 ton hacia Org 14 VIII.
Res 87-22 Cede -440 ton hacia Org 14 VIII.</t>
        </r>
      </text>
    </comment>
    <comment ref="G32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79-22 Cede -20 ton hacia Org 15 VIII.
Res 102-22 Deja sin efecto Res 79-22.
Res 103-22 Cede -20 ton hacia Org 26 VIII.</t>
        </r>
      </text>
    </comment>
    <comment ref="G3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108-22 Cede -100 ton hacia Org 12 VIII.</t>
        </r>
      </text>
    </comment>
    <comment ref="G34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04-22 Incremento de 20 ton desde org 34 VIII.
Res 08-22 Incremento de 20 Ton a Org 12 VIII desde Org 70 VIII.
Res 14-22 Incremento de 8 Ton a Org 12 VIII desde Org 78 VIII.
Res 627-22 Incremento de 2448,75 ton desde Org 1 V.
Res 32-22 Incremento de 40 ton desde Org 70 VIII.
Res 75-22 Incremento de 89 ton desde Org 32 VIII.
Res 90-22 Incremento de 800 ton desde Org 19 VIII.
Res 106-22 Incremento de 36 ton desde Org 65 VIII.
Res 107-22 Incremento de 223 ton desde Org 38 VIII.
Res 108-22 Incremento de 100 ton desde Org 11 VIII.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9-22 Incremento de 391  ton desde Org 5 VIII.
Res 55-22 Incremento de 142 ton desde Org 5 VIII.
Res 56-22 Incremento de 50 ton desde Org 71 VIII.
Res 1332-22 Incremento de 203 ton desde Org 4 X.
Res 81-22 Incremento de 150 ton desde Org 19 VIII.
Res 88-22 Incremento de 80 ton desde Org 5 VIII.
Res 93-22 Incremento de 500 ton desde Org 6 VIII.
Res 119-22 Incremento de 27 ton desde Org 5 VIII.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03-22 Incremento de 13 ton desde Org 56 VIII.
Res 713-22 Incremento de 4 ton desde Org 56 VIII.
Res 71-22 Incremento de 40 ton desde Org 50 VIII.
Res 1291-22 Incremento de 51,095 ton desde Org 2 V.
Res 84-22 Incremento de 20 ton desde Org 62 VIII.
Res 85-22 Incremento de 5 ton desde Org 9 VIII.
Res 87-22 Incremento de 440 ton desde Org 9 VIII.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01-22 Incremento de 1600 ton desde Org 45 VIII.
Res 261-22 Incremento de 100 ton desde Org 5 X.
Res 20-22 Incremento de 84 ton desde Org 1 VIII.
Res 627-22 Incremento de 750 ton desde Org 1 V.
Res 22-22 Incremento de 11,8 ton desde Org 46 VIII.
Res 711-22 Incremento de 106 ton desde Org 45 VIII.
Res 68-22 Incremento de 30 ton desde Org 63 VIII.
Res 69-22 Incremento de 20 ton desde Org 63 VIII.
Res 76-22 Incremento de 200 ton desde Org 19 VIII.
Res 79-22 Incremento de 20 ton desde Org 10 VIII.
Res 102-22 Deja sin efecto Res 79-22.
Res 86-22 Incremento de 41,9 ton desde Org 1 VIII.
Res 1404-22 Incremento de 1034 ton desde Org 1 V.
Res 1456-22 Incremento de 200 ton desde Org 5 X.
Res 124-22 Incremento de 54 ton desde Org 45 VIII.</t>
        </r>
      </text>
    </comment>
    <comment ref="G3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931-22 Cede -875 ton hacia Emb XIV.
Res 1220-22 Cede -525 ton hacia Emb XIV.
Res 1741-22 Cede -550 ton hacia Emb XIV.
Res 1796-22 Cede -400 ton hacia Emb XIV.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262-22 Incremento de 100 ton desde Org 5 X.
Res 006-22 Incremento de 100 ton desde Org 5 VIII.
Res 473-22 Incremento de 75 ton desde Org 1 X.
Res 451-22 Incremento de 400 ton desde Org 4 X.
Res 514-22 Incremento de 12 ton desde Org  9 X.
Res 16-22 Incremento de 150 ton desde Org  54 VIII.
Res 613-22 Incremento de 1650 ton desde Org  1  V.
Res 35-22 Incremento de 1 ton desde Org 71 VIII.
Res 49-22 Cede -10 ton hacia Emb VIII.
Res 70-22 Incremento de 54,5 ton desde Org 54 VIII.
Res 74-22 Cede -30 ton hacia Emb VIII.
Res 76-22 Cede -200 ton hacia Org 15 VIII.
Res 77-22 Cede -40 ton hacia Org 26 VIII.
Res 81-22 Cede -150 ton hacia Org 13 VIII.
Res 82-22 Cede -50 ton hacia Org 55 VIII.
Res 89-22 Incremento de 20 ton desde Org 5 VIII.
Res 90-22 Cede -800 ton hacia Org 12 VIII.
Res 91-22 Cede -113 ton hacia Emb VIII.
Res 95-22 Cede -60 ton hacia Org 55 VIII.
Res 1697-22 Cede -150 ton hacia Emb XIV.
Res 1833-22 Deja sin efecto Res 1697-22.
Res 1698-22 Cede -120 ton hacia Emb XIV.
Res 1816-22 Incremento de 15 ton desde Org 9 X.</t>
        </r>
      </text>
    </comment>
    <comment ref="M42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73-22 Cierre de cuota
Res 109-22 Apertura Cuota</t>
        </r>
      </text>
    </comment>
    <comment ref="G4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83-22 Cede -20 ton hacia Emb VIII.</t>
        </r>
      </text>
    </comment>
    <comment ref="G4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23-22 Incremento de 50 ton desde Org 51 VIII.</t>
        </r>
      </text>
    </comment>
    <comment ref="G4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94-22 Incremento de 100 ton desde Org 6 VIII.</t>
        </r>
      </text>
    </comment>
    <comment ref="G4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785-22 Incremento de 600 ton desde Org 1 V. </t>
        </r>
      </text>
    </comment>
    <comment ref="G48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613-22 Incremento de 150 ton desde Org  1  V.
Res 77-22 Incremento de 40 ton desde Org 19 VIII.
Res 99-22 Incremento de 50 ton desde Org 68 VIII.
Res 103-22 Incremento de 20 ton desde Org 10 VIII.
Res 104-22 Incremento de 30 ton desde Org 55 VIII.</t>
        </r>
      </text>
    </comment>
    <comment ref="G5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Cede -48,7 ton hacia Emb. VIII</t>
        </r>
      </text>
    </comment>
    <comment ref="G52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57-22 Cede -20 ton hacia Org 55 VIII.
Res 78-22 Cede -5 ton hacia Emb VIII.
Res 1515-22 Cede -20 ton hacia Emb XIV.
Res 1984-22 Cede -40 ton hacia Emb XIV.
Res 2167-22 Cede -5 ton hacia Emb IX.</t>
        </r>
      </text>
    </comment>
    <comment ref="G5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51-22 Incremento de 10 ton desde Org 37 VIII.</t>
        </r>
      </text>
    </comment>
    <comment ref="G5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75-22 Cede -89 ton hacia Org 12 VIII.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04-22 Cede -20 ton hacia org. 12 VIII.
Res 450-22 Incremento de 37,86 ton desde org 8 X.
Res 624-22 Incremento de 278,742 ton desde Org Siparcon 07.05.0193 VII.
Res 28-22 Cede -273 ton hacia Org 36 VIII. 
Res 59-22 Cede -107,6 ton hacia Emb VIII.</t>
        </r>
      </text>
    </comment>
    <comment ref="G58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15-22 Cede -100 ton hacia Emb. VIII
Res 28-22 Incremento de 273 ton desde Org 34 VIII.
Res 30-22 Cede -70 ton hacia Org 51 VIII.
Res 62-22 Cede -258,9 ton hacia Emb VIII.</t>
        </r>
      </text>
    </comment>
    <comment ref="G5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659-22 Incremento de 400 ton desde Org 3 X.
Res 50-22 Cede -10 ton hacia Org 52 VIII.
Res 51-22 Cede -10 ton hacia Org 31 VIII.
Res 72-22 Cede -10 ton hacia Org 59 VIII.</t>
        </r>
      </text>
    </comment>
    <comment ref="G60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107-22 Cede -223 ton hacia Org 12 VIII.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07-22 Cede -520 ton hacia Emb VIII.
Res 635-22 Cede -200 ton hacia Emb XIV.
Res 1224-22 Cede -50 ton hacia Emb XIV.</t>
        </r>
      </text>
    </comment>
    <comment ref="G6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1483-22 Cede -78 ton hacia Emb XIV.
Res 112-22 Cede -48,5 ton hacia Emb VIII.</t>
        </r>
      </text>
    </comment>
    <comment ref="G6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42-22 Incremento de 246 ton desde Org 3 VIII.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01-22 Cede -1600 ton hacia Org 15 VIII.
Res 02-22 Cede -200 ton hacia Emb VIII.
Res 711-22 Cede -106 ton hacia Org 15 VIII.
Res 124-22 Cede -54 ton hacia Org 15 VIII.</t>
        </r>
      </text>
    </comment>
    <comment ref="M6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202-22 Cierre cuota.</t>
        </r>
      </text>
    </comment>
    <comment ref="G6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22-22 Cede -11,8 ton hacia Org 15 VIII.</t>
        </r>
      </text>
    </comment>
    <comment ref="G6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633-22 Cede -194,41 ton hacia Emb XIV.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21-22 Cede -21 ton hacia Emb VIII.
Res 25-22 Cede -183 ton hacia Emb VIII.</t>
        </r>
      </text>
    </comment>
    <comment ref="G71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11-22 Cede -50 ton hacia Emb VIII.
Res 29-22 Cede -150 ton hacia Emb VIII.
Res 54-22 Cede -50 ton hacia Org 55 VIII.</t>
        </r>
      </text>
    </comment>
    <comment ref="G72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712-22 Cede -194 ton hacia Emb VIII.
Res 1828-22 Modf Res 712-22.
Res 71-22 Cede -40 ton hacia Org 14 VIII.</t>
        </r>
      </text>
    </comment>
    <comment ref="G7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700-22 Cede -145 ton hacia Emb VIII.
Res 23-22 Cede -50 ton hacia Org 22 VIII.
Res 30-22 Incremento de 70 ton desde Org 36 VIII.
Res 1042-22 Cede -284 ton hacia Emb IX.
Res 1222-22 Cede -300 ton hacia Emb XIV.
Res 1518-22 Cede -220 ton hacia Emb XIV.</t>
        </r>
      </text>
    </comment>
    <comment ref="G7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50-22 Incremento de 10 ton desde Org 37 VIII.</t>
        </r>
      </text>
    </comment>
    <comment ref="G75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559-22 Incremento de 228 ton desde Org 3 X.
Res 625-22 Incremento de 286 ton desde Org 9 XIV.</t>
        </r>
      </text>
    </comment>
    <comment ref="G7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16-22 Cede -150 ton hacia Org 19 VIII.
Res 70-22 Cede -54,5 ton hacia Org 19 VIII.</t>
        </r>
      </text>
    </comment>
    <comment ref="G7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450-22 Incremento de 37,86 ton desde org 8 X.
Res 526-22 Incremento de 262,177 ton desde org 8 X.
Res 18-22 Cede -10 ton hacia Emb VIII.
Res 100-22 Modf Res 18-22 Cede -20 ton.
Res 24-22 Incremento de 27 ton desde Org 76 VIII.
Res 40-22 Cede -20 ton hacia Emb VIII.
Res 101-22 Deja sin efecto Res 40-22.
Res 52-22 Cede -20 ton hacia Emb VIII.
Res 54-22 Incremento de 50 ton desde Org 49 VIII.
Res 57-22 Incremento de 20 ton desde Org 30 VIII.
Res 58-22 Incremento de 60 ton desde Org 73 VIII.
Res 82-22 Incremento de 50 ton desde Org 19 VIII.
Res 1404-22 Incremento de 1909 ton desde Org 1 V.
Res 95-22 Incremento de 60 ton desde Org 19 VIII.
Res 97-22 Incremento de 70 ton desde Org 63 VIII.
Res 1815-22 Incremento de 790,333 ton desde Org 8 X.
Res 104-22 Cede -30 ton hacia Org 26 VIII.
Res 126-22 Incremento de 100 ton desde Org 75 VIII.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03-22 Cede -13 ton hacia Org 14 VIII.
Res 713-22 Cede -4 ton hacia Org 14 VIII.</t>
        </r>
      </text>
    </comment>
    <comment ref="G79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33-22 Cede -1,4 ton hacia Emb VIII.</t>
        </r>
      </text>
    </comment>
    <comment ref="G81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828-22 Cede -148,408 ton hacia Emb XIV.
Res 72-22 Incremento de 10 ton desde Org 37 VIII.
Res 128-22 Incremento de 1 ton desde Org 4 VIII.</t>
        </r>
      </text>
    </comment>
    <comment ref="G82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127-22 Cede -150 ton hacia Emb VIII.</t>
        </r>
      </text>
    </comment>
    <comment ref="G8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67-22 Cede -100 ton hacia Emb VIII.</t>
        </r>
      </text>
    </comment>
    <comment ref="G84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17-22 Cede -26,8 ton hacia Emb VIII.
Res 84-22 Cede -20 ton hacia Org 14 VIII.
Res 1487-22 Cede -60 ton hacia Emb XIV.
Res 2092-22 Cede -50 ton hacia Emb XIV.</t>
        </r>
      </text>
    </comment>
    <comment ref="G8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68-22 Cede -30 ton hacia Org 15 VIII.
Res 69-22 Cede -20 ton hacia Org 15 VIII.
Res 97-22 Cede -70 ton hacia Org 55 VIII.</t>
        </r>
      </text>
    </comment>
    <comment ref="G8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106-22 Cede -36 ton hacia Org 12 VIII.</t>
        </r>
      </text>
    </comment>
    <comment ref="G8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2432-22 Cede -750 ton hacia Emb IX.</t>
        </r>
      </text>
    </comment>
    <comment ref="G90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1628-22 Cede -50 ton hacia Emb XIV.
Res 1629-22 Cede -50 ton hacia Emb XIV.
Res 99-22 Cede -50 ton hacia Org 26 VIII.</t>
        </r>
      </text>
    </comment>
    <comment ref="G9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452-22 Incremento de 240 ton desde org 6 X.
Res 678-22 Incremento de 514,097 ton desde Pelágicos del Maule 07.05.0150 VII.
Res 34-22 Incremento de 99 ton desde Org 2 VIII.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08-22 Cede -20 ton hacia Org 12 VIII.
Res 27-22 Cede -30 ton hacia Org 7 VIII.
Res 32-22 Cede -40 ton hacia Org 12 VIII.
Res 46-22 Aumento de 412,9 ton desde Org 5 VIII.</t>
        </r>
      </text>
    </comment>
    <comment ref="G9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785-22 Incremento de 50 ton desde Org 1 V.
Res 35-22 Cede -1 ton hacia Org 19 VIII.
Res 56-22 Cede -50 ton hacia Org 13 VIII.</t>
        </r>
      </text>
    </comment>
    <comment ref="G9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31-22 Cede -40 ton hacia Emb VIII.
Res 58-22 Cede -60 ton hacia Org 55 VIII.</t>
        </r>
      </text>
    </comment>
    <comment ref="G9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47-22 Incremento de 412,9 ton desde Org 5 VIII.
Res 1485-22 Incremento de 63 ton desde Org 7 X.</t>
        </r>
      </text>
    </comment>
    <comment ref="G9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26-22 Incremento de 200 ton desde Org 5 VIII.
Res 80-22 Modf Res 26-22 Incremento de 100 ton.
Res 125-22 Cede -50 ton hacia Org 5 VIII.
Res 126-22 Cede -100 ton hacia Org 55 VIII.</t>
        </r>
      </text>
    </comment>
    <comment ref="G9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24-22 Cede -27 ton hacia Org 55 VIII.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14-22 Cede -8 ton hacia Org 12 VIII.</t>
        </r>
      </text>
    </comment>
    <comment ref="G10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19-22 Cede -100 ton hacia Emb VIII.
Res 745-22 Cede -200 ton hacia Emb VIII.</t>
        </r>
      </text>
    </comment>
    <comment ref="M102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de cuota Res 36-22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02-22 Incremento de 200 ton desde Org 45 VIII.
Res 258-22 Incremento de 140,478 ton desde Org 2 V.
Res 260-22 Incremento de 74 ton desde Org 7 X.
Res 317-22 Incremento de 840 ton desde Org 1 V-X LTP.
Res 7-22 Incremento de 520 Ton desde Org  40 VIII
Res 11-22 Incremento de 50 ton desde Org 49 VIII.
RES 450-2022 Incremento de 37,87 ton desde org 8 X.
Res 475-22 Incremento de 237 ton desde LTP Pedro Irigoyen Limitada.
Res 474-22 Incremento de 220 ton desde Org 1 V-X LTP.
Res 480-22 Incremento de 1001 ton desde Org 1 V-X LTP.
Res 479-22 Incremento de 186,645 ton desde LTP Alfonso Lepe Robles.
Res 477-22 Incremento de 1941,5  ton desde Org 1 V-X LTP.
Res 469-22 Incremento de 1011  ton desde LTP Foodcorp S.A.
Res 523-22 Incremento de 550 ton desde Org  12 V-X LTP.
Res 524-22 Incremento de 692 ton desde Org  12 V-X LTP.
Res 525-22 Incremento de 640 ton desde Org  12 V-X LTP.
Res 527-22 Incremento de 1152 ton desde Org  14 V-X LTP.
Res 12-22 Incremento de 35 ton desde Org  4. VIII.
Res 539-22 Incremento de 835,043 ton desde Org 1  V-X LTP.
Res 544-22 Incremento de 450  ton desde LTP Blumar S.A.
Res 545-22 Incremento de 50 ton desde Org 5 X.
Res 1302-22 Modf Res 545-22 Incremento de 23,89 ton.
Res 15-22 Incremento de 100 ton desde Org  36. VIII.
Res 17-22 Incremento de 26,8  ton desde Org  62. VIII.
Res 18-22 Incremento de 10  ton desde Org  55. VIII.
Res 100-22 Modf Res 18-22 Incremento de 20 ton.
Res 19-22 Incremento de 100  ton desde Org  79 VIII.
Res 607-22 Incremento de 375 ton desde Org 2  V-X LTP.
Res 608-22 Incremento de 273 ton desde Org 2  V-X LTP.
Res 614-22 Incremento de 2 ton desde Org 2  V-X LTP.
Res 613-22 Incremento de 300  ton desde Org  1 V.
Res 21-22 Incremento de 21  ton desde Org  48. VIII.
Res 618-22 Incremento de 144  ton desde Org 2  V-X LTP.
Res 619-22 Incremento de 100  ton desde Org 1  V-X LTP.
Res 623-22 Incremento de 105  ton desde Org 2  V-X LTP.
Res 626-22 Incremento de 700 ton desde Org 1 V.
Res 627-22 Incremento de 587,5 ton desde Org 1 V.
Res 632-22 Incremento de 5495 ton desde LTP Camanchaca Pesca Sur.
Res 679-22 Incremento de 235 ton desde LTP Alimentos Marinos S.A.
Res 697-22 Incremento de 1276,26 ton desde LTP Alimentos Marinos S.A.
Res 700-22 Incremento de 145 ton desde Org 51 VIII.
Res 712-22 Incremento de 194 ton desde Org 50 VIII.
Res 1828-22 Modf Res 712-22.
Res 25-22 Incremento de 183 ton desde Org 48 VIII.
Res 726-22 Incremento de 190 ton desde LTP Camanchaca Pesca Sur.
Res 29-22 Incremento de 150 ton desde Org 49 VIII.
Res 31-22 Incremento de 40 ton desde Org 73 VIII.
Res 773-22 Incremento de 90 ton desde LTP Blumar S.A.
Res 785-22 Incremento de 750 ton desde Org 1 V.
Res 790-22 Incremento de 522,608 ton desde LTP Jose Beltran Aquevedo. 
Res 816-22 Incremento de 265 ton desde LTP Alimentos Marinos S.A.
Res 818-22 Incremento de 200 ton desde LTP Alimentos Marinos S.A.
Res 820-22 Incremento de 100 ton desde LTP Landes S.A.
Res 823-22 Incremento de 373,294 ton desde LTP Gabriela Monsalve Cisternas.
Res 824-22 Incremento de 149,317 ton desde LTP Sandra Gajardo Palma.
Res 33-22 Incremento de 1,4 ton desde Org 57 VIII.
Res 843-22 Incremento de 242,568 ton desde LTP Pesquera Litoral SpA.
Res 844-22 Incremento de 299,088 ton desde LTP¨Novamar SpA.
Res 845-22 Incremento de 60 ton desde LTP Camanchaca Pesca Sur.
Res 1047-22 Deja sin efecto Res 845-22.
Res 846-22 Incremento de 1424 ton desde LTP Blumar S.A.
Res 40-22 Incremento de 20 ton desde Org 55 VIII.
Res 101-22 Deja sin efecto Res 40-22.
Res 41-22 Incremento de 164 ton desde Org 3 VIII.
Res 935-22 Incremento de 182 ton desde LTP Orizon S.A.
Res 937-22 Incremento de 653,258 ton desde LTP Pesquera Orion.
Res 956-22 Incremento de 94,878 ton desde LTP Novamar SpA.
Res 991-22 Incremento de 149,317 ton desde LTP Raul Monsalve Cisternas.
Res 992-22 Incremento de 2165 ton desde LTP Orizon S.A.
Res 993-22 Incremento de 93,323 ton desde LTP Sociedad Pesquera Al Sur De La Isla.
Res 49-22 Incremento de 10 ton desde Org 19 VIII.
Res 52-22 Incremento de 20 ton desde Org 55 VIII.
Res 745-22 Incremento de 200 ton desde Org 79 VIII.
Res 53-22 Incremento de 50 ton desde Org 5 VIII.
Res 1177-22 Incremento de 475 ton desde LTP Lota Protein S.A.
Res 59-22 Incremento de 107,6 ton desde Org 34 VIII.
Res 62-22 Incremento de 258,9 ton desde Org 36 VIII.
Res 1217-22 Incremento de 74,5 ton desde Org 10 XIV.
Res 1219-22 Incremento de 690,587 ton desde LTP San Pedro Limitada.
Res 67-22 Incremento de 100 ton desde Org 61 VIII.
Res 74-22 Incremento de 30 ton desde Org 19 VIII.
Res 78-22 Incremento de 5 ton desde Org 30 VIII.
Res 1327-22 Incremento de 88 ton desde LTP Pedro Irigoyen Limitada.
Res 83-22 Incremento de 20 ton desde Org 21 VIII.
Res 91-22 Incremento de 113 ton desde Org 19 VIII.
Res 1439-22 Incremento de 101,4 ton desde Org SIPARCON R.S.U 07.05.0193 VII.
Res 1480-22 Incremento de 69 ton desde LTP Foodcorp S.A.
Res 1488-22 Incremento de 301 ton desde LTP Foodcorp S.A.
Res 1798-22 Incremento de 170 ton desde LTP Lota Protein S.A.
Res 1916-22 Incremento de 54,251 ton desde LTP Raul Monsalve Cisternas.
Res 1918-22 Incremento de 33,907 ton desde LTP Sociedad Pesquera al Sur de la Isla.
Res 112-22 Incremento de 48,5 ton desde Org 41 VIII.
Res 2183-22 Incremento de 230 ton desde LTP Alimentos Marinos S.A.
Res 2192-22 Incremento de 150 ton desde LTP Alimentos Marinos S.A.
Res 2193-22 Incremento de 135,628 ton desde LTP Gabriela Monsalve Cisternas.
Res 2251-22 Incremento de 887,048 ton desde LTP Pesquera Litoral SpA.
Res 2285-22 Incremento de 239,193 ton desde LTP Novamar SpA.
Res 2286-22 Incremento de 250,915 ton desde LTP Pesquera San Pedro.
Res 2380-22 Incremento de 960 ton desde LTP Orizon S.A.
Res 2421-22 Incremento de 40 ton desde LTP Pelantaro Inostroza Concha.
Res 2452-22 Incremento de 5,2 ton desde LTP Sandra Gajardo Palma.
Res 2557-22 Incremento de 2147 ton desde LTP Camanchaca Pesca Sur S.A.
Res 2559-22 Incremento de 65 ton desde LTP Alimentos Marinos S.A.
Res 2698-22 Incremento de 45 ton desde Org 1 X.
Res 2699-22 Incremento de 77,782 ton desde Org 1 X.
Res 2651-22 Incremento de 143 ton desde LTP Alimentos Marinos S.A.
Res 2658-22 Incremento de 2968 ton desde LTP Orizon S.A.
Res 2745-22 Incremento de 1481 ton desde LTP Orizon S.A.
Res 2746-22 Incremento de 1962 ton desde LTP Alimentos Marinos S.A.
Res 127-22 Incremento de 150 ton desde Org 60 VIII.
Res 2824-22 Incremento de 950 ton desde LTP Landes S.A.
Res 2825-22 Incremento de 150 ton desde LTP Alimentos Marinos S.A.
Res 2826-22 Incremento de 260 ton desde LTP Pesquera Orion.
Res 2827-22 Incremento de 208,080 ton desde LTP Jose Beltran Aquevedo.
Res 2879-22 Incremento de 54,251 ton desde LTP Sandra Gajardo Palma.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3359-21
Res. 1057-22 Modf Res 3359-21
Res. 2198-22 Modf Res 3359-21</t>
        </r>
      </text>
    </comment>
    <comment ref="M10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46-22 Cierre Cuota. 
Res 71-22 Apertura Cuota.
Res 156-22 Cierre Cuota.
Res 168-22 Apertura Cuota.
Res 162-22 Cierre Cuota.</t>
        </r>
      </text>
    </comment>
    <comment ref="G10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450-2022 Incremento de 37,86 ton desde org 8 X.
Res 578-2022 Incremento de 368 ton desde LTP Blumar S.A.
Res 575-2022 Incremento de 136 ton desde org 7 X.
Res 615-22 Rectificada or Res 661-22 Incremento de 75 ton desde Org 1 X.
Res 903-22 Incremento de 266 ton desde LTP Blumar S.A.
Res 1042-22 Incremento de 284 ton desde Org 51 VIII.
Res 263-22 Incremento de 30 ton desde Org 7 X.
Res 2167-22 Incremento de 5 ton desde Org 30 VIII.
Res 2430-22 Incremento de 80 ton desde Org 1 X.
Res 2431-22 Incremento de 399 ton desde LTP Blumar S.A. 
Res 2432-22 Incremento de 750 ton desde Org 67 VIII.
Res 2673-22 Incremento de 580 ton desde LTP Blumar S.A.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3417-21.
Res 1075-22 Modf Res 3417-21.
Res 2261-22 Modf Res 3417-21.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01-22 Cede -260 ton hacia Emb XIV.
Res 720-22 Cede -100 ton hacia Emb XIV.
Res 07-22 Cede -675 ton hacia: 209 ton a Org 5 XIV y 466 ton a Emb XIV.</t>
        </r>
      </text>
    </comment>
    <comment ref="G111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02-2022 Cede -400 ton hacia Emb XIV.
Res 4-22 Modf Res 02-22 no era 2 si no que 3.</t>
        </r>
      </text>
    </comment>
    <comment ref="M111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69-22 Cierre cuota.
Res 80-22 Apertura cuota.</t>
        </r>
      </text>
    </comment>
    <comment ref="M112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189-22 Cierre de cuota</t>
        </r>
      </text>
    </comment>
    <comment ref="M113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89-22 Cierre de cuota</t>
        </r>
      </text>
    </comment>
    <comment ref="G11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07-22 Incremento de 209 ton desde Org 1 XIV.</t>
        </r>
      </text>
    </comment>
    <comment ref="M115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10-22 Cierre de cuota</t>
        </r>
      </text>
    </comment>
    <comment ref="G11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625-22 Cede -286 ton hacia Org 53 VIII.
Res 05-22 Cede -104 ton hacia Emb XIV.</t>
        </r>
      </text>
    </comment>
    <comment ref="G11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1217-22 Cede -74,5 ton hacia Emb VIII.</t>
        </r>
      </text>
    </comment>
    <comment ref="M120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186-22 Cierre de cuota.</t>
        </r>
      </text>
    </comment>
    <comment ref="G12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1-22 Incremento de 260 Ton desde Org  1  XIV.
Res 615-22 Incremento de 75 Ton desde Org  1  X.
Res 661-22 Rectifica Res 615-22.
Res 633-22 Incremento de 194,41 ton desde Org 47 VIII.
Res 635-22 Incremento de 200 ton desde Org 40 VIII.
Res 720-22 Incremento de 100 ton desde Org 1 XIV.
Res 726-22 Incremento de 10 ton desde LTP Camanchaca Pesca Sur.
Res 791-22 Incremento de 1287,852 ton desde LTP Cristian Silva Lorca.
Res 841-22 Incremento de 1690 ton desde LTP Blumar S.A.
Res 903-22 Incremento de 80 ton desde LTP Blumar S.A.
Res 932-22 Incremento de 746,580 ton desde LTP Cristian Silva Tudela.
Res 931-22 Incremento de 875 ton desde Org 17 VIII.
Res 828-22 Incremento de 148,408 ton desde Org 59 VIII.
Res 1220-22 Incremento de 525 ton desde Org 17 VIII.
Res 1222-22 Incremento de 300 ton desde Org 51 VIII.
Res 1223-22 Incremento de 1 ton desde Org 4 VIII.
Res 1224-22 Incremento de 50 ton desde Org 40 VIII.
Res 1483-22 Incremento de 78 ton desde Org 41 VIII.
Res 1486-22 Incremento de 1 ton desde Org 4 VIII.
Res 1487-22 Incremento de 60 ton desde Org 62 VIII.
Res 1512-22 Incremento de 467,922 ton desde LTP Cristian Silva Lorca.
Res 1513-22 Incremento de 271,260 ton desde LTP Cristian Silva Tudela.
Res 1516-22 Incremento de 310 ton desde LTP Blumar S.A.
Res 1515-22 Incremento de 20 ton desde Org 30 VIII.
Res 1518-22 Incremento de 220 ton desde Org 51 VIII.
Res 2-22 Incremento de 400 ton desde Org 2 XIV.
Res 1628-22 Incremento de 50 ton desde Org 68 VIII.
Res 1629-22 Incremento de 50 ton desde Org 68 VIII.
Res 1697-22 Incremento de 150 ton desde Org 19 VIII.
Res 1833-22 Deja sin efecto Res 1697-22.
Res 1698-22 Incremento de 120 ton desde Org 19 VIII.
Res 1741-22 Incremento de 550 ton desde Org 17 VIII.
Res 1796-22 Incremento de 400 ton desde Org 17 VIII.
Res 1917-22 Incremento de 2350 ton desde LTP Blumar S.A.
Res 1919-22 Incremento de 625 ton desde LTP Blumar S.A.
Res 1936-22 Incremento de 80 ton desde LTP Camanchaca Pësca Sur S.A.
Res 1984-22 Incremento de 40 ton desde Org 30 VIII.
Res 2006-22 Incremento de 235 ton desde LTP Blumar S.A.
Res 2092-22 Incremento de 50 ton desde Org 62 VIII.
Res 2521-22 Incremento de 584 ton desde LTP Blumar S.A.
Res 07-22 Incremento de 466 ton desde Org 1 XIV.
Res 2643-22 Incremento de 26 ton desde LTP Cristian Silva Tudela.
Res 2652-22 Incremento de 44,850 ton desde LTP Cristian Silva Lorca.
Res 05-22 Incremento de 104 ton desde Org 9 XIV.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3447-21.
Res 1073-22 Modf Res 3447-21.
Res 2259-22 Modf Res 3447-21.</t>
        </r>
      </text>
    </comment>
    <comment ref="G124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473-22 Cede -75 ton hacia Org. 19 VIII
Res 615-22 Cede -75 ton hacia Emb XIV
Res 661-22 Rectifica Res 615-22 Cede hacia Emb IX.
Res 2430-22 Cede -80 ton hacia Emb IX.
Res 2698-22 Cede -45 ton hacia Emb VIII.
Res 2699-22 Cede -77,782 ton hacia Emb VIII.</t>
        </r>
      </text>
    </comment>
    <comment ref="G12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29-22 Incremento de 89 ton desde Org 6 X.
Res 34-22 Incremento de 250 ton desde Org 3 X.</t>
        </r>
      </text>
    </comment>
    <comment ref="G12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559-22 Cede -228 ton hacia Org. 53 VIII.
Res 659-22 Cede -400 ton hacia Org 37 VIII.
Res 34-22 Cede -250 ton hacia Org 2 X.</t>
        </r>
      </text>
    </comment>
    <comment ref="G12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451-22 Cede -400 ton hacia Org 19 VIII.
Res 1332-22 Cede -203 ton hacia Org 13 VIII.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261-22 Cede -100 ton hacia Org. 15 VIII
Res 262-22 Cede -100 ton hacia Org. 19 VIII
Res 545-22 Cede -50 ton hacia Emb VIII
Res 1302-22 Modf Res 545-22 Cede -23,89 ton.
Res 1456-22 Cede -200 ton hacia Org 15 VIII.
Res 20-22 Cede -10 ton hacia Org 9 X.</t>
        </r>
      </text>
    </comment>
    <comment ref="G129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452-22 Cede -240 ton hacia Org. 69 VIII.
Res 29-22 Cede -89 ton hacia Org 2 X.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260-22 Cede -74 ton hacia Emb VIII.
Res 575-22 Cede -136 ton hacia Emb IX.
Res 263-22 Cede -30 ton hacia Emb IX.
Res 1485-22 Cede -63 ton hacia Org 74 VIII.
Res 21-22 Cede -24 ton hacia Org 8 X.
Res 37-22 Cede -9 ton hacia Org 8X</t>
        </r>
      </text>
    </comment>
    <comment ref="M130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511-22 Cierre de cuota</t>
        </r>
      </text>
    </comment>
    <comment ref="G13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450-22 Cede -151,45 ton a Org 34 VIII, Org 55 VIII, Emb IX y Emb VIII
Res 526-22 Cede -262,177 ton a Org 55 VIII
Res 1815-22 Cede -790,333 ton hacia Org 55 VIII.
Res 32-22 Cede -50 ton hacia Emb X.
Res 21-22 Incremento de 24 ton desde Org 7 X.
Res 37-22 Incremento de 9 ton desde Org 7 X.</t>
        </r>
      </text>
    </comment>
    <comment ref="G132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514-22 Cede -12 ton hacia Org. 19 VIII.
Res 1816-22 Cede -15 ton hacia Org 19 VIII.
Res 20-22 Incremento de 10 ton desde Org 5 X.</t>
        </r>
      </text>
    </comment>
    <comment ref="M13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678-22 Cierre de cuota.</t>
        </r>
      </text>
    </comment>
    <comment ref="G13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32-22 Incremento de 50 ton desde Org 8 X.</t>
        </r>
      </text>
    </comment>
  </commentList>
</comments>
</file>

<file path=xl/comments4.xml><?xml version="1.0" encoding="utf-8"?>
<comments xmlns="http://schemas.openxmlformats.org/spreadsheetml/2006/main">
  <authors>
    <author>CARLOS FELIPE VALDIVIA PINO</author>
    <author>SBENALCAZAR</author>
    <author>nperez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3446-21
Res 1072-22 Modf Res 3446-21.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613-22 Cede -750 ton hacia Emb VIII, org 19 y 26 VIII.
Res 626-22 Cede -250 ton hacia Emb VIII.
Res 627-22 Cede -1228,75 ton hacia: 816,25 ton a Org 12 VIII ; 250 ton a Org 15 VIII ; 162,5 ton a Emb VIII.
Res 785-22 Cede -500 ton hacia: 100 ton a Org 71 VIII; 100 ton a Org 25 VIII; 300 ton a Emb VIII.
Res 1404-22 Cede -305 ton hacia: 195 ton a Org 55 VIII; 110 ton a Org 15 VIII. 
Res 2422-22 Incremento de 1227,866 ton desde cuota de imprevistos.</t>
        </r>
      </text>
    </comment>
    <comment ref="M7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73-22 Cierre cuota.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258-22 Cede -562,687 ton hacia Emb VIII.
Res 1291-22 Cede -65,346 ton hacia Org 14 VIII.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3359-21
Res. 1057-21 Modf Res 3359-21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3418-21.
Res 1074-22 Modf Res 3418-21.</t>
        </r>
      </text>
    </comment>
    <comment ref="G1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678-22 Cede -739,27 ton hacia Org 69 VIII.</t>
        </r>
      </text>
    </comment>
    <comment ref="G1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624-22 Cede -400,831 ton hacia Org 34 VIII.
Res 1439-22 Cede -46,6 ton hacia Emb VIII.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148-22.
Res. 1071-22 Modf Res 148-22.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20-22 Cede -143 ton hacia org 15 VIII .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44-22 Cierre Cuota.
Res 109-22 Apertura Cuota.</t>
        </r>
      </text>
    </comment>
    <comment ref="G2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41-22 Cede -236 ton hacia Emb VIII.
Res 42-22 Cede -354 ton hacia Org 44 VIII.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12-22 Cede -65 ton hacia Emb VIII.
Res 1499-22 Cede -1 ton hacia Emb XIV.
Res 1486-22 Cede -599 ton hacia Emb XIV.
Res 128-22 Cede -499 ton hacia Org 59 VIII.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06-22 Cede -900 ton hacia Org 19 VIII.
Res 09-22 Cede -732  ton hacia Org 13 VIII.
Res 10-22 Cede -100 ton hacia Emb VIII.
Res 701-22 Cede -300 ton hacia Emb VIII.
Res 26-22 Cede -800 ton hacia Org 75 VIII.
Res 80-22 Modf Res 26-22 Cede -230 ton.
Res 46-22 Cede -87 ton hacia Org 70 VIII.
Res 47-22 Cede -87 ton hacia Org 74 VIII.
Res 53-22 Cede -300 ton hacia Emb VIII.
Res 55-22 Cede -85 ton hacia Org 13 VIII.
Res 88-22 Cede -50 ton hacia Org 13 VIII.
Res 89-22 Cede -518 ton hacia Org 19 VIII.
Res 125-22 Incremento de 2450 ton desde Org 75 VIII.</t>
        </r>
      </text>
    </comment>
    <comment ref="G2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93-22 Cede -300 ton hacia Org 13 VIII.
Res 94-22 Cede -300 ton hacia Org 24 VIII.</t>
        </r>
      </text>
    </comment>
    <comment ref="G2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27-22 Incremento de 120 ton desde Org 70 VIII.
Res 39-22 Incremento de 800 ton desde Org 50 VIII.</t>
        </r>
      </text>
    </comment>
    <comment ref="G31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85-22 Cede -245 ton hacia Org 14 VIII.
Res 87-22 Cede -660 ton hacia Org 14 VIII.
Res 121-22 Incremento de 580 ton desde Org 40 VIII.</t>
        </r>
      </text>
    </comment>
    <comment ref="G32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79-22 Cede -220 ton hacia Org 15 VIII.
Res 102-22 Deja sin efecto Res 79-22.
Res 103-22 Cede -220 ton hacia Org 26 VIII.</t>
        </r>
      </text>
    </comment>
    <comment ref="G3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108-22 Cede -100 ton hacia Org 12 VIII.</t>
        </r>
      </text>
    </comment>
    <comment ref="G34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04-22 Incremento de 130 ton desde Org 34 VIII.
Res. 08-22 Incremento de 130 Ton desde Org 70 VIII.
Res 14-22 Incremento de 12,9 Ton a Org 12 VIII desde Org 78 VIII.
Res 627-22 Incremento de 816,25 ton desde Org 1 V.
Res 32-22 Incremento de 25 ton desde Org 70 VIII.
Res 38-22 Incremento de 27,9 ton desde Org 44 VIII.
Res 48-22 Incremento de 500 ton desde Org 35 VIII.
Res 75-22 Incremento de 154 ton desde Org 32 VIII.
Res 90-22 Incremento de 1200 ton desde Org 19 VIII.
Res 98-22 Incremento de 150 ton desde Org 70 VIII.
Res 106-22 Incremento de 22 ton desde Org 65 VIII.
Res 107-22 Incremento de 7 ton desde Org 38 VIII.
Res 108-22 Incremento de 100 ton desde Org 11 VIII.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9-22 Incremento de 732 ton desde Org 13 VIII.
Res 55-22 Incremento de 85 ton desde Org 5 VIII.
Res 56-22 Incremento de 450 ton desde Org 71 VIII.
Res 1332-22 Incremento de 197 ton desde Org 4 X.
Res 81-22 Incremento de 400 ton desde Org 19 VIII.
Res 88-22 Incremento de 50 ton desde Org 5 VIII.
Res 93-22 Incremento de 300 ton desde Org 6 VIII.
Res 105-22 Incremento de 681  ton desde Org 58 VIII.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03-22 Incremento de 27 ton desde Org 56 VIII.
Res 71-22 Incremento de 360 ton desde Org 50 VIII.
Res 1291-22 Incremento de 65,346 ton desde Org 2 V.
Res 84-22 Incremento de 180 ton desde Org 62 VIII.
Res 85-22 Incremento de 245 ton desde Org 9 VIII.
Res 87-22 Incremento de 660 ton desde Org 9 VIII.
Res 96-22 Incremento de 150 ton desde Org 59 VIII.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01-22 Incremento de 3284 ton desde Org 45 VIII.
Res 261-22 Incremento de 500 ton desde Org 5 X.
Res 20-22 Incremento de 143 ton desde Org 1 VIII.
Res 627-22 Incremento de 250 ton desde Org 1 V.
Res 22-22 Incremento de 22,1 ton desde Org 46 VIII.
Res 711-22 Incremento de 82 ton desde Org 45 VIII.
Res 68-22 Incremento de 170 ton desde Org 63 VIII.
Res 69-22 Incremento de 80 ton desde Org 63 VIII.
Res 76-22 Incremento de 800 ton desde Org 19 VIII.
Res 79-22 Incremento de 220 ton desde Org 10 VIII.
Res 102-22 Deja sin efecto Res 79-22.
Res 1404-22 Incremento de 110 ton desde Org 1 V.
Res 92-22 Incremento de 1000 ton desde Org 58 VIII.
Res 1456-22 Incremento de 200 ton desde Org 5 X.</t>
        </r>
      </text>
    </comment>
    <comment ref="G3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931-22 Cede -1625 ton hacia Emb XIV.
Res 1220-22 Cede -975 ton hacia Emb XIV.
Res 1741-22 Cede -550 ton hacia Emb XIV.
Res 1796-22 Cede -600 ton hacia Emb XIV.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262-22 Incremento de 200 ton desde Org 5 X.
Res 006-22 Incremento de 900 ton desde Org 5 VIII.
Res 473-22 Incremento de 190 ton desde Org 1 X.
Res 451-22 Incremento de 900 ton desde Org 4 X.
Res 513-22 Incremento de 2500 ton desde Org 2 X.
Res 514-22 Incremento de 410 ton desde Org 9 X.
Res 16-22 Incremento de 280,5 ton desde Org  54 VIII.
Res 613-22 Incremento de 600 ton desde Org  1 V.
Res 35-22 Incremento de 499 ton desde Org 71 VIII.
Res 49-22 Cede -90 ton hacia Emb VIII.
Res 70-22 Incremento de 32,6 ton desde Org 54 VIII.
Res 74-22 Cede -270 ton hacia Emb VIII.
Res 76-22 Cede -800 ton hacia Org 15 VIII.
Res 77-22 Cede -250 ton hacia Org 26 VIII.
Res 81-22 Cede -400 ton hacia Org 13 VIII.
Res 82-22 Cede -150 ton hacia Org 55 VIII.
Res 89-22 Incremento de 518 ton desde Org 5 VIII.
Res 90-22 Cede -1200 ton hacia Org 12 VIII.
Res 91-22 Cede -300 ton hacia Emb VIII.
Res 95-22 Cede -170 ton hacia Org 55 VIII.
Res 1697-22 Cede -350 ton hacia Emb XIV.
Res 1833-22 Deja sin efecto Res 1697-22.
Res 1698-22 Cede -280 ton hacia Emb XIV.
Res 1816-22 Incremento de 90 ton desde Org 9 X.</t>
        </r>
      </text>
    </comment>
    <comment ref="M42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73-22 Cierre de cuota
Res 109-22 Apertura Cuota</t>
        </r>
      </text>
    </comment>
    <comment ref="G4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83-22 Cede -380 ton hacia Emb VIII.</t>
        </r>
      </text>
    </comment>
    <comment ref="G4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23-22 Incremento de 300 ton desde Org 51 VIII.</t>
        </r>
      </text>
    </comment>
    <comment ref="G4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43-22 Incremento de 400 ton desde Org 35 VIII.</t>
        </r>
      </text>
    </comment>
    <comment ref="G4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94-22 Incremento de 300 ton desde Org 6 VIII.</t>
        </r>
      </text>
    </comment>
    <comment ref="G4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785-22 Incremento de 100 ton desde Org 1 V. 
Res 1030-22 Cede -388 ton hacia Emb XIV.
Res 1225-22 Cede -2000 ton hacia Emb XIV.
Res 1293-22 Cede -1000 ton hacia Org 5 XIV.</t>
        </r>
      </text>
    </comment>
    <comment ref="G48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613-22 Incremento de 50 ton desde Org  1 V.
Res 77-22 Incremento de 250 ton desde Org 19 VIII.
Res 99-22 Incremento de 450 ton desde Org 68 VIII.
Res 103-22 Incremento de 220 ton desde Org 10 VIII.
Res 104-22 Incremento de 370 ton desde Org 55 VIII.</t>
        </r>
      </text>
    </comment>
    <comment ref="G5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Cede -91 ton hacia Emb. VIII</t>
        </r>
      </text>
    </comment>
    <comment ref="G52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57-22 Cede -230 ton hacia Org 55 VIII.
Res 78-22 Cede -515 ton hacia Emb VIII.
Res 1515-22 Cede -980 ton hacia Emb XIV.
Res 1984-22 Cede -560 ton hacia Emb XIV.
Res 2167-22 Cede -245 ton hacia Emb IX.</t>
        </r>
      </text>
    </comment>
    <comment ref="G5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51-22 Incremento de 393 ton desde Org 37 VIII.</t>
        </r>
      </text>
    </comment>
    <comment ref="G5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75-22 Cede -154 ton hacia Org 12 VIII.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04-22 Cede -130 ton hacia Org 12 VIII.
Res 450-2022 Incremento de 313  ton desde org 8 X.
Res 624-22 Incremento de 400,831 ton desde Org Siparcon 07.05.0193 VII.
Res 28-22 Cede -423 ton hacia Org 36 VIII. 
Res 59-22 Cede -64,4 ton hacia Emb VIII.</t>
        </r>
      </text>
    </comment>
    <comment ref="G5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43-22 Cede -400 ton hacia Org 23 VIII.
Res 48-22 Cede -500 to hacia Org 12 VIII.</t>
        </r>
      </text>
    </comment>
    <comment ref="G58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15-22 Cede -205 ton hacia Emb. VIII
Res 28-22 Incremento de 423 ton desde Org 34 VIII.
Res 30-22 Cede -250 ton hacia Org 51 VIII.
Res 62-22 Cede -201 ton hacia Emb VIII.</t>
        </r>
      </text>
    </comment>
    <comment ref="G5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659-22 Incremento de 2300 ton desde Org 3 X.
Res 50-22 Cede -240 ton hacia Org 52 VIII.
Res 51-22 Cede -393 ton hacia Org 31 VIII.
Res 72-22 Cede -137 ton hacia Org 59 VIII.</t>
        </r>
      </text>
    </comment>
    <comment ref="G60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107-22 Cede -7 ton hacia Org 12 VIII.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07-22 Cede -980 ton hacia Emb VIII.
Res 635-22 Cede -400 ton hacia Emb XIV.
Res 1224-22 Cede -450 ton hacia Emb XIV.
Res 1484-22 Cede -308 ton hacia Emb XIV.
Res 121-22 Cede -580 ton hacia Org 9 VIII.
Res 2697-22 Cede -370 ton hacia Emb XIV.</t>
        </r>
      </text>
    </comment>
    <comment ref="G6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1483-22 Cede -119 ton hacia Emb XIV.
Res 112-22 Cede -74,5 ton hacia Emb VIII.</t>
        </r>
      </text>
    </comment>
    <comment ref="G6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38-22 Cede -27,9 ton hacia Org 12 VIII.
Res 42-22 Incremento de 354 ton desde Org 3 VIII.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01-22 Cede -3284 ton hacia Org 15 VIII.
Res 02-22 Cede -200 ton hacia Emb VIII.
Res 711-22 Cede -82 ton hacia Org 15 VIII.</t>
        </r>
      </text>
    </comment>
    <comment ref="M6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202-22 Cierre cuota.</t>
        </r>
      </text>
    </comment>
    <comment ref="G6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22-22 Cede -22,1 ton hacia Org 15 VIII.</t>
        </r>
      </text>
    </comment>
    <comment ref="G6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633-22 Cede -363,59 ton hacia Emb XIV.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21-22 Cede -38 ton hacia Emb VIII.
Res 25-22 Cede -310 ton hacia Emb VIII.</t>
        </r>
      </text>
    </comment>
    <comment ref="G71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11-22 Cede -50 ton hacia Emb VIII.
Res 29-22 Cede -150 ton hacia Emb VIII.
Res 54-22 Cede -50 ton hacia Org 55 VIII.</t>
        </r>
      </text>
    </comment>
    <comment ref="G72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712-22 Cede -356 ton hacia Emb VIII.
Res 1828-22 Modf Res 712-22.
Res 39-22 Cede -800 ton hacia Org 7 VIII.
Res 71-22 Cede -360 ton hacia Org 14 VIII.</t>
        </r>
      </text>
    </comment>
    <comment ref="G7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700-22 Cede -300 ton hacia Emb VIII.
Res 23-22 Cede -300 ton hacia Org 22 VIII.
Res 30-22 Incremento de 250 ton desde Org 36 VIII.
Res 1042-22 Cede -500 ton hacia Emb IX.
Res 1222-22 Cede -403 ton hacia Emb XIV.
Res 1518-22 Cede -400 ton hacia Emb XIV.</t>
        </r>
      </text>
    </comment>
    <comment ref="G7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50-22 Incremento de 240 ton desde Org 37 VIII.</t>
        </r>
      </text>
    </comment>
    <comment ref="G75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559-22 Incremento de 252 ton desde Org 3 X.
Res 625-22 Incremento de 817 ton desde Org 9 XIV.</t>
        </r>
      </text>
    </comment>
    <comment ref="G7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16-22 Cede -280,5 ton hacia Org 19 VIII.
Res 70-22 Cede -32,6 ton hacia Org 19 VIII.</t>
        </r>
      </text>
    </comment>
    <comment ref="G7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450-22 Incremento de 363 ton desde org 8 X.
Res 526-22 Incremento de 1081,456 ton desde org 8 X.
Res 18-22 Cede -80 ton hacia Emb VIII.
Res 100-22 Modf Res 18-22 Cede -55 ton.
Res 24-22 Incremento de 43 ton desde Org 76 VIII.
Res 40-22 Cede -65 ton hacia Emb VIII.
Res 101-22 Deja sin efecto Res 40-22.
Res 52-22 Cede -50 ton hacia Emb VIII.
Res 54-22 Incremento de 50 ton desde Org 49 VIII.
Res 57-22 Incremento de 230 ton desde Org 30 VIII.
Res 58-22 Incremento de 50 ton desde Org 73 VIII.
Res 82-22 Incremento de 150 ton desde Org 19 VIII.
Res 1404-22 Incremento de 195 ton desde Org 1 V.
Res 95-22 Incremento de 170 ton desde Org 19 VIII.
Res 97-22 Incremento de 280 ton desde Org 63 VIII.
Res 1815-22 Incremento de 310,983 ton desde Org 8 X.
Res 104-22 Cede -370 ton hacia Org 26 VIII.
Res 126-22 Incremento de 1900 ton desde Org 75 VIII.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03-22 Cede -27 ton hacia Org 14 VIII.
Res 713-22 Cede -8 ton hacia Org 14 VIII.</t>
        </r>
      </text>
    </comment>
    <comment ref="G79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33-22 Cede -2,6 ton hacia Emb VIII.</t>
        </r>
      </text>
    </comment>
    <comment ref="G80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92-22 Cede -1000 ton hacia Org 15 VIII.
Res 1630-22 Cede -600 ton hacia Emb XIV.
Res 105-22 Cede -681 ton hacia Org 13 VIII.</t>
        </r>
      </text>
    </comment>
    <comment ref="G81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1041-22 Cede -267 ton hacia Emb XIV.
Res 828-22 Cede -250 ton hacia Emb XIV.
Res 72-22 Incremento de 137 ton desde Org 37 VIII.
Res 96-22 Cede -150 ton hacia Org 14 VIII.
Res 128-22 Incremento de 499 ton desde Org 4 VIII.</t>
        </r>
      </text>
    </comment>
    <comment ref="G8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67-22 Cede -400 ton hacia Emb VIII.
Res 1294-22 Cede -700 ton hacia Emb XIV.</t>
        </r>
      </text>
    </comment>
    <comment ref="G84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17-22 Cede -50,2 ton hacia Emb VIII.
Res 84-22 Cede -180 ton hacia Org 14 VIII.
Res 1487-22 Cede -190 ton hacia Emb XIV.
Res 2092-22 Cede -950 ton hacia Emb XIV.</t>
        </r>
      </text>
    </comment>
    <comment ref="G8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68-22 Cede -170 ton hacia Org 15 VIII.
Res 69-22 Cede -80 ton hacia Org 15 VIII.
Res 97-22 Cede -280 ton hacia Org 55 VIII.</t>
        </r>
      </text>
    </comment>
    <comment ref="G8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106-22 Cede -22 ton hacia Org 12 VIII.</t>
        </r>
      </text>
    </comment>
    <comment ref="G8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2379-22 Cede -500 ton hacia Emb IX.
Res 2432-22 Cede -750 ton hacia Emb IX.</t>
        </r>
      </text>
    </comment>
    <comment ref="G90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1628-22 Cede -350 ton hacia Emb XIV.
Res 1629-22 Cede -550 ton hacia Emb XIV.
Res 99-22 Cede -450 ton hacia Org 26 VIII.</t>
        </r>
      </text>
    </comment>
    <comment ref="G9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452-22 Incremento de 530 ton desde org 6 X.
Res 678-22 Incremento de 739,27 ton desde Pelágicos del Maule 07.05.0150 VII.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CARLOS FELIPE VALDIVIA PINO</t>
        </r>
        <r>
          <rPr>
            <sz val="9"/>
            <color indexed="81"/>
            <rFont val="Tahoma"/>
            <family val="2"/>
          </rPr>
          <t xml:space="preserve">
Res 08-22 Cesión -130 ton hacia Org 12 VIII .
Res 27-22 Cede -120 ton hacia Org 7 VIII.
Res 32-22 Cede -25 ton hacia Org 12 VIII.
Res 46-22 Incremento de 87 ton desde Org 5 VIII.
Res 98-22 Cede -150 ton hacia Org 12 VIII.</t>
        </r>
      </text>
    </comment>
    <comment ref="G9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785-22 Incremento de 100 ton desde Org 1 V. 
Res 35-22 Cede -499 ton hacia Org 19 VIII.
Res 45-22 Cede -2 ton hacia LTP Alimentos Marinos S.A.
Res 56-22 Cede -450 ton hacia Org 13 VIII.</t>
        </r>
      </text>
    </comment>
    <comment ref="G95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31-22 Cede -120 ton hacia Emb VIII.
Res 58-22 Cede -50 ton hacia Org 55 VIII.</t>
        </r>
      </text>
    </comment>
    <comment ref="G9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47-22 Incremento de 87 ton desde Org 5 VIII.
Res 1485-22 Incremento de 44 ton desde Org 7 X.</t>
        </r>
      </text>
    </comment>
    <comment ref="G97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26-22 Incremento de 800 ton desde Org 5 VIII.
Res 80-22 Modf Res 26-22 Incremento de 230 ton.
Res 113-22 Cede -2000 ton hacia LTP Landes S.A.
Res 120-22 Modf Res 113-22 Cede -325 ton.
Res 125-22 Cede -2450 ton hacia Org 5 VIII.
Res 126-22 Cede -1900 ton hacia Org 55 VIII.</t>
        </r>
      </text>
    </comment>
    <comment ref="G9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24-22 Cede -43 ton hacia Org 55 VIII.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13-22 Cede -2 ton hacia Emb VIII.
Res 14-22 Cede -12,9 ton Org 12 VIII.</t>
        </r>
      </text>
    </comment>
    <comment ref="G10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19-22 Cede -400 ton hacia Emb VIII.
Res 745-22 Cede -300 ton hacia Emb VIII.</t>
        </r>
      </text>
    </comment>
    <comment ref="M102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de cuota Res 36-22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02-22 Incremento de 200 ton desde Org 45 VIII.
Res 258-22 Incremento de 562,687 ton desde Org 2 V.
Res 260-22 Incremento de 297 ton desde Org 7 X.
Res 317-22 Incremento de 910 ton desde Org 1 V-X LTP.
Res 7-22 Incremento de 980 Ton Desde Org 40 VIII
Res 10-22 Incremento de 100 ton desde Org 5 VIII.
Res 11-22 Incremento de 50 ton desde Org 49 VIII.
RES 450-2022 Incremento de 439,4 ton desde org 8 X.
Res 475-22 Incremento de 298 ton desde LTP Pedro Irigoyen Limitada.
Res 474-22 Incremento de 200 ton desde Org 1 V-X LTP.
Res 480-22 Incremento de 749 ton desde Org 1 V-X LTP.
Res 478-22 Incremento de 1924,44 ton desde Org 19V-X LTP.
Res 477-22 Incremento de 1676,812  ton desde Org 1 V-X LTP.
Res 469-22 Incremento de 1406  ton desde LTP Foodcorp S.A.
Res 523-22 Incremento de 1520  ton desde Org  8 V-X LTP.
Res 524-22 Incremento de 1819 ton desde Org  8 V-X LTP.
Res 525-22 Incremento de 1940 ton desde Org  8 V-X LTP.
Res 527-22 Incremento de 2046 ton desde Org  14 V-X LTP.
Res 12-22 Incremento de 65 ton desde Org  4. VIII.
Res 13-22 Incremento de 2 ton desde Org  78. VIII.
Res 539-22 Incremento de 768,491 ton desde Org 1  V-X LTP.
Res 544-22 Incremento de 1050  ton desde LTP Blumar S.A.
Res 545-22 Incremento de 200 ton desde Org 5 X.
Res 1302-22 Modf Res 545-22 Incremento de 26,11 ton.
Res 15-22 Incremento de 205 ton desde Org  36. VIII.
Res 17-22 Incremento de 50,2  ton desde Org  62. VIII.
Res 18-22 Incremento de 80  ton desde Org  55. VIII.
Res 100-22 Modf Res 18-22 Incremento de 55 ton.
Res 19-22 Incremento de 400  ton desde Org  79 VIII.
Res 607-22 Incremento de 770 ton desde Org 2  V-X LTP.
Res 608-22 Incremento de 542 ton desde Org 2  V-X LTP.
Res 614-22 Incremento de 320 ton desde Org 2  V-X LTP.
Res 613-22 Incremento de 100  ton desde Org  1 V.
Res 21-22 Incremento de 38  ton desde Org  48. VIII.
Res 618-22 Incremento de 287  ton desde Org 2  V-X LTP.
Res 619-22 Incremento de 100  ton desde Org 1  V-X LTP.
Res 623-22 Incremento de 240  ton desde Org 2  V-X LTP.
Res 626-22 Incremento de 250 ton desde Org 1 V.
Res 627-22 Incremento de 162,5 ton desde Org 1 V.
Res 632-22 Incremento de 10202 ton desde LTP Camanchaca Pesca Sur.
Res 679-22 Incremento de 129 ton desde LTP Alimentos Marinos S.A.
Res 697-22 Incremento de 1113,74 ton desde LTP Alimentos Marinos S.A.
Res 700-22 Incremento de 300 ton desde Org 51 VIII.
Res 701-22 Incremento de 300 ton desde Org 5 VIII.
Res 712-22 Incremento de 356 ton desde Org 50 VIII.
Res 1828-22 Modf Res 712-22.
Res 25-22 Incremento de 310 ton desde Org 48 VIII.
Res 726-22 Incremento de 3160 ton desde LTP Camanchaca Pesca Sur.
Res 727-22 Incremento de 469,8 ton desde LTP Procesos Tecnológicos Del Bio Bio.
Res 730-22 Incremento de 429,731 ton desde LTP Novamar.
Res 29-22 Incremento de 150 ton desde Org 49 VIII.
Res 31-22 Incremento de 120 ton hacia Org 73 VIII.
Res 773-22 Incremento de 200 ton desde LTP Blumar S.A.
Res 785-22 Incremento de 300 ton desde Org 1 V. 
Res 816-22 Incremento de 370 ton desde LTP Alimentos Marinos S.A.
Res 818-22 Incremento de 135,750 ton desde LTP Alimentos Marinos S.A.
Res 820-22 Incremento de 150 ton desde LTP Landes S.A.
Res 33-22 Incremento de 2,6 ton desde Org 57 VIII.
Res 843-22 Incremento de 626,140 ton desde LTP Pesquera Litoral SpA.
Res 844-22 Incremento de 3340,207 ton desde LTP¨Novamar SpA.
Res 845-22 Incremento de 946 ton desde LTP Camanchaca Pesca Sur.
Res 1047-22 Deja sin efecto Res 845-22.
Res 846-22 Incremento de 2664 ton desde LTP Blumar S.A.
Res 40-22 Incremento de 65 ton desde Org 55 VIII.
Res 101-22 Deja sin efecto Res 40-22.
Res 41-22 Incremento de 236 ton desde Org 3 VIII.
Res 935-22 Incremento de 318 ton desde LTP Orizon S.A.
Res 956-22 Incremento de 716,560 ton desde LTP Novamar SpA.
Res 992-22 Incremento de 3765 ton desde LTP Orizon S.A.
Res 49-22 Incremento de 90 ton desde Org 19 VIII.
Res 52-22 Incremento de 80 ton desde Org 55 VIII.
Res 745-22 Incremento de 300 ton desde Org 79 VIII.
Res 53-22 Incremento de 300 ton desde Org 5 VIII.
Res 1177-22 Incremento de 2385 ton desde LTP Lota Protein S.A.
Res 59-22 Incremento de 64,4 ton desde Org 34 VIII.
Res 62-22 Incremento de 258,9 ton desde Org 36 VIII.
Res 1217-22 Incremento de 174 ton desde Org 10 XIV.
Res 67-22 Incremento de 400 ton desde Org 61 VIII.
Res 74-22 Incremento de 270 ton desde Org 19 VIII.
Res 78-22 Incremento de 515 ton desde Org 30 VIII.
Res 1327-22 Incremento de 36 ton desde LTP Pedro Irigoyen Limitada.
Res 83-22 Incremento de 380 ton desde Org 21 VIII.
Res 91-22 Incremento de 300 ton desde Org 19 VIII.
Res 1439-22 Incremento de 46,6 ton desde Org SIPARCON R.S.U 07.05.0193 VII.
Res 1480-22 Incremento de 31 ton desde LTP Foodcorp S.A.
Res 1488-22 Incremento de 134 ton desde LTP Foodcorp S.A.
Res 1798-22 Incremento de 275 ton desde LTP Lota Protein S.A.
Res 1962-22 Incremento de 721 ton desde cuota de imprevistos.
Res 112-22 Incremento de 74,5 ton desde Org 41 VIII.
Res 2183-22 Incremento de 50 ton desde LTP Alimentos Marinos S.A.
Res 2192-22 Incremento de 50 ton desde LTP Alimentos Marinos S.A.
Res 2251-22 Incremento de 619,887 ton desde LTP Pesquera Litoral SpA.
Res 2253-22 Incremento de 54,54 ton desde LTP Procesos Tecnológicos del Bio bío.
Res 2285-22 Incremento de 772,916 ton desde LTP Novamar SpA.
Res 2380-22 Incremento de 740 ton desde LTP Orizon S.A.
Res 2421-22 Incremento de 119 ton desde LTP Pelantaro Inostroza Concha.
Res 2557-22 Incremento de 753 ton desde LTP Camanchaca Pesca Sur S.A.
Res 2559-22 Incremento de 7 ton desde LTP Alimentos Marinos S.A.
Res 2698-22 Incremento de 55 ton desde Org 1 X.
Res 2699-22 Incremento de 88,295 ton desde Org 1 X.
Res 2651-22 Incremento de 57 ton desde LTP Alimentos Marinos S.A.
Res 2657-22 Incremento de 640,860 ton desde LTP Inversiones Tridente SpA.
Res 2658-22 Incremento de 2332 ton desde LTP Orizon S.A.
Res 2745-22 Incremento de 1119 ton desde LTP Orizon S.A.
Res 2746-22 Incremento de 550,290 ton desde LTP Alimentos Marinos S.A.
Res 2824-22 Incremento de 2 ton desde LTP Landes S.A.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3359-21
Res. 1057-21 Modf Res 3359-21</t>
        </r>
      </text>
    </comment>
    <comment ref="G10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2191-22 Incremento de 1312,22 ton desde cuota imprevistos.</t>
        </r>
      </text>
    </comment>
    <comment ref="M106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46-22 Cierre Cuota. 
Res 71-22 Apertura Cuota.
Res 156-22 Cierre Cuota.
Res 168-22 Apertura Cuota.
Res 162-22 Cierre Cuota.</t>
        </r>
      </text>
    </comment>
    <comment ref="G10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450-2022 Incremento de 263 ton desde org 8 X.
Res 578-2022 Incremento de 732 ton desde org LTP Blumar S.A.
Res 575-2022 Incremento de 200 ton desde org 7 X.
Res 615-22 Rectificada or Res 661-22 Incremento de 190 ton desde Org 1 X.
Res 903-22 Incremento de 534 ton desde LTP Blumar S.A.
Res 1042-22 Incremento de 500 ton desde Org 51 VIII.
Res 263-22 Incremento de 30 ton desde Org 7 X.
Res 2167-22 Incremento de 245 ton desde Org 30 VIII.
Res 2379-22 Incremento de 500 ton desde Org 67 VIII.
Res 2430-22 Incremento de 220 ton desde Org 1 X.
Res 2431-22 Incremento de 1101 ton desde LTP Blumar S.A. 
Res 2432-22 Incremento de 750 ton desde Org 67 VIII.
Res 2673-22 Incremento de 600 ton desde LTP Blumar S.A.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3417-21
Res 1075-22 Modf Res 3417-21.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01-22 Cede -740 ton hacia Emb XIV.
Res 720-22 Cede -300 ton hacia Emb XIV.
Res 07-22 Cede -1379 ton hacia: 490 ton a Org 5 XIV y 889 ton a Emb XIV.</t>
        </r>
      </text>
    </comment>
    <comment ref="M111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69-22 Cierre cuota.
Res 80-22 Apertura cuota.</t>
        </r>
      </text>
    </comment>
    <comment ref="M112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189-22 Cierre de cuota</t>
        </r>
      </text>
    </comment>
    <comment ref="M113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89-22 Cierre de cuota</t>
        </r>
      </text>
    </comment>
    <comment ref="G114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1293-22 Incremento de 1000 ton desde Org 25 VIII.
Res 07-22 Incremento de 490 ton desde Org 1 XIV.</t>
        </r>
      </text>
    </comment>
    <comment ref="M115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10-22 Cierre de cuota</t>
        </r>
      </text>
    </comment>
    <comment ref="G118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625-22 Cede -817 ton hacia Org 53 VIII.
Res 05-22 Cede -95 ton hacia Emb XIV.</t>
        </r>
      </text>
    </comment>
    <comment ref="G119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1217-22 Cede -174 ton hacia Emb VIII.</t>
        </r>
      </text>
    </comment>
    <comment ref="M120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186-22 Cierre de cuota.</t>
        </r>
      </text>
    </comment>
    <comment ref="G12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1-22 Incremento de 740 Ton desde Org  1  XIV.
Res 542-22 Incremento de 626,4 Ton desde LTP Gonzalo Galdamez.
Res 615-22 Incremento de 190 Ton desde Org  1  X.
Res 661-22 Rectifica Res 615-22.
Res 633-22 Incremento de 363,59 ton desde Org 47 VIII.
Res 635-22 Incremento de 400 ton desde Org 40 VIII.
Res 698-22 Incremento de 939,6 ton desde LTP Mehuin Rey.
Res 720-22 Incremento de 300 ton desde Org 1 XIV.
Res 726-22 Incremento de 170 ton desde LTP Camanchaca Pesca Sur.
Res 791-22 Incremento de 939,6 ton desde LTP Cristian Silva Lorca.
Res 815-22 Incremento de 312,2 ton desde LTP Julio Segundo Saez.
Res 821-22 Incremento de 156,6 ton desde LTP Fabian Monsalve Salas.
Res 822-22 Incremento de 156,6 ton desde LTP Susan Monsalve Salas.
Res 841-22 Incremento de 3380 ton desde LTP Blumar S.A.
Res 903-22 Incremento de 160 ton desde LTP Blumar S.A.
Res 931-22 Incremento de 1625 ton desde Org 17 VIII.
Res 1030-22 Incremento de 388 ton desde Org 25 VIII.
Res 1041-22 Incremento de 267 ton desde Org 59 VIII.
Res 828-22 Incremento de 250 ton desde Org 59 VIII.
Res 1220-22 Incremento de 975 ton desde Org 17 VIII.
Res 1222-22 Incremento de 403 ton desde Org 51 VIII.
Res 1223-22 Incremento de 1499 ton desde Org 4 VIII.
Res 1224-22 Incremento de 450 ton desde Org 40 VIII.
Res 1225-22 Incremento de 2000 ton desde Org 25 VIII.
Res 1294-22 Incremento de 700 ton desde Org 61 VIII.
Res 1483-22 Incremento de 119 ton desde Org 41 VIII.
Res 1484-22 Incremento de 308 ton desde Org 40 VIII.
Res 1486-22 Incremento de 599 ton desde Org 4 VIII.
Res 1487-22 Incremento de 190 ton desde Org 62 VIII.
Res 1512-22 Incremento de 109,080 ton desde LTP Cristian Silva Lorca.
Res 1516-22 Incremento de 670 ton desde LTP Blumar S.A.
Res 1515-22 Incremento de 980 ton desde Org 30 VIII.
Res 1518-22 Incremento de 400 ton desde Org 51 VIII.
Res 1628-22 Incremento de 350 ton desde Org 68 VIII.
Res 1629-22 Incremento de 550 ton desde Org 68 VIII.
Res 1630-22 Incremento de 600 ton desde Org 58 VIII.
Res 1697-22 Incremento de 350 ton desde Org 19 VIII.
Res 1833-22 Deja sin efecto Res 1697-22.
Res 1698-22 Incremento de 280 ton desde Org 19 VIII.
Res 1741-22 Incremento de 550 ton desde Org 17 VIII.
Res 1794-22 Incremento de 18,180 ton desde LTP Susan Monsalve Salas.
Res 1797-22 Incremento de 36,360 ton desde LTP Julio Segundo Saez Muñoz.
Res 1796-22 Incremento de 600 ton desde Org 17 VIII.
Res 1817-22 Incremento de 18,180 ton desde LTP Fabian Monsalve Salas.
Res 1917-22 Incremento de 2050 ton desde LTP Blumar S.A.
Res 1919-22 Incremento de 625 ton desde LTP Blumar S.A.
Res 1936-22 Incremento de 920 ton desde LTP Camanchaca Pësca Sur S.A.
Res 1984-22 Incremento de 560 ton desde Org 30 VIII.
Res 2006-22 Incremento de 205 ton desde LTP Blumar S.A.
Res 2092-22 Incremento de 950 ton desde Org 62 VIII.
Res 2334-22 Incremento de 72,72 ton desde LTP Gonzalo Galdámez Santibañez.
Res 2521-22 Incremento de 314 ton desde LTP Blumar S.A.
Res 07-22 Incremento de 889 ton desde Org 1 XIV.
Res 2697-22 Incremento de 370 ton desde Org 40 VIII.
Res 05-22 Incremento de 95 ton desde Org 9 XIV.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3447-21.
Res 1073-22 Modf Res 3447-21.</t>
        </r>
      </text>
    </comment>
    <comment ref="G124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473-22 Cede -190 ton hacia Org. 19 VIII
Res 615-22 Cede -190 ton hacia Emb XIV
Res 661-22 Rectifica Res 615-22 Cede hacia Emb IX.
Res 2430-22 Cede -220 ton hacia Emb IX.
Res 2698-22 Cede -55 ton hacia Emb VIII.
Res 2699-22 Cede -88,295 ton hacia Emb VIII.</t>
        </r>
      </text>
    </comment>
    <comment ref="G125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513-22 Cede -2500 ton hacia Org. 19 VIII
Res 29-22 Incremento de 62 ton desde Org 6 X.
Res 34-22 Incremento de 244 ton desde Org 3 X.</t>
        </r>
      </text>
    </comment>
    <comment ref="G126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559-22 Cede -252 ton hacia Org. 53 VIII.
Res 659-22 Cede -2300 ton hacia Org 37 VIII.
Res 34-22 Cede -244 ton hacia Org 2 X.</t>
        </r>
      </text>
    </comment>
    <comment ref="G127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451-22 Cede -900 ton hacia Org 19 VIII.
Res 1332-22 Cede -197 ton hacia Org 13 VIII.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261-22 Cede -500 ton hacia Org. 15 VIII
Res 262-22 Cede -200 ton hacia Org. 19 VIII
Res 545-22 Cede -200 ton hacia Emb VIII
Res 1302-22 Modf Res 545-22 Cede -26,11 ton.
Res 1456-22 Cede -200 ton hacia Org 15 VIII.
Res 20-22 Cede -10 ton hacia Org 9 X.</t>
        </r>
      </text>
    </comment>
    <comment ref="G129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452-22 Cede -530 ton hacia Org. 69 VIII
Res 29-22 Cede -62 ton hacia Org 2 X.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260-22 Cede -297 ton hacia Emb VIII.
Res 575-22 Cede -200 ton hacia Emb IX.
Res 263-22 Cede -30 ton hacia Emb IX.
Res 1485-22 Cede -44 ton hacia Org 74 VIII.
Res 21-22 Cede -17 ton hacia Org 8 X.</t>
        </r>
      </text>
    </comment>
    <comment ref="M130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511-22 Cierre de cuota</t>
        </r>
      </text>
    </comment>
    <comment ref="G131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450-22 Cede -151,45 ton a Org 34 VIII, Org 55 VIII, Emb IX y Emb VIII
Res 526-22 Cede -1081,456 ton a Org 55 VIII
Res 1815-22 Cede -310,983 ton hacia Org 55 VIII.
Res 21-22 Incremento de 17 ton desde Org 7 X.</t>
        </r>
      </text>
    </comment>
    <comment ref="G132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514-22 Cede -410 ton hacia Org. 19 VIII
Res 1816-22 Cede -90 ton hacia Org 19 VIII.
Res 20-22 Incremento de 10 ton desde Org 5 X.</t>
        </r>
      </text>
    </comment>
    <comment ref="M133" authorId="2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678-22 Cierre de cuota.</t>
        </r>
      </text>
    </comment>
  </commentList>
</comments>
</file>

<file path=xl/comments5.xml><?xml version="1.0" encoding="utf-8"?>
<comments xmlns="http://schemas.openxmlformats.org/spreadsheetml/2006/main">
  <authors>
    <author>CARLOS FELIPE VALDIVIA PINO</author>
    <author>nperez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281-20
Res. 282-20
Res. 281-20
Res. 282-20
Res. 283-20
Res. 284-20
Res. 294-20
Res. 295-20
Res. 296-20
Res. 297-20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264-20
Res. 265-20
Res. 266-20
Res. 267-20
Res. 268-20
Res. 269-20
Res. 270-20
Res. 271-20
Res. 294-20
Res. 295-20
Res. 296-20
Res. 297-20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272-20
Res. 273-20
Res. 274-20
Res. 285-20
Res. 286-20
Res. 287-20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261-20
Res. 262-20
Res. 263-20
Res. 285-20
Res. 286-20
Res. 287-20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275-20
Res. 276-20
Res. 277-20
Res. 278-20
Res. 279-20
Res. 280-20
Res. 288-20
Res. 289-20
Res. 290-20
Res. 291-20
Res. 292-20
Res. 293-20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288-20
Res. 289-20
Res. 290-20
Res. 291-20
Res. 292-20
Res. 293-20</t>
        </r>
      </text>
    </comment>
    <comment ref="D12" authorId="1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264.
Res 265.</t>
        </r>
      </text>
    </comment>
  </commentList>
</comments>
</file>

<file path=xl/comments6.xml><?xml version="1.0" encoding="utf-8"?>
<comments xmlns="http://schemas.openxmlformats.org/spreadsheetml/2006/main">
  <authors>
    <author>nperez</author>
  </authors>
  <commentList>
    <comment ref="D24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1302-22 Modf Res 545-22.</t>
        </r>
      </text>
    </comment>
    <comment ref="K24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1302-22 Modf Res 545-22.</t>
        </r>
      </text>
    </comment>
    <comment ref="D24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1302-22 Modf Res 545-22.</t>
        </r>
      </text>
    </comment>
    <comment ref="D24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1302-22 Modf Res 545-22.</t>
        </r>
      </text>
    </comment>
    <comment ref="K24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1302-22 Modf Res 545-22.</t>
        </r>
      </text>
    </comment>
    <comment ref="D24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1302-22 Modf Res 545-22.</t>
        </r>
      </text>
    </comment>
    <comment ref="D25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100-22 Modf Res 18-22.</t>
        </r>
      </text>
    </comment>
    <comment ref="K25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100-22 Modf Res 18-22.</t>
        </r>
      </text>
    </comment>
    <comment ref="D25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100-22 Modf Res 18-22.</t>
        </r>
      </text>
    </comment>
    <comment ref="K25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100-22 Modf Res 18-22.</t>
        </r>
      </text>
    </comment>
    <comment ref="D30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718-22 Rectifica Res 627-22.</t>
        </r>
      </text>
    </comment>
    <comment ref="H30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718-22 Rectifica Res 627-22.</t>
        </r>
      </text>
    </comment>
    <comment ref="D308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718-22 Rectifica Res 627-22.</t>
        </r>
      </text>
    </comment>
    <comment ref="H308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718-22 Rectifica Res 627-22.</t>
        </r>
      </text>
    </comment>
    <comment ref="D41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1828-22 Modf Res 712-22.</t>
        </r>
      </text>
    </comment>
    <comment ref="K41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1828-22 Modf Res 712-22.</t>
        </r>
      </text>
    </comment>
    <comment ref="D41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1828-22 Modf Res 712-22.</t>
        </r>
      </text>
    </comment>
    <comment ref="K41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1828-22 Modf Res 712-22.</t>
        </r>
      </text>
    </comment>
    <comment ref="D42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K42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D43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K43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D43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K43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D43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K43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1832-22 Modf Res 726-22.</t>
        </r>
      </text>
    </comment>
    <comment ref="D55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6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7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8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5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6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6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62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6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6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6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1047-22 Deja sin efecto Res 845-22.</t>
        </r>
      </text>
    </comment>
    <comment ref="D58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101-22 Deja sin efecto Res 40-22.</t>
        </r>
      </text>
    </comment>
    <comment ref="K58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101-22 Deja sin efecto Res 40-22.</t>
        </r>
      </text>
    </comment>
    <comment ref="D58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101-22 Deja sin efecto Res 40-22.</t>
        </r>
      </text>
    </comment>
    <comment ref="K585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101-22 Deja sin efecto Res 40-22.</t>
        </r>
      </text>
    </comment>
    <comment ref="G88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355-23 Modf Res 2658-22.</t>
        </r>
      </text>
    </comment>
    <comment ref="G884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355-23 Modf Res 2658-22.</t>
        </r>
      </text>
    </comment>
  </commentList>
</comments>
</file>

<file path=xl/comments7.xml><?xml version="1.0" encoding="utf-8"?>
<comments xmlns="http://schemas.openxmlformats.org/spreadsheetml/2006/main">
  <authors>
    <author>nperez</author>
  </authors>
  <commentList>
    <comment ref="D17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661-22 Rectfica Res 615-22.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661-22 Rectfica Res 615-22.</t>
        </r>
      </text>
    </comment>
    <comment ref="D12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4-22 Modf Res 02-22 no era 2 si no que 3.</t>
        </r>
      </text>
    </comment>
    <comment ref="D12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1833-22 Deja sin efecto Res 1697-22.</t>
        </r>
      </text>
    </comment>
    <comment ref="L129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1833-22 Deja sin efecto Res 1697-22.</t>
        </r>
      </text>
    </comment>
    <comment ref="D13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1833-22 Deja sin efecto Res 1697-22.</t>
        </r>
      </text>
    </comment>
    <comment ref="L130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1833-22 Deja sin efecto Res 1697-22.</t>
        </r>
      </text>
    </comment>
  </commentList>
</comments>
</file>

<file path=xl/comments8.xml><?xml version="1.0" encoding="utf-8"?>
<comments xmlns="http://schemas.openxmlformats.org/spreadsheetml/2006/main">
  <authors>
    <author>CARLOS FELIPE VALDIVIA PINO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390-2022 Modifica Res. 32-2022 reemplazando embarcación Don Nino I por Doña Sabina (RPA: 222596) </t>
        </r>
      </text>
    </comment>
  </commentList>
</comments>
</file>

<file path=xl/sharedStrings.xml><?xml version="1.0" encoding="utf-8"?>
<sst xmlns="http://schemas.openxmlformats.org/spreadsheetml/2006/main" count="11255" uniqueCount="804">
  <si>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</si>
  <si>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</si>
  <si>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</si>
  <si>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</si>
  <si>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</si>
  <si>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</si>
  <si>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</si>
  <si>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</si>
  <si>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</si>
  <si>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</si>
  <si>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CAMANCHACA S.A.CIA PESQ.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</si>
  <si>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</si>
  <si>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</si>
  <si>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</si>
  <si>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</si>
  <si>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</si>
  <si>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</si>
  <si>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</si>
  <si>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</si>
  <si>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</si>
  <si>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</si>
  <si>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</si>
  <si>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</si>
  <si>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</si>
  <si>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</si>
  <si>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</si>
  <si>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</si>
  <si>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</si>
  <si>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</si>
  <si>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</si>
  <si>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</si>
  <si>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SUSAN MONSALVE SALAS</t>
  </si>
  <si>
    <t>PROCESOS TECNOLOGICOS DEL BIOBIO S.A.</t>
  </si>
  <si>
    <t>PESQ. LEPE LTDA.</t>
  </si>
  <si>
    <t>COMERCIAL Y CONSERVERA SAN LAZARO LTDA.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</si>
  <si>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</si>
  <si>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</si>
  <si>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</si>
  <si>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</si>
  <si>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</si>
  <si>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</si>
  <si>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</si>
  <si>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</si>
  <si>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</si>
  <si>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</si>
  <si>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</si>
  <si>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</si>
  <si>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</si>
  <si>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</si>
  <si>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</si>
  <si>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</si>
  <si>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</si>
  <si>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</si>
  <si>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</si>
  <si>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</si>
  <si>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</si>
  <si>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</si>
  <si>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</si>
  <si>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</si>
  <si>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</si>
  <si>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</si>
  <si>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</si>
  <si>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</si>
  <si>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</si>
  <si>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>Asociación Gremial de Productores Pelágicos Artesanales de las Caletas de Talcahuano y San Vicente de la VIII Región GEMAR A.G., Registro de Asociaciones Gremiales 464-8</t>
  </si>
  <si>
    <t>Cooperativa de Pescadores Sol de Israel Limitada "COOPES LTDA". Rol 5483</t>
  </si>
  <si>
    <t>Cooperativa de Pescadores y Armadores Artesanales de Lota "GEVIMAR". Registro de Cooperativa Rol 4465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</si>
  <si>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</si>
  <si>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</si>
  <si>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</si>
  <si>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</si>
  <si>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</si>
  <si>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</si>
  <si>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</si>
  <si>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</si>
  <si>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</si>
  <si>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</si>
  <si>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</si>
  <si>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</si>
  <si>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</si>
  <si>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</si>
  <si>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</si>
  <si>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</si>
  <si>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</si>
  <si>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</si>
  <si>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</si>
  <si>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</si>
  <si>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</si>
  <si>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</si>
  <si>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</si>
  <si>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</si>
  <si>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</si>
  <si>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>Sindicato de Trabajadores Independientes Pescadores de la Caleta Cocholgüe, Registro Sindical Único 08.06.0023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</si>
  <si>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</si>
  <si>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</si>
  <si>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</si>
  <si>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</si>
  <si>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</si>
  <si>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</si>
  <si>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</si>
  <si>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</si>
  <si>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>Sindicato de Trabajadores Independientes, Tripulantes y Armadores de Botes, Pescadores Artesanales, Algueros, Mariscadores y Actividades conexas de la caleta Tumbes de la comuna de Talcahuano. Registro Sindical Único 08.050.0495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</si>
  <si>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</si>
  <si>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</si>
  <si>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</si>
  <si>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</si>
  <si>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</si>
  <si>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</si>
  <si>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AGAMAR.  RAG 156-10</t>
  </si>
  <si>
    <t>PESCA AUSTRAL.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</si>
  <si>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</si>
  <si>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</si>
  <si>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</si>
  <si>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</si>
  <si>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</si>
  <si>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</si>
  <si>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AG APEVAL. RAG 29-14</t>
  </si>
  <si>
    <t xml:space="preserve"> AG ACERVAL. RAG 207-10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</si>
  <si>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</si>
  <si>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</si>
  <si>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</si>
  <si>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</si>
  <si>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</si>
  <si>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</si>
  <si>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</si>
  <si>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</si>
  <si>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</si>
  <si>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</si>
  <si>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</si>
  <si>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</si>
  <si>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</si>
  <si>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ASOCIACION GREMIAL AGRAPES DE SAN ANTONIO "AG AGRAPESCA" RAG 4399</t>
  </si>
  <si>
    <t>STI MUELLE SUD AMERICANA. RSU 05.01.0462</t>
  </si>
  <si>
    <t>Cuota Residual V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</si>
  <si>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</si>
  <si>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</si>
  <si>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</si>
  <si>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</si>
  <si>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</si>
  <si>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</si>
  <si>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</si>
  <si>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</si>
  <si>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</si>
  <si>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</si>
  <si>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</si>
  <si>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</si>
  <si>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</si>
  <si>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</si>
  <si>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</si>
  <si>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</si>
  <si>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</si>
  <si>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</si>
  <si>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</si>
  <si>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</si>
  <si>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</si>
  <si>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</si>
  <si>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</si>
  <si>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Captura Anchoveta</t>
  </si>
  <si>
    <t>Captura Sardina comun</t>
  </si>
  <si>
    <t>Cargos por exceso</t>
  </si>
  <si>
    <t>Saldo Sardina común</t>
  </si>
  <si>
    <t>Saldo Mixto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</si>
  <si>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</si>
  <si>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</si>
  <si>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</si>
  <si>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</si>
  <si>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</si>
  <si>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</si>
  <si>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</si>
  <si>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</si>
  <si>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</si>
  <si>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</si>
  <si>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</si>
  <si>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</si>
  <si>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</si>
  <si>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</si>
  <si>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</si>
  <si>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</si>
  <si>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</si>
  <si>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</si>
  <si>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</si>
  <si>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</si>
  <si>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</si>
  <si>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</si>
  <si>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</si>
  <si>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 xml:space="preserve">Adjudicatario </t>
  </si>
  <si>
    <t>Incomar</t>
  </si>
  <si>
    <t>Lota Seafood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</si>
  <si>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</si>
  <si>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</si>
  <si>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</si>
  <si>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</si>
  <si>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</si>
  <si>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</si>
  <si>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</si>
  <si>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 xml:space="preserve">Cesiones Individuales 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</si>
  <si>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</si>
  <si>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</si>
  <si>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</si>
  <si>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</si>
  <si>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</si>
  <si>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</si>
  <si>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</si>
  <si>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</si>
  <si>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</si>
  <si>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</si>
  <si>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</si>
  <si>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 xml:space="preserve">ID de la Org. Cedente </t>
  </si>
  <si>
    <t>Proveniente</t>
  </si>
  <si>
    <t xml:space="preserve">ID de la Org. Cedente/Nombre del Cedente </t>
  </si>
  <si>
    <t>Region nave cesionaria</t>
  </si>
  <si>
    <t>XIV</t>
  </si>
  <si>
    <t>IX</t>
  </si>
  <si>
    <t>Exceso Ton IC</t>
  </si>
  <si>
    <t>INVERSIONES PESQUERA PEDRO IRIGOYEN LIMITADA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</si>
  <si>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</si>
  <si>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</si>
  <si>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</si>
  <si>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</si>
  <si>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</si>
  <si>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</si>
  <si>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</si>
  <si>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</si>
  <si>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</si>
  <si>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</si>
  <si>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</si>
  <si>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</si>
  <si>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</si>
  <si>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</si>
  <si>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</si>
  <si>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</si>
  <si>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</si>
  <si>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Enero</t>
  </si>
  <si>
    <t>Diciembre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</si>
  <si>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</si>
  <si>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</si>
  <si>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</si>
  <si>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</si>
  <si>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</si>
  <si>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</si>
  <si>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</si>
  <si>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</si>
  <si>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</si>
  <si>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</si>
  <si>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</si>
  <si>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</si>
  <si>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</si>
  <si>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</si>
  <si>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</si>
  <si>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</si>
  <si>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</si>
  <si>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</si>
  <si>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</si>
  <si>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</si>
  <si>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</si>
  <si>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</si>
  <si>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Cesiones Individuales y Colectivas</t>
  </si>
  <si>
    <t>Resolución</t>
  </si>
  <si>
    <t>Embarcación</t>
  </si>
  <si>
    <t>Cuota</t>
  </si>
  <si>
    <t>Asociación Gremial de Pescadores Artesanales BLUE A.G. – BLUE A.G. Registro de Asociaciones Gremiales RAG N° 661-8</t>
  </si>
  <si>
    <t>Sociedad Cooperativa Benesino Limitada ROL 5871</t>
  </si>
  <si>
    <t>Sindicato  de Trabajadores  Independientes de Pescadores Montemar, de la Comuna de San Antonio, provincia de San Antonio, V region. Registro Único Sindical  N° 05040117</t>
  </si>
  <si>
    <t>Sindicato de Trabajadores Independientes Pescadores Artesanales de Caleta Higuerilla, Concon. Registro Unico Sindical N° 5060048</t>
  </si>
  <si>
    <t>GABRIELA MONSALVE CISTERNAS</t>
  </si>
  <si>
    <t>CRISTIAN SILVA TUDELA</t>
  </si>
  <si>
    <t>GONZALO GALDAMEZ SANTIBAÑEZ</t>
  </si>
  <si>
    <t>AGARMAR.  RAG 156-10</t>
  </si>
  <si>
    <t>Del Sur</t>
  </si>
  <si>
    <t>Imputacion Conjunta</t>
  </si>
  <si>
    <t>Cuota efectiva conjunta</t>
  </si>
  <si>
    <t>Saldo conjunto</t>
  </si>
  <si>
    <t>Saldo anchoveta</t>
  </si>
  <si>
    <t>Saldo sardina</t>
  </si>
  <si>
    <t>Sardina comun</t>
  </si>
  <si>
    <t>Capello</t>
  </si>
  <si>
    <t>Asociación Gremial de Armadores, Pescadores Artesanales y Actividades Afines, SIMBA A.G. Registro de Asociaciones Gremiales RAG N° 679-8</t>
  </si>
  <si>
    <t>Asociación Gremial de Armadores, Pescadores Artesanales y Actividades Afines, CHALLWAFE A.G. Registro de Asociaciones Gremiales RAG N° 674-8</t>
  </si>
  <si>
    <t>Asociación Gremial de Armadores, Pescadores Artesanales y Actividades Afines, de las Caletas de Coronel y Lota de la Región del Biobío PESCA SUR A.G. Registro de Asociaciones Gremiales RAG N° 680-8</t>
  </si>
  <si>
    <t>Sindicato de Trabajadores Independientes de Pescadores Artesanales y Armadores, Buzos mariscadores, Recolectores de orilla, Acuicultores y Ramos Afines de la Pesca Artesanal "GRAN GOLFO DE ARAUCO" Registro Sindical Único R.S.U N° 08.04.0189</t>
  </si>
  <si>
    <t>Don Luis Alberto</t>
  </si>
  <si>
    <t>San Andres</t>
  </si>
  <si>
    <t>ASOCIACION GREMIAL AGRAPES DE SAN ANTONIO "AG AGRAPES" RAG 4399</t>
  </si>
  <si>
    <t>SANDRA GAJARDO PALMA</t>
  </si>
  <si>
    <t>-</t>
  </si>
  <si>
    <t>Biobío</t>
  </si>
  <si>
    <t>Captura Anchoveta(T)</t>
  </si>
  <si>
    <t>Captura Sardina común (T)</t>
  </si>
  <si>
    <t>Saldo Sardina común (T)</t>
  </si>
  <si>
    <t>SOCIEDAD PESQUERA AL SUR DE LA ISLA LIMITADA</t>
  </si>
  <si>
    <t>RAUL MONSALVE CISTERNAS</t>
  </si>
  <si>
    <t>Saldo Anchoveta (T)</t>
  </si>
  <si>
    <t>THOR FISHERIES CHILE SpA</t>
  </si>
  <si>
    <t>Captura Conjunta</t>
  </si>
  <si>
    <t>Cargos por excesos conjuntos</t>
  </si>
  <si>
    <t>Saldo Conjunto</t>
  </si>
  <si>
    <t>Imputación Conjunta</t>
  </si>
  <si>
    <t>Cargos por exceso conjuntos</t>
  </si>
  <si>
    <t>Captura Sardina</t>
  </si>
  <si>
    <t>ALFONSO LEPE ROBLES</t>
  </si>
  <si>
    <t>Anchoveta IX</t>
  </si>
  <si>
    <t>Sardina IX</t>
  </si>
  <si>
    <t>Anchoveta XIV</t>
  </si>
  <si>
    <t>Sardina XIV</t>
  </si>
  <si>
    <t>RESUMEN CONTROL DE CUOTA ANCHOVETA Y SARDINA COMÚN V-X 2022</t>
  </si>
  <si>
    <t>CONTROL DE CUOTAS SARDINA COMUN ARTESANAL V-X 2022</t>
  </si>
  <si>
    <t>CONTROL DE CUOTA REMANENTE ANCHOVETA Y SARDINA COMUN ARTESANAL V-X 2022</t>
  </si>
  <si>
    <t>IMPUTACION CONJUNTA CUOTA ANCHOVETA Y SARDINA COMÚN AÑO 2022</t>
  </si>
  <si>
    <t>IMPUTACIÓN CONJUNTA CUOTA ANCHOVETA Y SARDINA COMÚN VIII REGIÓN AÑO 2022</t>
  </si>
  <si>
    <t>CONTROL DE CUOTAS ANCHOVETA ARTESANAL V-X 2022</t>
  </si>
  <si>
    <t>CONTROL DE CUOTAS CONSUMO HUMANO AÑO 2022</t>
  </si>
  <si>
    <t>CONTROL DE CUOTAS CUOTA IMPREVISTOS AÑO 2022</t>
  </si>
  <si>
    <t>CONTROL DE CUOTA REMANENTE EMBARCACIONES ANCHOVETA Y SARDINA COMÚN ARTESANAL V-X 2022</t>
  </si>
  <si>
    <t>CONTROL DE CUOTAS PESCA DE INVESTIGACIÓN AÑO 2022</t>
  </si>
  <si>
    <t>V - VIII</t>
  </si>
  <si>
    <t>VIII - XIV</t>
  </si>
  <si>
    <t>Pehuenche</t>
  </si>
  <si>
    <t>V - XIV</t>
  </si>
  <si>
    <t>Sindicato de Pescadores y Armadores Independientes de Embarcaciones Menores Artesanales de la Caleta Tumbes "SIPESAR" (RSU N° 08.05.0696)</t>
  </si>
  <si>
    <t xml:space="preserve">Sindicato de Trabajadores Independientes Pescadores, Armadores Artesanales y Ramos Afines "Mar de Fondo del Biobío", (RSU N°08.05.0700) </t>
  </si>
  <si>
    <t>Sindicato Independiente de Pescadores Artesanales Activos Coronel (RSU N° 08.07.0512)</t>
  </si>
  <si>
    <t>Sindicato Simentados en la Roca de Laraquete (RSU N° 08.16.0205)</t>
  </si>
  <si>
    <t>Sindicato de Trabajadores Independientes Pescadores, Armadores Artesanales y Ramos Afines "Mar de Fondo del Biobío", (RSU N° 08.05.0700)</t>
  </si>
  <si>
    <t>IC 40%</t>
  </si>
  <si>
    <t>Sindicato de Pescadores y Armadores Independientes de Embarcaciones Menores Artesanales de la Caleta Tumbes "SIPESAR" (RSU N°08.05.0696)</t>
  </si>
  <si>
    <t>Río Jordan IV</t>
  </si>
  <si>
    <t>XVI</t>
  </si>
  <si>
    <t>Cesiones Ind y Colec VIII Región del Biobío</t>
  </si>
  <si>
    <t>Cesiones Ind y Colec IX Región de la Araucanía</t>
  </si>
  <si>
    <t>Cesiones Ind y Colec XIV Región de los Rios</t>
  </si>
  <si>
    <t>45 (VIII)</t>
  </si>
  <si>
    <t>Individual</t>
  </si>
  <si>
    <t>DZP VIII</t>
  </si>
  <si>
    <t>Art-Art</t>
  </si>
  <si>
    <t>Juan Antonio M</t>
  </si>
  <si>
    <t>Colectiva</t>
  </si>
  <si>
    <t>Don Guillermo I</t>
  </si>
  <si>
    <t>Lealtad I</t>
  </si>
  <si>
    <t>7 (X)</t>
  </si>
  <si>
    <t>Domenica</t>
  </si>
  <si>
    <t>Rueli</t>
  </si>
  <si>
    <t>2 (V)</t>
  </si>
  <si>
    <t>Ind-Art</t>
  </si>
  <si>
    <t>Isaac</t>
  </si>
  <si>
    <t>Adriana V</t>
  </si>
  <si>
    <t>Don Eliseo</t>
  </si>
  <si>
    <t>Maria Bristela</t>
  </si>
  <si>
    <t>Don Angel</t>
  </si>
  <si>
    <t>Eloisa II</t>
  </si>
  <si>
    <t>29 (VIII)</t>
  </si>
  <si>
    <t>Arleth Antonia</t>
  </si>
  <si>
    <t>Región de O'Higgins</t>
  </si>
  <si>
    <t>Sindicato Independiente de Pescadores Artesanales, Tripulantes Artesanales de Cerco y Ramos Conexos. RSU 8070220</t>
  </si>
  <si>
    <t>Cuota Remanente Anchoveta  (T)</t>
  </si>
  <si>
    <t>Cuota Remanente Sardina común (T)</t>
  </si>
  <si>
    <t>Abraham</t>
  </si>
  <si>
    <t>Abraham Antonio</t>
  </si>
  <si>
    <t>Achernar</t>
  </si>
  <si>
    <t>Agustin Ignacio</t>
  </si>
  <si>
    <t>Amparito I</t>
  </si>
  <si>
    <t>Angelina</t>
  </si>
  <si>
    <t>Anselmo I</t>
  </si>
  <si>
    <t>Antares V</t>
  </si>
  <si>
    <t>Armando S</t>
  </si>
  <si>
    <t>Azariel</t>
  </si>
  <si>
    <t>Bio Bio</t>
  </si>
  <si>
    <t>Canaan</t>
  </si>
  <si>
    <t>Canopus III</t>
  </si>
  <si>
    <t>Carlos Emilio</t>
  </si>
  <si>
    <t>Carmen Loreto</t>
  </si>
  <si>
    <t>Carpintero</t>
  </si>
  <si>
    <t>Cayumanqui</t>
  </si>
  <si>
    <t>Cecilia III</t>
  </si>
  <si>
    <t>Chango</t>
  </si>
  <si>
    <t>Chumingo</t>
  </si>
  <si>
    <t>Diego Esteban</t>
  </si>
  <si>
    <t>Don Armando</t>
  </si>
  <si>
    <t>Don Arnaldo</t>
  </si>
  <si>
    <t>Don Bruno</t>
  </si>
  <si>
    <t>Don Daniel I</t>
  </si>
  <si>
    <t>Don Demetrio III</t>
  </si>
  <si>
    <t>Don Emilio</t>
  </si>
  <si>
    <t>Don Ernesto I</t>
  </si>
  <si>
    <t>Don Goyo</t>
  </si>
  <si>
    <t>Don Hugo</t>
  </si>
  <si>
    <t>Don Ismael</t>
  </si>
  <si>
    <t>Don Jaime</t>
  </si>
  <si>
    <t>Don Joaquin</t>
  </si>
  <si>
    <t>Don Joaquin II</t>
  </si>
  <si>
    <t>Don Julian</t>
  </si>
  <si>
    <t>Don Leonel</t>
  </si>
  <si>
    <t>Don Lolo</t>
  </si>
  <si>
    <t>Don Manuel R</t>
  </si>
  <si>
    <t>Don Mateo</t>
  </si>
  <si>
    <t>Don Patricio I</t>
  </si>
  <si>
    <t>Don Pedro I</t>
  </si>
  <si>
    <t>Don Ricardo II</t>
  </si>
  <si>
    <t>Don Robert</t>
  </si>
  <si>
    <t>Don Rodrigo B</t>
  </si>
  <si>
    <t>Don Tato</t>
  </si>
  <si>
    <t>Don Tito R</t>
  </si>
  <si>
    <t>Don Valentin</t>
  </si>
  <si>
    <t>Doña Coca</t>
  </si>
  <si>
    <t>Doña Gladys II</t>
  </si>
  <si>
    <t>Doña Isabel I</t>
  </si>
  <si>
    <t>Doña Jova 2DA</t>
  </si>
  <si>
    <t>Doña Margarita C</t>
  </si>
  <si>
    <t>El Bela</t>
  </si>
  <si>
    <t>El Linco I</t>
  </si>
  <si>
    <t>El Niego I</t>
  </si>
  <si>
    <t>Emelinda</t>
  </si>
  <si>
    <t>Emilio IV</t>
  </si>
  <si>
    <t>Esperanza en Dios</t>
  </si>
  <si>
    <t>Estefania II</t>
  </si>
  <si>
    <t>Estrella de David</t>
  </si>
  <si>
    <t>Esturion</t>
  </si>
  <si>
    <t>Florencia</t>
  </si>
  <si>
    <t>Getsemani II</t>
  </si>
  <si>
    <t>Gianfranco</t>
  </si>
  <si>
    <t>Gloria I</t>
  </si>
  <si>
    <t>Herminia I</t>
  </si>
  <si>
    <t>Huracan I</t>
  </si>
  <si>
    <t>Jacob-Israel</t>
  </si>
  <si>
    <t>Jairo Eli</t>
  </si>
  <si>
    <t>Jorge Hernan M</t>
  </si>
  <si>
    <t>Jose Sebastian</t>
  </si>
  <si>
    <t>Juan Anselmo</t>
  </si>
  <si>
    <t>Juan Marcelo</t>
  </si>
  <si>
    <t>Kormoran 2DO</t>
  </si>
  <si>
    <t>La Doncella I</t>
  </si>
  <si>
    <t>La Victoria</t>
  </si>
  <si>
    <t>Lago Ranco</t>
  </si>
  <si>
    <t>Lonquimay</t>
  </si>
  <si>
    <t>Lorenzo</t>
  </si>
  <si>
    <t>Mar de Alaska</t>
  </si>
  <si>
    <t>Mar de Liguria</t>
  </si>
  <si>
    <t>Mar Segundo</t>
  </si>
  <si>
    <t>Marbella II</t>
  </si>
  <si>
    <t>Marco Polo</t>
  </si>
  <si>
    <t>Maria Jesus I</t>
  </si>
  <si>
    <t>Maria Jesus III</t>
  </si>
  <si>
    <t>Maricia</t>
  </si>
  <si>
    <t>Martin Renato</t>
  </si>
  <si>
    <t>Marvento</t>
  </si>
  <si>
    <t>Marwejuan</t>
  </si>
  <si>
    <t>Master I</t>
  </si>
  <si>
    <t>Matias</t>
  </si>
  <si>
    <t>Matias Nicolas</t>
  </si>
  <si>
    <t>Matias R</t>
  </si>
  <si>
    <t>Matilda</t>
  </si>
  <si>
    <t>Mauricio Ignacio</t>
  </si>
  <si>
    <t>Mesana</t>
  </si>
  <si>
    <t>Nagasaki</t>
  </si>
  <si>
    <t>Nazareth II</t>
  </si>
  <si>
    <t>Nebraska</t>
  </si>
  <si>
    <t>Nely Nicole II</t>
  </si>
  <si>
    <t>Novia Del Mar</t>
  </si>
  <si>
    <t>Odiseo II</t>
  </si>
  <si>
    <t>Ovnis</t>
  </si>
  <si>
    <t>Papi Alfredo</t>
  </si>
  <si>
    <t>Paulina M II</t>
  </si>
  <si>
    <t>Pedro Jose</t>
  </si>
  <si>
    <t>Pituco</t>
  </si>
  <si>
    <t>Poseidon II</t>
  </si>
  <si>
    <t>Punta Verde I</t>
  </si>
  <si>
    <t>Quimera</t>
  </si>
  <si>
    <t>Raul Cesar</t>
  </si>
  <si>
    <t>Raul M</t>
  </si>
  <si>
    <t>Relampago</t>
  </si>
  <si>
    <t>Rey David I</t>
  </si>
  <si>
    <t>Ricardo Jesus</t>
  </si>
  <si>
    <t>Rimalfredan II</t>
  </si>
  <si>
    <t>Rio Jordan IV</t>
  </si>
  <si>
    <t>Rio Jordan X</t>
  </si>
  <si>
    <t>Rio Jordan XI</t>
  </si>
  <si>
    <t>Rio Loa I</t>
  </si>
  <si>
    <t>Rio Maipo II</t>
  </si>
  <si>
    <t>Sandrita I</t>
  </si>
  <si>
    <t>Saray Esmeralda-M</t>
  </si>
  <si>
    <t>Sergio III</t>
  </si>
  <si>
    <t>Shimane</t>
  </si>
  <si>
    <t>Sixto Abraham</t>
  </si>
  <si>
    <t>Sotileza</t>
  </si>
  <si>
    <t>Tamarugal</t>
  </si>
  <si>
    <t>Tata Conco</t>
  </si>
  <si>
    <t>Teresita II</t>
  </si>
  <si>
    <t>Tio Chito</t>
  </si>
  <si>
    <t>Titan Del Mar</t>
  </si>
  <si>
    <t>Tome II</t>
  </si>
  <si>
    <t>Tsunami S</t>
  </si>
  <si>
    <t>Ventisquero</t>
  </si>
  <si>
    <t>Veronica Alejandra</t>
  </si>
  <si>
    <t>Victor Guillermo</t>
  </si>
  <si>
    <t>Yenny</t>
  </si>
  <si>
    <t>Yeya I</t>
  </si>
  <si>
    <t>Yolanda S</t>
  </si>
  <si>
    <t>Yoshira</t>
  </si>
  <si>
    <t>Cuota Remanente Sardina común  (T)</t>
  </si>
  <si>
    <t>Vivicita I</t>
  </si>
  <si>
    <t>Jean Carlos</t>
  </si>
  <si>
    <t>Joaquin Isaac</t>
  </si>
  <si>
    <t>Don Beto IV</t>
  </si>
  <si>
    <t>Susana II</t>
  </si>
  <si>
    <t>Gaviota I</t>
  </si>
  <si>
    <t>Don Sixto</t>
  </si>
  <si>
    <t>Eden I</t>
  </si>
  <si>
    <t>Rebequita 1°</t>
  </si>
  <si>
    <t>Sixto Abraham I</t>
  </si>
  <si>
    <t>Don Eleno</t>
  </si>
  <si>
    <t>Don Pascual II</t>
  </si>
  <si>
    <t>Don Augusto</t>
  </si>
  <si>
    <t>Toconao</t>
  </si>
  <si>
    <t>Neuquen</t>
  </si>
  <si>
    <t>Jorge Andres</t>
  </si>
  <si>
    <t>Brenda Esmeralda</t>
  </si>
  <si>
    <t>Andrea C</t>
  </si>
  <si>
    <t>Adriana IX</t>
  </si>
  <si>
    <t>Adriana X</t>
  </si>
  <si>
    <t>Carlos Patricio</t>
  </si>
  <si>
    <t>Sra. Marioly</t>
  </si>
  <si>
    <t>Mar de Bering</t>
  </si>
  <si>
    <t>Camila Antonella 1</t>
  </si>
  <si>
    <t>Camila Antonella 2</t>
  </si>
  <si>
    <t>Constanza M I</t>
  </si>
  <si>
    <t>Adriana</t>
  </si>
  <si>
    <t>Enzo Nicolas I</t>
  </si>
  <si>
    <t>Jerusalen 2</t>
  </si>
  <si>
    <t>Adriana VIII</t>
  </si>
  <si>
    <t>Gianluca</t>
  </si>
  <si>
    <t>Florina I</t>
  </si>
  <si>
    <t>Don Lucho III</t>
  </si>
  <si>
    <t>Don Luis Alberto II</t>
  </si>
  <si>
    <t>Don Kako</t>
  </si>
  <si>
    <t>Don Benja</t>
  </si>
  <si>
    <t>Pedro L</t>
  </si>
  <si>
    <t>Socoroma II</t>
  </si>
  <si>
    <t>Socoroma III</t>
  </si>
  <si>
    <t>Misionera III</t>
  </si>
  <si>
    <t>Benjamin M</t>
  </si>
  <si>
    <t>Don Miguel</t>
  </si>
  <si>
    <t>Don Miguel II</t>
  </si>
  <si>
    <t>Turimar II</t>
  </si>
  <si>
    <t>Turimar III</t>
  </si>
  <si>
    <t>Maria Trinidad</t>
  </si>
  <si>
    <t>Josue Segundo</t>
  </si>
  <si>
    <t>Maria Isabel</t>
  </si>
  <si>
    <t>Don Nene</t>
  </si>
  <si>
    <t>Paulina M</t>
  </si>
  <si>
    <t>Don Santiago</t>
  </si>
  <si>
    <t>Don Luis D</t>
  </si>
  <si>
    <t>Cristian Antonio</t>
  </si>
  <si>
    <t>Josefa Antonia</t>
  </si>
  <si>
    <t>Antonella I</t>
  </si>
  <si>
    <t>Osframa</t>
  </si>
  <si>
    <t>Palmi II</t>
  </si>
  <si>
    <t>Rio Queule I</t>
  </si>
  <si>
    <t>Rio Tolten I</t>
  </si>
  <si>
    <t>Benjamin</t>
  </si>
  <si>
    <t>Claudio I</t>
  </si>
  <si>
    <t>Don Cholito</t>
  </si>
  <si>
    <t>Feidipides</t>
  </si>
  <si>
    <t>Feros II</t>
  </si>
  <si>
    <t>Isaac II</t>
  </si>
  <si>
    <t>Marbella</t>
  </si>
  <si>
    <t>Orka</t>
  </si>
  <si>
    <t>Punta Brava</t>
  </si>
  <si>
    <t>Aguila Real</t>
  </si>
  <si>
    <t>Alberto M</t>
  </si>
  <si>
    <t>Samaritano</t>
  </si>
  <si>
    <t>Lascar II</t>
  </si>
  <si>
    <t>Araucanía</t>
  </si>
  <si>
    <t>Los Ríos</t>
  </si>
  <si>
    <t>Guajache II</t>
  </si>
  <si>
    <t>Gringo Pablo II</t>
  </si>
  <si>
    <t>Don Nino I</t>
  </si>
  <si>
    <t>III</t>
  </si>
  <si>
    <t>II</t>
  </si>
  <si>
    <t xml:space="preserve">Anchoveta </t>
  </si>
  <si>
    <t>40 (VIII)</t>
  </si>
  <si>
    <t>08/02/2022-09/05/2022</t>
  </si>
  <si>
    <t>05/02/2022-06/05/2022</t>
  </si>
  <si>
    <t>1 (XIV)</t>
  </si>
  <si>
    <t>DZP IX-XIV</t>
  </si>
  <si>
    <t>Rolando</t>
  </si>
  <si>
    <t>5 (VIII)</t>
  </si>
  <si>
    <t>49 (VIII)</t>
  </si>
  <si>
    <t>8 (X)</t>
  </si>
  <si>
    <t>Don Juan C</t>
  </si>
  <si>
    <t xml:space="preserve">Diego Esteban </t>
  </si>
  <si>
    <t>Eben Ezer III</t>
  </si>
  <si>
    <t>Don Dionisio II</t>
  </si>
  <si>
    <t xml:space="preserve">Quimera </t>
  </si>
  <si>
    <t xml:space="preserve">Doña Flor </t>
  </si>
  <si>
    <t>Josefa I</t>
  </si>
  <si>
    <t>Don Anselmo II</t>
  </si>
  <si>
    <t xml:space="preserve">Matias  </t>
  </si>
  <si>
    <t>Ana Belen</t>
  </si>
  <si>
    <t>Sra. Carolina</t>
  </si>
  <si>
    <t>Rey Matias</t>
  </si>
  <si>
    <t>Maria Bernarda II</t>
  </si>
  <si>
    <t>Lidia C</t>
  </si>
  <si>
    <t>Puerto Ballarta</t>
  </si>
  <si>
    <t xml:space="preserve">El Bela </t>
  </si>
  <si>
    <t>Jonnathan</t>
  </si>
  <si>
    <t>Alonso</t>
  </si>
  <si>
    <t xml:space="preserve">Don Miguel </t>
  </si>
  <si>
    <t>Doncella II</t>
  </si>
  <si>
    <t>Bemjamin M</t>
  </si>
  <si>
    <t>Bella Marina</t>
  </si>
  <si>
    <t>Rayo II</t>
  </si>
  <si>
    <t>Victor Rene</t>
  </si>
  <si>
    <t>Aram I</t>
  </si>
  <si>
    <t>Rey de Reyes</t>
  </si>
  <si>
    <t>Monte Gerezin</t>
  </si>
  <si>
    <t>Blanca Estela</t>
  </si>
  <si>
    <t xml:space="preserve">Lorenzo </t>
  </si>
  <si>
    <t xml:space="preserve">Don Kako </t>
  </si>
  <si>
    <t>Don Mañe</t>
  </si>
  <si>
    <t>Juanita</t>
  </si>
  <si>
    <t>Don Coquera</t>
  </si>
  <si>
    <t>Don Mati I</t>
  </si>
  <si>
    <t>La Consuelito</t>
  </si>
  <si>
    <t>Sergio Javier</t>
  </si>
  <si>
    <t>Lauca</t>
  </si>
  <si>
    <t>Aida Rosa</t>
  </si>
  <si>
    <t>Alexander II</t>
  </si>
  <si>
    <t>Mariela III</t>
  </si>
  <si>
    <t>Ernesto II</t>
  </si>
  <si>
    <t>Camila David</t>
  </si>
  <si>
    <t>Halcon I</t>
  </si>
  <si>
    <t>El Abuelo</t>
  </si>
  <si>
    <t>4 (VIII)</t>
  </si>
  <si>
    <t>Marcela E</t>
  </si>
  <si>
    <t>78 (VIII)</t>
  </si>
  <si>
    <t xml:space="preserve">Ana Belén </t>
  </si>
  <si>
    <t>Yenny Valeska II</t>
  </si>
  <si>
    <t>Margot Maria IV</t>
  </si>
  <si>
    <t>Titan del Mar II</t>
  </si>
  <si>
    <t>Tiare</t>
  </si>
  <si>
    <t>Beatriz</t>
  </si>
  <si>
    <t>Monserrat I</t>
  </si>
  <si>
    <t>Don Jose L I</t>
  </si>
  <si>
    <t>Dario Abraham</t>
  </si>
  <si>
    <t>Lerito</t>
  </si>
  <si>
    <t>Bendición II</t>
  </si>
  <si>
    <t>Don Pedrito</t>
  </si>
  <si>
    <t>Felipe R</t>
  </si>
  <si>
    <t xml:space="preserve">5 (X) </t>
  </si>
  <si>
    <t>Katherine III</t>
  </si>
  <si>
    <t xml:space="preserve">Pipoa Marta </t>
  </si>
  <si>
    <t>01/03/2022-30/05/2022</t>
  </si>
  <si>
    <t xml:space="preserve"> </t>
  </si>
  <si>
    <t>36 (VIII)</t>
  </si>
  <si>
    <t>62 (VIII)</t>
  </si>
  <si>
    <t>PESQUERA ORION</t>
  </si>
  <si>
    <t xml:space="preserve">SAN PEDRO </t>
  </si>
  <si>
    <t>55 (VIII)</t>
  </si>
  <si>
    <t>Alonso I</t>
  </si>
  <si>
    <t>79 (VIII)</t>
  </si>
  <si>
    <t>Cristina</t>
  </si>
  <si>
    <t xml:space="preserve">Marcela E </t>
  </si>
  <si>
    <t>1 (V)</t>
  </si>
  <si>
    <t>Papi Afredo</t>
  </si>
  <si>
    <t>1 (X)</t>
  </si>
  <si>
    <t xml:space="preserve">Osframa </t>
  </si>
  <si>
    <t>48 (VIII)</t>
  </si>
  <si>
    <t xml:space="preserve">Don Ismael </t>
  </si>
  <si>
    <t>Don Armando II</t>
  </si>
  <si>
    <t>Don Alonso</t>
  </si>
  <si>
    <t>Lazaro II</t>
  </si>
  <si>
    <t>SSP</t>
  </si>
  <si>
    <t>Camila Antonella I</t>
  </si>
  <si>
    <t>Camila Antonella II</t>
  </si>
  <si>
    <t>Camanchaca Pesca Sur</t>
  </si>
  <si>
    <t>Ana Belen I</t>
  </si>
  <si>
    <t>Doña Carmela</t>
  </si>
  <si>
    <t>Galilea I</t>
  </si>
  <si>
    <t>Juanita I</t>
  </si>
  <si>
    <t>Master</t>
  </si>
  <si>
    <t>Patricia Vanessa</t>
  </si>
  <si>
    <t>Punta Maule II</t>
  </si>
  <si>
    <t>Reina del Mar II</t>
  </si>
  <si>
    <t>Rio Valdivia</t>
  </si>
  <si>
    <t>Sofia M</t>
  </si>
  <si>
    <t>Sta. Natalia II</t>
  </si>
  <si>
    <t>Don Alejandro II</t>
  </si>
  <si>
    <t>Isaac M</t>
  </si>
  <si>
    <t>Blumar S.A.</t>
  </si>
  <si>
    <t>47 (VIII)</t>
  </si>
  <si>
    <t>Blumar S.A</t>
  </si>
  <si>
    <t>Misionera II</t>
  </si>
  <si>
    <t>Orizon S.A.</t>
  </si>
  <si>
    <t>Alimentos Marinos S.A</t>
  </si>
  <si>
    <t>Foodcorp Chile S.A.</t>
  </si>
  <si>
    <t>Landes S.A.</t>
  </si>
  <si>
    <t>Inversiones Pesqueras Pedro Irigoyen</t>
  </si>
  <si>
    <t>Pesquera Lepe Limitada</t>
  </si>
  <si>
    <t>Alfonso Lepe Robles</t>
  </si>
  <si>
    <t>Gonzalo Galdamez Santibañez</t>
  </si>
  <si>
    <t>Dario Abraham I</t>
  </si>
  <si>
    <t>Don Norma</t>
  </si>
  <si>
    <t>Moises</t>
  </si>
  <si>
    <t>Don Sergio I</t>
  </si>
  <si>
    <t>Angela Valentina</t>
  </si>
  <si>
    <t>Mehuin Rey</t>
  </si>
  <si>
    <t>51 (VIII)</t>
  </si>
  <si>
    <t>50 (VIII)</t>
  </si>
  <si>
    <t>Don Elias</t>
  </si>
  <si>
    <t>Ebenezer II</t>
  </si>
  <si>
    <t>Santa Maria A</t>
  </si>
  <si>
    <t>X</t>
  </si>
  <si>
    <t>Pilfican III</t>
  </si>
  <si>
    <t>Pilfican IV</t>
  </si>
  <si>
    <t>Don Fernando I</t>
  </si>
  <si>
    <t>Doña Sandra II</t>
  </si>
  <si>
    <t>El Acuario I</t>
  </si>
  <si>
    <t>Noemi Simoney</t>
  </si>
  <si>
    <t>Doña Sofia I</t>
  </si>
  <si>
    <t>Rieka I</t>
  </si>
  <si>
    <t>Procesos Tecnológicos del Bio Bio</t>
  </si>
  <si>
    <t>Novamar</t>
  </si>
  <si>
    <t>Papi Jose</t>
  </si>
  <si>
    <t>Sindicato de Trabajadores Independientes, Tripulantes y Armadores de Botes, Pescadores Artesanales, Algueros, Mariscadores y Actividades conexas de la caleta Tumbes de la comuna de Talcahuano. Registro Sindical Único 08.05.0495</t>
  </si>
  <si>
    <t>73 (VIII)</t>
  </si>
  <si>
    <t>Jose Beltran Aquevedo</t>
  </si>
  <si>
    <t>Cristian Silva Lorca</t>
  </si>
  <si>
    <t>Julio Segundo Saez</t>
  </si>
  <si>
    <t>Don Pepe</t>
  </si>
  <si>
    <t>Agustin Primero</t>
  </si>
  <si>
    <t>Fabian Monsalve Salas</t>
  </si>
  <si>
    <t>Susan Monsalve Salas</t>
  </si>
  <si>
    <t>Gabriela Monsalve Cisternas</t>
  </si>
  <si>
    <t>Sandra Gajardo Palma</t>
  </si>
  <si>
    <t>Don Juan I</t>
  </si>
  <si>
    <t>57 (VIII)</t>
  </si>
  <si>
    <t>Don Ulmes</t>
  </si>
  <si>
    <t>Samaritano I</t>
  </si>
  <si>
    <t>Pesquera Litoral SpA</t>
  </si>
  <si>
    <t>Palmi III</t>
  </si>
  <si>
    <t>Nubia Herlibet</t>
  </si>
  <si>
    <t>Rodrigo I</t>
  </si>
  <si>
    <t>Don Bosco</t>
  </si>
  <si>
    <t>Agustina F</t>
  </si>
  <si>
    <t>3 (VIII)</t>
  </si>
  <si>
    <t>Cristian Silva Tudela</t>
  </si>
  <si>
    <t>17 (VIII)</t>
  </si>
  <si>
    <t>Pesquera Orion</t>
  </si>
  <si>
    <t>Captura Anchoveta (T)</t>
  </si>
  <si>
    <t>Raul Monsalve Cisternas</t>
  </si>
  <si>
    <t>Master Segundo</t>
  </si>
  <si>
    <t>Don Emilio IV</t>
  </si>
  <si>
    <t>Glaciar I</t>
  </si>
  <si>
    <t>Sociedad Pesquera Al Sur De La Isla</t>
  </si>
  <si>
    <t>Don Jorge Luis M</t>
  </si>
  <si>
    <t>25 (VIII)</t>
  </si>
  <si>
    <t>59 (VIII)</t>
  </si>
  <si>
    <t>19 (VIII)</t>
  </si>
  <si>
    <t>Tio Fidel</t>
  </si>
  <si>
    <t>PELANTARO INOSTROZA CONCHA</t>
  </si>
  <si>
    <t>SOCIEDAD PESQUERA GENMAR LIMITADA</t>
  </si>
  <si>
    <t>Lota Protein S.A.</t>
  </si>
  <si>
    <t>Galeon II</t>
  </si>
  <si>
    <t>Mar De Alaska</t>
  </si>
  <si>
    <t>Don Agustin</t>
  </si>
  <si>
    <t>34 (VIII)</t>
  </si>
  <si>
    <t>10 (XIV)</t>
  </si>
  <si>
    <t xml:space="preserve">Colectiva </t>
  </si>
  <si>
    <t>San Pedro Limitada</t>
  </si>
  <si>
    <t>61 (VIII)</t>
  </si>
  <si>
    <t>30 (VIII)</t>
  </si>
  <si>
    <t>Pedro Irigoyen Limitada</t>
  </si>
  <si>
    <t>21 (VIII)</t>
  </si>
  <si>
    <t>Bayron David I</t>
  </si>
  <si>
    <t>SIPARCON R.S.U. 07.05.0193 (VII)</t>
  </si>
  <si>
    <t>41 (VIII)</t>
  </si>
  <si>
    <t>Información Preliminar</t>
  </si>
  <si>
    <t>2 (XIV)</t>
  </si>
  <si>
    <t>68 (VIII)</t>
  </si>
  <si>
    <t>58 (VIII)</t>
  </si>
  <si>
    <t>Dania Ayrina II</t>
  </si>
  <si>
    <t>R. Isabel II</t>
  </si>
  <si>
    <t>Pesquera San Pedro</t>
  </si>
  <si>
    <t>67 (VIII)</t>
  </si>
  <si>
    <t>Linares</t>
  </si>
  <si>
    <t>Jose I</t>
  </si>
  <si>
    <t>DZP X</t>
  </si>
  <si>
    <t>Pelantaro Inostroza Concha</t>
  </si>
  <si>
    <t>Carla Agustin</t>
  </si>
  <si>
    <t>Mar De Bering</t>
  </si>
  <si>
    <t>Liset I</t>
  </si>
  <si>
    <t>Luis Eduardo</t>
  </si>
  <si>
    <t>Don Jack</t>
  </si>
  <si>
    <t>Doña Julia</t>
  </si>
  <si>
    <t>Inversiones Tridente SpA</t>
  </si>
  <si>
    <t>Valentin</t>
  </si>
  <si>
    <t>Sofia Agustina</t>
  </si>
  <si>
    <t>Yagan</t>
  </si>
  <si>
    <t>Mateo A</t>
  </si>
  <si>
    <t>60 (VIII)</t>
  </si>
  <si>
    <t>JOSE BELTRAN AQUEVEDO</t>
  </si>
  <si>
    <t>9 (XIV)</t>
  </si>
  <si>
    <t>Juan Angelmo</t>
  </si>
  <si>
    <t>%</t>
  </si>
  <si>
    <t>Cuota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</si>
</sst>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_-* #,##0.00\ _p_t_a_-;\-* #,##0.00\ _p_t_a_-;_-* \-??\ _p_t_a_-;_-@_-"/>
    <numFmt numFmtId="168" formatCode="0.0000"/>
    <numFmt numFmtId="169" formatCode="0.00000"/>
    <numFmt numFmtId="170" formatCode="0.000000"/>
    <numFmt numFmtId="171" formatCode="[$-F800]dddd\,\ mmmm\ dd\,\ yyyy"/>
    <numFmt numFmtId="172" formatCode="#,##0.000"/>
  </numFmts>
  <fonts count="4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729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  <xf numFmtId="165" fontId="2" fillId="0" borderId="0" applyFont="0" applyFill="0" applyBorder="0" applyAlignment="0" applyProtection="0"/>
  </cellStyleXfs>
  <cellXfs count="596">
    <xf numFmtId="0" fontId="0" fillId="0" borderId="0" xfId="0"/>
    <xf numFmtId="0" fontId="0" fillId="0" borderId="1" xfId="0" applyBorder="1"/>
    <xf numFmtId="166" fontId="0" fillId="0" borderId="1" xfId="0" applyNumberFormat="1" applyBorder="1"/>
    <xf numFmtId="9" fontId="0" fillId="0" borderId="1" xfId="1" applyFont="1" applyBorder="1"/>
    <xf numFmtId="0" fontId="3" fillId="0" borderId="0" xfId="0" applyFont="1" applyAlignment="1">
      <alignment horizontal="center"/>
    </xf>
    <xf numFmtId="166" fontId="0" fillId="0" borderId="1" xfId="0" applyNumberFormat="1" applyFill="1" applyBorder="1"/>
    <xf numFmtId="9" fontId="0" fillId="0" borderId="1" xfId="1" applyFont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9" fontId="0" fillId="3" borderId="1" xfId="1" applyFont="1" applyFill="1" applyBorder="1"/>
    <xf numFmtId="9" fontId="0" fillId="3" borderId="1" xfId="1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0" fillId="30" borderId="1" xfId="0" applyFill="1" applyBorder="1"/>
    <xf numFmtId="0" fontId="0" fillId="30" borderId="1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center" wrapText="1"/>
    </xf>
    <xf numFmtId="0" fontId="0" fillId="29" borderId="1" xfId="0" applyFill="1" applyBorder="1"/>
    <xf numFmtId="0" fontId="32" fillId="28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7" borderId="1" xfId="0" applyFont="1" applyFill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8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/>
    <xf numFmtId="14" fontId="0" fillId="0" borderId="1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7" borderId="3" xfId="0" applyFont="1" applyFill="1" applyBorder="1" applyAlignment="1">
      <alignment horizontal="center" wrapText="1"/>
    </xf>
    <xf numFmtId="9" fontId="0" fillId="0" borderId="1" xfId="1" applyFont="1" applyFill="1" applyBorder="1"/>
    <xf numFmtId="9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0" fillId="30" borderId="0" xfId="0" applyFill="1" applyBorder="1"/>
    <xf numFmtId="9" fontId="0" fillId="0" borderId="0" xfId="1" applyFont="1" applyFill="1" applyBorder="1"/>
    <xf numFmtId="14" fontId="0" fillId="0" borderId="1" xfId="0" applyNumberFormat="1" applyFill="1" applyBorder="1"/>
    <xf numFmtId="9" fontId="0" fillId="0" borderId="0" xfId="1" applyFont="1"/>
    <xf numFmtId="9" fontId="3" fillId="0" borderId="0" xfId="1" applyFont="1"/>
    <xf numFmtId="14" fontId="3" fillId="0" borderId="0" xfId="0" applyNumberFormat="1" applyFont="1"/>
    <xf numFmtId="0" fontId="0" fillId="0" borderId="0" xfId="0" applyFill="1"/>
    <xf numFmtId="0" fontId="3" fillId="29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168" fontId="0" fillId="0" borderId="1" xfId="0" applyNumberFormat="1" applyBorder="1"/>
    <xf numFmtId="0" fontId="3" fillId="33" borderId="2" xfId="0" applyFont="1" applyFill="1" applyBorder="1" applyAlignment="1">
      <alignment horizontal="center" vertical="center"/>
    </xf>
    <xf numFmtId="0" fontId="6" fillId="33" borderId="0" xfId="0" applyFont="1" applyFill="1"/>
    <xf numFmtId="0" fontId="6" fillId="32" borderId="0" xfId="0" applyFont="1" applyFill="1"/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0" fillId="31" borderId="1" xfId="0" applyFill="1" applyBorder="1"/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/>
    <xf numFmtId="0" fontId="3" fillId="3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Fill="1" applyBorder="1"/>
    <xf numFmtId="169" fontId="0" fillId="0" borderId="1" xfId="0" applyNumberFormat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4" fontId="3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Fill="1" applyBorder="1"/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3" fillId="29" borderId="1" xfId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7" applyFill="1" applyBorder="1"/>
    <xf numFmtId="166" fontId="0" fillId="0" borderId="1" xfId="0" applyNumberFormat="1" applyBorder="1" applyAlignment="1">
      <alignment horizontal="center"/>
    </xf>
    <xf numFmtId="166" fontId="3" fillId="0" borderId="0" xfId="0" applyNumberFormat="1" applyFont="1"/>
    <xf numFmtId="166" fontId="0" fillId="0" borderId="0" xfId="0" applyNumberFormat="1" applyBorder="1"/>
    <xf numFmtId="166" fontId="0" fillId="0" borderId="3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37" borderId="1" xfId="0" applyNumberFormat="1" applyFont="1" applyFill="1" applyBorder="1"/>
    <xf numFmtId="14" fontId="0" fillId="0" borderId="0" xfId="0" applyNumberFormat="1" applyFill="1" applyBorder="1"/>
    <xf numFmtId="14" fontId="37" fillId="37" borderId="1" xfId="0" applyNumberFormat="1" applyFont="1" applyFill="1" applyBorder="1" applyAlignment="1">
      <alignment horizontal="center" vertical="center"/>
    </xf>
    <xf numFmtId="170" fontId="0" fillId="3" borderId="1" xfId="0" applyNumberFormat="1" applyFill="1" applyBorder="1"/>
    <xf numFmtId="0" fontId="3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0" borderId="1" xfId="0" applyFill="1" applyBorder="1" applyAlignment="1">
      <alignment horizontal="left" vertical="center"/>
    </xf>
    <xf numFmtId="0" fontId="0" fillId="37" borderId="1" xfId="0" applyFill="1" applyBorder="1" applyAlignment="1">
      <alignment horizontal="center" vertical="center" wrapText="1"/>
    </xf>
    <xf numFmtId="166" fontId="0" fillId="37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0" borderId="1" xfId="0" applyFill="1" applyBorder="1" applyAlignment="1">
      <alignment vertical="center"/>
    </xf>
    <xf numFmtId="0" fontId="0" fillId="0" borderId="1" xfId="41728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26" borderId="1" xfId="0" applyFont="1" applyFill="1" applyBorder="1" applyAlignment="1">
      <alignment vertical="center"/>
    </xf>
    <xf numFmtId="0" fontId="3" fillId="26" borderId="1" xfId="0" applyFont="1" applyFill="1" applyBorder="1" applyAlignment="1">
      <alignment vertical="center" wrapText="1"/>
    </xf>
    <xf numFmtId="0" fontId="3" fillId="26" borderId="3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9" fontId="0" fillId="0" borderId="1" xfId="1" applyFont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9" fontId="0" fillId="0" borderId="1" xfId="1" applyNumberFormat="1" applyFont="1" applyBorder="1" applyAlignment="1">
      <alignment vertical="center"/>
    </xf>
    <xf numFmtId="14" fontId="37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9" fontId="0" fillId="0" borderId="1" xfId="1" applyFont="1" applyFill="1" applyBorder="1" applyAlignment="1">
      <alignment vertical="center"/>
    </xf>
    <xf numFmtId="0" fontId="0" fillId="37" borderId="1" xfId="0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9" fontId="0" fillId="0" borderId="4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14" fontId="0" fillId="0" borderId="0" xfId="1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7" fillId="37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72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8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14" fontId="0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0" fillId="3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4" fillId="28" borderId="0" xfId="0" applyFont="1" applyFill="1" applyAlignment="1">
      <alignment horizontal="center"/>
    </xf>
    <xf numFmtId="171" fontId="3" fillId="2" borderId="0" xfId="0" applyNumberFormat="1" applyFont="1" applyFill="1" applyAlignment="1">
      <alignment horizontal="center"/>
    </xf>
    <xf numFmtId="0" fontId="33" fillId="28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5" fillId="33" borderId="2" xfId="0" applyFont="1" applyFill="1" applyBorder="1" applyAlignment="1">
      <alignment horizontal="center" vertical="center" textRotation="90"/>
    </xf>
    <xf numFmtId="0" fontId="5" fillId="33" borderId="3" xfId="0" applyFont="1" applyFill="1" applyBorder="1" applyAlignment="1">
      <alignment horizontal="center" vertical="center" textRotation="90"/>
    </xf>
    <xf numFmtId="0" fontId="5" fillId="33" borderId="4" xfId="0" applyFont="1" applyFill="1" applyBorder="1" applyAlignment="1">
      <alignment horizontal="center" vertical="center" textRotation="90"/>
    </xf>
    <xf numFmtId="0" fontId="4" fillId="26" borderId="0" xfId="0" applyFont="1" applyFill="1" applyAlignment="1">
      <alignment horizontal="center"/>
    </xf>
    <xf numFmtId="1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3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 textRotation="90"/>
    </xf>
    <xf numFmtId="0" fontId="32" fillId="28" borderId="0" xfId="0" applyFont="1" applyFill="1" applyBorder="1" applyAlignment="1">
      <alignment horizontal="center" vertical="center" textRotation="90"/>
    </xf>
    <xf numFmtId="0" fontId="8" fillId="28" borderId="14" xfId="0" applyFont="1" applyFill="1" applyBorder="1" applyAlignment="1">
      <alignment horizontal="center" vertical="center" textRotation="90"/>
    </xf>
    <xf numFmtId="0" fontId="8" fillId="28" borderId="0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/>
    </xf>
    <xf numFmtId="14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wrapText="1"/>
    </xf>
    <xf numFmtId="0" fontId="7" fillId="28" borderId="0" xfId="0" applyFont="1" applyFill="1" applyBorder="1" applyAlignment="1">
      <alignment horizontal="center" wrapText="1"/>
    </xf>
    <xf numFmtId="0" fontId="7" fillId="28" borderId="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vertical="center" textRotation="90"/>
    </xf>
    <xf numFmtId="0" fontId="28" fillId="26" borderId="0" xfId="0" applyFont="1" applyFill="1" applyBorder="1" applyAlignment="1">
      <alignment vertical="center" textRotation="90"/>
    </xf>
    <xf numFmtId="0" fontId="3" fillId="26" borderId="14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3" fillId="26" borderId="14" xfId="0" applyFont="1" applyFill="1" applyBorder="1" applyAlignment="1">
      <alignment vertical="center" textRotation="90"/>
    </xf>
    <xf numFmtId="0" fontId="3" fillId="26" borderId="0" xfId="0" applyFont="1" applyFill="1" applyBorder="1" applyAlignment="1">
      <alignment vertical="center" textRotation="90"/>
    </xf>
    <xf numFmtId="0" fontId="3" fillId="26" borderId="17" xfId="0" applyFont="1" applyFill="1" applyBorder="1" applyAlignment="1">
      <alignment vertical="center" textRotation="90"/>
    </xf>
    <xf numFmtId="0" fontId="1" fillId="26" borderId="0" xfId="0" applyFont="1" applyFill="1" applyAlignment="1">
      <alignment vertical="center"/>
    </xf>
    <xf numFmtId="14" fontId="0" fillId="26" borderId="0" xfId="0" applyNumberFormat="1" applyFill="1" applyAlignment="1">
      <alignment vertical="center"/>
    </xf>
    <xf numFmtId="0" fontId="0" fillId="26" borderId="0" xfId="0" applyFill="1" applyAlignment="1">
      <alignment vertical="center"/>
    </xf>
    <xf numFmtId="0" fontId="3" fillId="26" borderId="15" xfId="0" applyFont="1" applyFill="1" applyBorder="1" applyAlignment="1">
      <alignment vertical="center" wrapText="1"/>
    </xf>
    <xf numFmtId="0" fontId="3" fillId="26" borderId="16" xfId="0" applyFont="1" applyFill="1" applyBorder="1" applyAlignment="1">
      <alignment vertical="center" wrapText="1"/>
    </xf>
    <xf numFmtId="0" fontId="3" fillId="32" borderId="1" xfId="0" applyFont="1" applyFill="1" applyBorder="1" applyAlignment="1">
      <alignment horizontal="center" vertical="center"/>
    </xf>
    <xf numFmtId="14" fontId="3" fillId="32" borderId="1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0" fontId="30" fillId="27" borderId="1" xfId="0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horizontal="center"/>
    </xf>
    <xf numFmtId="14" fontId="37" fillId="37" borderId="2" xfId="0" applyNumberFormat="1" applyFont="1" applyFill="1" applyBorder="1" applyAlignment="1">
      <alignment horizontal="center" vertical="center"/>
    </xf>
    <xf numFmtId="14" fontId="37" fillId="37" borderId="4" xfId="0" applyNumberFormat="1" applyFont="1" applyFill="1" applyBorder="1" applyAlignment="1">
      <alignment horizontal="center" vertical="center"/>
    </xf>
    <xf numFmtId="14" fontId="37" fillId="0" borderId="2" xfId="0" applyNumberFormat="1" applyFont="1" applyFill="1" applyBorder="1" applyAlignment="1">
      <alignment horizontal="center" vertical="center"/>
    </xf>
    <xf numFmtId="14" fontId="37" fillId="0" borderId="4" xfId="0" applyNumberFormat="1" applyFont="1" applyFill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/>
    </xf>
    <xf numFmtId="14" fontId="0" fillId="3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14" fontId="0" fillId="38" borderId="1" xfId="0" applyNumberForma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1729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" xfId="41728" builtinId="3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" xfId="1" builtinId="5"/>
    <cellStyle name="Porcentaje 2" xfId="202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9" defaultPivotStyle="PivotStyleLight16"/>
  <colors>
    <mruColors>
      <color rgb="FFFF5050"/>
      <color rgb="FFFF6600"/>
      <color rgb="FF9933FF"/>
      <color rgb="FFFFFF99"/>
      <color rgb="FFCC66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92868</xdr:rowOff>
    </xdr:from>
    <xdr:to>
      <xdr:col>3</xdr:col>
      <xdr:colOff>2047876</xdr:colOff>
      <xdr:row>3</xdr:row>
      <xdr:rowOff>130968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3" y="92868"/>
          <a:ext cx="313134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O42"/>
  <sheetViews>
    <sheetView tabSelected="1" workbookViewId="0">
      <selection activeCell="G17" sqref="G17"/>
    </sheetView>
  </sheetViews>
  <sheetFormatPr baseColWidth="10" defaultRowHeight="15"/>
  <cols>
    <col min="4" max="4" width="41.28515625" bestFit="1" customWidth="1"/>
    <col min="5" max="5" width="11.5703125" bestFit="1" customWidth="1"/>
    <col min="6" max="6" width="13.85546875" customWidth="1"/>
    <col min="8" max="8" width="11.85546875" bestFit="1" customWidth="1"/>
  </cols>
  <sheetData>
    <row r="2" spans="2:15" s="11" customFormat="1" ht="18.75">
      <c r="B2" s="497" t="s">
        <v>304</v>
      </c>
      <c r="C2" s="497"/>
      <c r="D2" s="497"/>
      <c r="E2" s="497"/>
      <c r="F2" s="497"/>
      <c r="G2" s="497"/>
      <c r="H2" s="497"/>
      <c r="I2" s="497"/>
      <c r="J2" s="497"/>
    </row>
    <row r="3" spans="2:15" s="11" customFormat="1">
      <c r="B3" s="498">
        <v>44926</v>
      </c>
      <c r="C3" s="498"/>
      <c r="D3" s="498"/>
      <c r="E3" s="498"/>
      <c r="F3" s="498"/>
      <c r="G3" s="498"/>
      <c r="H3" s="498"/>
      <c r="I3" s="498"/>
      <c r="J3" s="498"/>
    </row>
    <row r="4" spans="2:15" s="11" customFormat="1">
      <c r="B4" s="502" t="s">
        <v>775</v>
      </c>
      <c r="C4" s="502"/>
      <c r="D4" s="502"/>
      <c r="E4" s="502"/>
      <c r="F4" s="502"/>
      <c r="G4" s="502"/>
      <c r="H4" s="502"/>
      <c r="I4" s="502"/>
      <c r="J4" s="502"/>
    </row>
    <row r="6" spans="2:15" ht="29.25" customHeight="1">
      <c r="B6" s="21" t="s">
        <v>153</v>
      </c>
      <c r="C6" s="21" t="s">
        <v>154</v>
      </c>
      <c r="D6" s="21" t="s">
        <v>152</v>
      </c>
      <c r="E6" s="22" t="s">
        <v>1</v>
      </c>
      <c r="F6" s="22" t="s">
        <v>139</v>
      </c>
      <c r="G6" s="22" t="s">
        <v>140</v>
      </c>
      <c r="H6" s="22" t="s">
        <v>141</v>
      </c>
      <c r="I6" s="22" t="s">
        <v>142</v>
      </c>
      <c r="J6" s="22" t="s">
        <v>143</v>
      </c>
    </row>
    <row r="7" spans="2:15" ht="15" customHeight="1">
      <c r="B7" s="499" t="s">
        <v>151</v>
      </c>
      <c r="C7" s="501" t="s">
        <v>144</v>
      </c>
      <c r="D7" s="20" t="s">
        <v>39</v>
      </c>
      <c r="E7" s="26">
        <f>Anchoveta!F13</f>
        <v>11504.001</v>
      </c>
      <c r="F7" s="1">
        <f>Anchoveta!G13</f>
        <v>-11120.823</v>
      </c>
      <c r="G7" s="1">
        <f>E7+F7</f>
        <v>383.17799999999988</v>
      </c>
      <c r="H7" s="1">
        <f>Anchoveta!I13</f>
        <v>0.58399999999999996</v>
      </c>
      <c r="I7" s="1">
        <f>G7-H7</f>
        <v>382.59399999999988</v>
      </c>
      <c r="J7" s="6">
        <f>H7/G7</f>
        <v>1.5240958510144113E-3</v>
      </c>
      <c r="K7" s="492">
        <f>E7+E8+E9+E10+E12+E14+E16</f>
        <v>184895.99299999999</v>
      </c>
      <c r="L7">
        <f>F7+F8+F9+F10+F11+F12+F13+F14+F15+F16</f>
        <v>50544.622999999992</v>
      </c>
      <c r="M7" s="11">
        <f t="shared" ref="M7" si="0">G7+G8+G9+G10+G11+G12+G13+G14+G15+G16</f>
        <v>235440.61599999998</v>
      </c>
      <c r="N7" s="11">
        <f>H7+H8+H9+H10+H11+H12+H13+H14+H15+H16</f>
        <v>173256.89013498774</v>
      </c>
      <c r="O7" s="11">
        <f>I7+I8+I9+I10+I11+I12+I13+I14+I15+I16</f>
        <v>62183.725865012268</v>
      </c>
    </row>
    <row r="8" spans="2:15">
      <c r="B8" s="499"/>
      <c r="C8" s="501"/>
      <c r="D8" s="20" t="s">
        <v>134</v>
      </c>
      <c r="E8" s="26">
        <f>Anchoveta!F16</f>
        <v>74</v>
      </c>
      <c r="F8" s="1">
        <f>Anchoveta!G16</f>
        <v>0</v>
      </c>
      <c r="G8" s="1">
        <f t="shared" ref="G8:G22" si="1">E8+F8</f>
        <v>74</v>
      </c>
      <c r="H8" s="1">
        <f>Anchoveta!I16</f>
        <v>0</v>
      </c>
      <c r="I8" s="1">
        <f t="shared" ref="I8:I22" si="2">G8-H8</f>
        <v>74</v>
      </c>
      <c r="J8" s="6">
        <f t="shared" ref="J8:J22" si="3">H8/G8</f>
        <v>0</v>
      </c>
    </row>
    <row r="9" spans="2:15">
      <c r="B9" s="499"/>
      <c r="C9" s="501"/>
      <c r="D9" s="20" t="s">
        <v>135</v>
      </c>
      <c r="E9" s="26">
        <f>Anchoveta!F21</f>
        <v>1230</v>
      </c>
      <c r="F9" s="1">
        <f>Anchoveta!G21</f>
        <v>-894.23900000000003</v>
      </c>
      <c r="G9" s="1">
        <f t="shared" si="1"/>
        <v>335.76099999999997</v>
      </c>
      <c r="H9" s="1">
        <f>Anchoveta!I21</f>
        <v>0</v>
      </c>
      <c r="I9" s="1">
        <f t="shared" si="2"/>
        <v>335.76099999999997</v>
      </c>
      <c r="J9" s="6">
        <f t="shared" si="3"/>
        <v>0</v>
      </c>
    </row>
    <row r="10" spans="2:15">
      <c r="B10" s="499"/>
      <c r="C10" s="501"/>
      <c r="D10" s="20" t="s">
        <v>136</v>
      </c>
      <c r="E10" s="26">
        <f>Anchoveta!F104</f>
        <v>147420.992</v>
      </c>
      <c r="F10" s="1">
        <f>Anchoveta!G104</f>
        <v>4852.1959999999999</v>
      </c>
      <c r="G10" s="1">
        <f t="shared" si="1"/>
        <v>152273.18799999999</v>
      </c>
      <c r="H10" s="1">
        <f>Anchoveta!I104</f>
        <v>127559.91913498772</v>
      </c>
      <c r="I10" s="1">
        <f t="shared" si="2"/>
        <v>24713.268865012273</v>
      </c>
      <c r="J10" s="6">
        <f t="shared" si="3"/>
        <v>0.83770439701431698</v>
      </c>
      <c r="K10" s="492">
        <f>E10</f>
        <v>147420.992</v>
      </c>
      <c r="L10">
        <f>F10+F11</f>
        <v>50949.674999999988</v>
      </c>
      <c r="M10">
        <f>G10+G11</f>
        <v>198370.66699999999</v>
      </c>
      <c r="N10">
        <f>H10+H11</f>
        <v>157874.95613498773</v>
      </c>
      <c r="O10">
        <f>I10+I11</f>
        <v>40495.710865012268</v>
      </c>
    </row>
    <row r="11" spans="2:15" s="11" customFormat="1">
      <c r="B11" s="499"/>
      <c r="C11" s="501"/>
      <c r="D11" s="20" t="s">
        <v>327</v>
      </c>
      <c r="E11" s="26" t="s">
        <v>284</v>
      </c>
      <c r="F11" s="1">
        <f>Anchoveta!G103</f>
        <v>46097.478999999992</v>
      </c>
      <c r="G11" s="1">
        <f>F11</f>
        <v>46097.478999999992</v>
      </c>
      <c r="H11" s="1">
        <f>Anchoveta!I103</f>
        <v>30315.037</v>
      </c>
      <c r="I11" s="1">
        <f t="shared" si="2"/>
        <v>15782.441999999992</v>
      </c>
      <c r="J11" s="6">
        <f t="shared" si="3"/>
        <v>0.6576289562385832</v>
      </c>
    </row>
    <row r="12" spans="2:15">
      <c r="B12" s="499"/>
      <c r="C12" s="501"/>
      <c r="D12" s="20" t="s">
        <v>137</v>
      </c>
      <c r="E12" s="26">
        <f>Anchoveta!F108</f>
        <v>2297</v>
      </c>
      <c r="F12" s="1">
        <f>Anchoveta!G108</f>
        <v>0</v>
      </c>
      <c r="G12" s="1">
        <f t="shared" si="1"/>
        <v>2297</v>
      </c>
      <c r="H12" s="1">
        <f>Anchoveta!I108</f>
        <v>675</v>
      </c>
      <c r="I12" s="1">
        <f t="shared" si="2"/>
        <v>1622</v>
      </c>
      <c r="J12" s="6">
        <f t="shared" si="3"/>
        <v>0.29386155855463647</v>
      </c>
      <c r="K12" s="492">
        <f>E12</f>
        <v>2297</v>
      </c>
      <c r="L12">
        <f>F12+F13</f>
        <v>3010.86</v>
      </c>
      <c r="M12">
        <f>G12+G13</f>
        <v>5307.8600000000006</v>
      </c>
      <c r="N12" s="11">
        <f>H12+H13</f>
        <v>1075.328</v>
      </c>
      <c r="O12" s="11">
        <f>I12+I13</f>
        <v>4232.5320000000002</v>
      </c>
    </row>
    <row r="13" spans="2:15" s="11" customFormat="1">
      <c r="B13" s="499"/>
      <c r="C13" s="501"/>
      <c r="D13" s="20" t="s">
        <v>328</v>
      </c>
      <c r="E13" s="26" t="s">
        <v>284</v>
      </c>
      <c r="F13" s="1">
        <f>Anchoveta!G107</f>
        <v>3010.86</v>
      </c>
      <c r="G13" s="1">
        <f>F13</f>
        <v>3010.86</v>
      </c>
      <c r="H13" s="1">
        <f>Anchoveta!I107</f>
        <v>400.32800000000003</v>
      </c>
      <c r="I13" s="1">
        <f t="shared" si="2"/>
        <v>2610.5320000000002</v>
      </c>
      <c r="J13" s="6">
        <f t="shared" si="3"/>
        <v>0.13296134659200362</v>
      </c>
    </row>
    <row r="14" spans="2:15">
      <c r="B14" s="499"/>
      <c r="C14" s="501"/>
      <c r="D14" s="20" t="s">
        <v>44</v>
      </c>
      <c r="E14" s="26">
        <f>Anchoveta!F122</f>
        <v>13842.000000000002</v>
      </c>
      <c r="F14" s="1">
        <f>Anchoveta!G122</f>
        <v>-1690.5</v>
      </c>
      <c r="G14" s="1">
        <f t="shared" si="1"/>
        <v>12151.500000000002</v>
      </c>
      <c r="H14" s="1">
        <f>Anchoveta!I122</f>
        <v>4812.7069999999994</v>
      </c>
      <c r="I14" s="1">
        <f t="shared" si="2"/>
        <v>7338.7930000000024</v>
      </c>
      <c r="J14" s="6">
        <f t="shared" si="3"/>
        <v>0.39605867588363564</v>
      </c>
      <c r="K14" s="492">
        <f>E14</f>
        <v>13842.000000000002</v>
      </c>
      <c r="L14">
        <f>F14+F15</f>
        <v>12380.782000000001</v>
      </c>
      <c r="M14">
        <f>G14+G15</f>
        <v>26222.782000000003</v>
      </c>
      <c r="N14" s="11">
        <f>H14+H15</f>
        <v>9979.1589999999997</v>
      </c>
      <c r="O14" s="11">
        <f>I14+I15</f>
        <v>16243.623000000003</v>
      </c>
    </row>
    <row r="15" spans="2:15" s="11" customFormat="1">
      <c r="B15" s="499"/>
      <c r="C15" s="501"/>
      <c r="D15" s="20" t="s">
        <v>329</v>
      </c>
      <c r="E15" s="26" t="s">
        <v>284</v>
      </c>
      <c r="F15" s="1">
        <f>Anchoveta!G121</f>
        <v>14071.282000000001</v>
      </c>
      <c r="G15" s="1">
        <f>F15</f>
        <v>14071.282000000001</v>
      </c>
      <c r="H15" s="1">
        <f>Anchoveta!I121</f>
        <v>5166.4520000000002</v>
      </c>
      <c r="I15" s="1">
        <f t="shared" si="2"/>
        <v>8904.8300000000017</v>
      </c>
      <c r="J15" s="6">
        <f t="shared" si="3"/>
        <v>0.36716284983841557</v>
      </c>
    </row>
    <row r="16" spans="2:15">
      <c r="B16" s="499"/>
      <c r="C16" s="501"/>
      <c r="D16" s="20" t="s">
        <v>138</v>
      </c>
      <c r="E16" s="26">
        <f>Anchoveta!F135</f>
        <v>8528</v>
      </c>
      <c r="F16" s="1">
        <f>Anchoveta!G135</f>
        <v>-3781.6320000000001</v>
      </c>
      <c r="G16" s="1">
        <f t="shared" si="1"/>
        <v>4746.3680000000004</v>
      </c>
      <c r="H16" s="1">
        <f>Anchoveta!I135</f>
        <v>4326.8629999999994</v>
      </c>
      <c r="I16" s="1">
        <f t="shared" si="2"/>
        <v>419.50500000000102</v>
      </c>
      <c r="J16" s="6">
        <f t="shared" si="3"/>
        <v>0.91161557637334467</v>
      </c>
    </row>
    <row r="17" spans="2:15">
      <c r="B17" s="499"/>
      <c r="C17" s="501"/>
      <c r="D17" s="20" t="s">
        <v>145</v>
      </c>
      <c r="E17" s="26">
        <v>150</v>
      </c>
      <c r="F17" s="1"/>
      <c r="G17" s="1">
        <f t="shared" si="1"/>
        <v>150</v>
      </c>
      <c r="H17" s="1"/>
      <c r="I17" s="1">
        <f t="shared" si="2"/>
        <v>150</v>
      </c>
      <c r="J17" s="6">
        <f t="shared" si="3"/>
        <v>0</v>
      </c>
    </row>
    <row r="18" spans="2:15">
      <c r="B18" s="499"/>
      <c r="C18" s="500" t="s">
        <v>146</v>
      </c>
      <c r="D18" s="500"/>
      <c r="E18" s="26">
        <f>'Anchov y SardC LTP'!G33</f>
        <v>52192.0052192</v>
      </c>
      <c r="F18" s="1">
        <f>'Anchov y SardC LTP'!H33</f>
        <v>-50544.623</v>
      </c>
      <c r="G18" s="1">
        <f t="shared" si="1"/>
        <v>1647.3822192000007</v>
      </c>
      <c r="H18" s="1">
        <f>'Anchov y SardC LTP'!J33</f>
        <v>933.98399999999992</v>
      </c>
      <c r="I18" s="1">
        <f t="shared" si="2"/>
        <v>713.39821920000077</v>
      </c>
      <c r="J18" s="6">
        <f t="shared" si="3"/>
        <v>0.56695039506591238</v>
      </c>
    </row>
    <row r="19" spans="2:15">
      <c r="B19" s="499"/>
      <c r="C19" s="500" t="s">
        <v>147</v>
      </c>
      <c r="D19" s="500"/>
      <c r="E19" s="26">
        <v>150</v>
      </c>
      <c r="F19" s="1"/>
      <c r="G19" s="1">
        <f t="shared" si="1"/>
        <v>150</v>
      </c>
      <c r="H19" s="1">
        <f>'Pescas de Investigacion'!I5+'Pescas de Investigacion'!I7+'Pescas de Investigacion'!I13+'Pescas de Investigacion'!I15+'Pescas de Investigacion'!I22+'Pescas de Investigacion'!I23</f>
        <v>0.76</v>
      </c>
      <c r="I19" s="1">
        <f t="shared" si="2"/>
        <v>149.24</v>
      </c>
      <c r="J19" s="6">
        <f t="shared" si="3"/>
        <v>5.0666666666666664E-3</v>
      </c>
    </row>
    <row r="20" spans="2:15">
      <c r="B20" s="499"/>
      <c r="C20" s="500" t="s">
        <v>149</v>
      </c>
      <c r="D20" s="500"/>
      <c r="E20" s="26">
        <v>2422</v>
      </c>
      <c r="F20" s="1"/>
      <c r="G20" s="1">
        <f t="shared" si="1"/>
        <v>2422</v>
      </c>
      <c r="H20" s="1">
        <f>'Consumo humano'!F6+'Consumo humano'!F8+'Consumo humano'!F10</f>
        <v>1006.704</v>
      </c>
      <c r="I20" s="1">
        <f t="shared" si="2"/>
        <v>1415.296</v>
      </c>
      <c r="J20" s="6">
        <f t="shared" si="3"/>
        <v>0.41564987613542526</v>
      </c>
    </row>
    <row r="21" spans="2:15">
      <c r="B21" s="499"/>
      <c r="C21" s="500" t="s">
        <v>148</v>
      </c>
      <c r="D21" s="500"/>
      <c r="E21" s="26">
        <v>2422</v>
      </c>
      <c r="F21" s="1"/>
      <c r="G21" s="1">
        <f t="shared" si="1"/>
        <v>2422</v>
      </c>
      <c r="H21" s="1"/>
      <c r="I21" s="1">
        <f t="shared" si="2"/>
        <v>2422</v>
      </c>
      <c r="J21" s="6">
        <f>(F21/E21)*-1</f>
        <v>0</v>
      </c>
    </row>
    <row r="22" spans="2:15">
      <c r="B22" s="499"/>
      <c r="C22" s="500" t="s">
        <v>150</v>
      </c>
      <c r="D22" s="500"/>
      <c r="E22" s="26">
        <f>SUM(E7:E21)</f>
        <v>242231.9982192</v>
      </c>
      <c r="F22" s="37">
        <f>SUM(F7:F21)</f>
        <v>0</v>
      </c>
      <c r="G22" s="1">
        <f t="shared" si="1"/>
        <v>242231.9982192</v>
      </c>
      <c r="H22" s="1">
        <f>SUM(H7:H21)</f>
        <v>175198.33813498775</v>
      </c>
      <c r="I22" s="1">
        <f t="shared" si="2"/>
        <v>67033.660084212257</v>
      </c>
      <c r="J22" s="6">
        <f t="shared" si="3"/>
        <v>0.72326670061338338</v>
      </c>
    </row>
    <row r="26" spans="2:15" ht="30.75" customHeight="1">
      <c r="B26" s="12" t="s">
        <v>153</v>
      </c>
      <c r="C26" s="12" t="s">
        <v>154</v>
      </c>
      <c r="D26" s="12" t="s">
        <v>152</v>
      </c>
      <c r="E26" s="23" t="s">
        <v>1</v>
      </c>
      <c r="F26" s="23" t="s">
        <v>139</v>
      </c>
      <c r="G26" s="23" t="s">
        <v>140</v>
      </c>
      <c r="H26" s="23" t="s">
        <v>141</v>
      </c>
      <c r="I26" s="23" t="s">
        <v>142</v>
      </c>
      <c r="J26" s="23" t="s">
        <v>143</v>
      </c>
    </row>
    <row r="27" spans="2:15">
      <c r="B27" s="495" t="s">
        <v>155</v>
      </c>
      <c r="C27" s="496" t="s">
        <v>156</v>
      </c>
      <c r="D27" s="7" t="s">
        <v>39</v>
      </c>
      <c r="E27" s="27">
        <f>'Sardina comun'!F13</f>
        <v>3902</v>
      </c>
      <c r="F27" s="1">
        <f>'Sardina comun'!G13</f>
        <v>-2433.9169999999999</v>
      </c>
      <c r="G27" s="27">
        <f>E27+F27</f>
        <v>1468.0830000000001</v>
      </c>
      <c r="H27" s="1">
        <f>'Sardina comun'!I13</f>
        <v>42.05</v>
      </c>
      <c r="I27" s="27">
        <f>G27-H27</f>
        <v>1426.0330000000001</v>
      </c>
      <c r="J27" s="6">
        <f>H27/G27</f>
        <v>2.8642794719372131E-2</v>
      </c>
      <c r="K27" s="492">
        <f>E27+E28+E29+E30+E32+E34+E36</f>
        <v>275139.984</v>
      </c>
      <c r="L27">
        <f>F27+F28+F29+F30+F31+F32+F33+F34+F35+F36</f>
        <v>74865.76999999999</v>
      </c>
      <c r="M27" s="492">
        <f>G27+G28+G29+G30+G31+G32+G33+G34+G35+G36</f>
        <v>350005.75400000002</v>
      </c>
      <c r="N27" s="11">
        <f>H27+H28+H29+H30+H31+H32+H33+H34+H35+H36</f>
        <v>163483.45973598759</v>
      </c>
      <c r="O27" s="492">
        <f>I27+I28+I29+I30+I31+I32+I33+I34+I35+I36</f>
        <v>186522.29426401242</v>
      </c>
    </row>
    <row r="28" spans="2:15">
      <c r="B28" s="495"/>
      <c r="C28" s="496"/>
      <c r="D28" s="7" t="s">
        <v>134</v>
      </c>
      <c r="E28" s="27">
        <f>'Sardina comun'!F16</f>
        <v>92</v>
      </c>
      <c r="F28" s="1">
        <f>'Sardina comun'!G16</f>
        <v>0</v>
      </c>
      <c r="G28" s="27">
        <f t="shared" ref="G28:G42" si="4">E28+F28</f>
        <v>92</v>
      </c>
      <c r="H28" s="1">
        <f>'Sardina comun'!I16</f>
        <v>0</v>
      </c>
      <c r="I28" s="27">
        <f t="shared" ref="I28:I42" si="5">G28-H28</f>
        <v>92</v>
      </c>
      <c r="J28" s="6">
        <f t="shared" ref="J28:J42" si="6">H28/G28</f>
        <v>0</v>
      </c>
    </row>
    <row r="29" spans="2:15">
      <c r="B29" s="495"/>
      <c r="C29" s="496"/>
      <c r="D29" s="7" t="s">
        <v>135</v>
      </c>
      <c r="E29" s="27">
        <f>'Sardina comun'!F21</f>
        <v>1411</v>
      </c>
      <c r="F29" s="1">
        <f>'Sardina comun'!G21</f>
        <v>-1186.701</v>
      </c>
      <c r="G29" s="27">
        <f t="shared" si="4"/>
        <v>224.29899999999998</v>
      </c>
      <c r="H29" s="1">
        <f>'Sardina comun'!I21</f>
        <v>0</v>
      </c>
      <c r="I29" s="27">
        <f t="shared" si="5"/>
        <v>224.29899999999998</v>
      </c>
      <c r="J29" s="6">
        <f t="shared" si="6"/>
        <v>0</v>
      </c>
    </row>
    <row r="30" spans="2:15">
      <c r="B30" s="495"/>
      <c r="C30" s="496"/>
      <c r="D30" s="7" t="s">
        <v>136</v>
      </c>
      <c r="E30" s="27">
        <f>'Sardina comun'!F104</f>
        <v>220034.98700000002</v>
      </c>
      <c r="F30" s="1">
        <f>'Sardina comun'!G104</f>
        <v>-12309.154</v>
      </c>
      <c r="G30" s="27">
        <f t="shared" si="4"/>
        <v>207725.83300000001</v>
      </c>
      <c r="H30" s="1">
        <f>'Sardina comun'!I104</f>
        <v>69002.644935987584</v>
      </c>
      <c r="I30" s="27">
        <f t="shared" si="5"/>
        <v>138723.18806401244</v>
      </c>
      <c r="J30" s="6">
        <f t="shared" si="6"/>
        <v>0.33218133700293107</v>
      </c>
      <c r="K30" s="492">
        <f>E30</f>
        <v>220034.98700000002</v>
      </c>
      <c r="L30" s="492">
        <f>F30+F31</f>
        <v>54884.301999999989</v>
      </c>
      <c r="M30" s="492">
        <f>G30+G31</f>
        <v>274919.28899999999</v>
      </c>
      <c r="N30" s="492">
        <f>H30+H31</f>
        <v>87304.229935987591</v>
      </c>
      <c r="O30" s="492">
        <f>I30+I31</f>
        <v>187615.05906401243</v>
      </c>
    </row>
    <row r="31" spans="2:15" s="11" customFormat="1">
      <c r="B31" s="495"/>
      <c r="C31" s="496"/>
      <c r="D31" s="7" t="s">
        <v>327</v>
      </c>
      <c r="E31" s="27" t="s">
        <v>284</v>
      </c>
      <c r="F31" s="1">
        <f>'Sardina comun'!G103</f>
        <v>67193.455999999991</v>
      </c>
      <c r="G31" s="27">
        <f>F31</f>
        <v>67193.455999999991</v>
      </c>
      <c r="H31" s="1">
        <f>'Sardina comun'!I103</f>
        <v>18301.585000000014</v>
      </c>
      <c r="I31" s="27">
        <f t="shared" si="5"/>
        <v>48891.870999999977</v>
      </c>
      <c r="J31" s="6">
        <f t="shared" si="6"/>
        <v>0.27237153868079084</v>
      </c>
    </row>
    <row r="32" spans="2:15">
      <c r="B32" s="495"/>
      <c r="C32" s="496"/>
      <c r="D32" s="7" t="s">
        <v>137</v>
      </c>
      <c r="E32" s="27">
        <f>'Sardina comun'!F108</f>
        <v>3256</v>
      </c>
      <c r="F32" s="1">
        <f>'Sardina comun'!G108</f>
        <v>1312.22</v>
      </c>
      <c r="G32" s="27">
        <f t="shared" si="4"/>
        <v>4568.22</v>
      </c>
      <c r="H32" s="1">
        <f>'Sardina comun'!I108</f>
        <v>6337.52</v>
      </c>
      <c r="I32" s="27">
        <f t="shared" si="5"/>
        <v>-1769.3000000000002</v>
      </c>
      <c r="J32" s="6">
        <f t="shared" si="6"/>
        <v>1.3873062155500393</v>
      </c>
      <c r="K32" s="492">
        <f>E32</f>
        <v>3256</v>
      </c>
      <c r="L32">
        <f>F32+F33</f>
        <v>7177.22</v>
      </c>
      <c r="M32" s="492">
        <f>G32+G33</f>
        <v>10433.220000000001</v>
      </c>
      <c r="N32" s="11">
        <f>H32+H33</f>
        <v>11229.904999999999</v>
      </c>
      <c r="O32" s="492">
        <f>I32+I33</f>
        <v>-796.68499999999949</v>
      </c>
    </row>
    <row r="33" spans="2:15" s="11" customFormat="1">
      <c r="B33" s="495"/>
      <c r="C33" s="496"/>
      <c r="D33" s="7" t="s">
        <v>328</v>
      </c>
      <c r="E33" s="27" t="s">
        <v>284</v>
      </c>
      <c r="F33" s="1">
        <f>'Sardina comun'!G107</f>
        <v>5865</v>
      </c>
      <c r="G33" s="27">
        <f>F33</f>
        <v>5865</v>
      </c>
      <c r="H33" s="1">
        <f>'Sardina comun'!I107</f>
        <v>4892.3849999999993</v>
      </c>
      <c r="I33" s="27">
        <f t="shared" si="5"/>
        <v>972.61500000000069</v>
      </c>
      <c r="J33" s="6">
        <f t="shared" si="6"/>
        <v>0.83416624040920706</v>
      </c>
    </row>
    <row r="34" spans="2:15">
      <c r="B34" s="495"/>
      <c r="C34" s="496"/>
      <c r="D34" s="7" t="s">
        <v>44</v>
      </c>
      <c r="E34" s="27">
        <f>'Sardina comun'!F122</f>
        <v>31524.997999999996</v>
      </c>
      <c r="F34" s="1">
        <f>'Sardina comun'!G122</f>
        <v>-2015</v>
      </c>
      <c r="G34" s="27">
        <f t="shared" si="4"/>
        <v>29509.997999999996</v>
      </c>
      <c r="H34" s="1">
        <f>'Sardina comun'!I122</f>
        <v>34021.811799999996</v>
      </c>
      <c r="I34" s="27">
        <f t="shared" si="5"/>
        <v>-4511.8137999999999</v>
      </c>
      <c r="J34" s="6">
        <f t="shared" si="6"/>
        <v>1.1528910235778396</v>
      </c>
      <c r="K34" s="492">
        <f>E34</f>
        <v>31524.997999999996</v>
      </c>
      <c r="L34">
        <f>F34+F35</f>
        <v>28615.110000000004</v>
      </c>
      <c r="M34" s="492">
        <f>G34+G35</f>
        <v>60140.108</v>
      </c>
      <c r="N34" s="11">
        <f>H34+H35</f>
        <v>63408.529799999997</v>
      </c>
      <c r="O34" s="492">
        <f>I34+I35</f>
        <v>-3268.4217999999964</v>
      </c>
    </row>
    <row r="35" spans="2:15" s="11" customFormat="1">
      <c r="B35" s="495"/>
      <c r="C35" s="496"/>
      <c r="D35" s="7" t="s">
        <v>329</v>
      </c>
      <c r="E35" s="27" t="s">
        <v>284</v>
      </c>
      <c r="F35" s="1">
        <f>'Sardina comun'!G121</f>
        <v>30630.110000000004</v>
      </c>
      <c r="G35" s="27">
        <f>F35</f>
        <v>30630.110000000004</v>
      </c>
      <c r="H35" s="1">
        <f>'Sardina comun'!I121</f>
        <v>29386.718000000001</v>
      </c>
      <c r="I35" s="27">
        <f t="shared" ref="I35" si="7">G35-H35</f>
        <v>1243.3920000000035</v>
      </c>
      <c r="J35" s="6">
        <f t="shared" ref="J35" si="8">H35/G35</f>
        <v>0.95940621826039796</v>
      </c>
    </row>
    <row r="36" spans="2:15">
      <c r="B36" s="495"/>
      <c r="C36" s="496"/>
      <c r="D36" s="7" t="s">
        <v>138</v>
      </c>
      <c r="E36" s="27">
        <f>'Sardina comun'!F134</f>
        <v>14918.999000000002</v>
      </c>
      <c r="F36" s="1">
        <f>'Sardina comun'!G134</f>
        <v>-12190.243999999999</v>
      </c>
      <c r="G36" s="27">
        <f t="shared" si="4"/>
        <v>2728.7550000000028</v>
      </c>
      <c r="H36" s="1">
        <f>'Sardina comun'!I134</f>
        <v>1498.7449999999999</v>
      </c>
      <c r="I36" s="27">
        <f t="shared" si="5"/>
        <v>1230.0100000000029</v>
      </c>
      <c r="J36" s="6">
        <f t="shared" si="6"/>
        <v>0.54924132067554554</v>
      </c>
    </row>
    <row r="37" spans="2:15">
      <c r="B37" s="495"/>
      <c r="C37" s="496"/>
      <c r="D37" s="7" t="s">
        <v>145</v>
      </c>
      <c r="E37" s="1">
        <v>270</v>
      </c>
      <c r="F37" s="1"/>
      <c r="G37" s="27">
        <f t="shared" si="4"/>
        <v>270</v>
      </c>
      <c r="H37" s="1"/>
      <c r="I37" s="27">
        <f t="shared" si="5"/>
        <v>270</v>
      </c>
      <c r="J37" s="6">
        <f t="shared" si="6"/>
        <v>0</v>
      </c>
    </row>
    <row r="38" spans="2:15">
      <c r="B38" s="495"/>
      <c r="C38" s="494" t="s">
        <v>146</v>
      </c>
      <c r="D38" s="494"/>
      <c r="E38" s="27">
        <v>77680</v>
      </c>
      <c r="F38" s="1">
        <f>'Anchov y SardC LTP'!H64</f>
        <v>-71604.683999999979</v>
      </c>
      <c r="G38" s="27">
        <f t="shared" si="4"/>
        <v>6075.3160000000207</v>
      </c>
      <c r="H38" s="1">
        <f>'Anchov y SardC LTP'!J64</f>
        <v>5445.5910000000003</v>
      </c>
      <c r="I38" s="27">
        <f t="shared" si="5"/>
        <v>629.72500000002037</v>
      </c>
      <c r="J38" s="6">
        <f t="shared" si="6"/>
        <v>0.89634695545054477</v>
      </c>
    </row>
    <row r="39" spans="2:15">
      <c r="B39" s="495"/>
      <c r="C39" s="494" t="s">
        <v>147</v>
      </c>
      <c r="D39" s="494"/>
      <c r="E39" s="1">
        <v>180</v>
      </c>
      <c r="F39" s="1"/>
      <c r="G39" s="27">
        <f t="shared" si="4"/>
        <v>180</v>
      </c>
      <c r="H39" s="1">
        <f>'Pescas de Investigacion'!I6+'Pescas de Investigacion'!I8+'Pescas de Investigacion'!I14+'Pescas de Investigacion'!I16</f>
        <v>0.14899999999999999</v>
      </c>
      <c r="I39" s="27">
        <f t="shared" si="5"/>
        <v>179.851</v>
      </c>
      <c r="J39" s="6">
        <f t="shared" si="6"/>
        <v>8.2777777777777776E-4</v>
      </c>
    </row>
    <row r="40" spans="2:15">
      <c r="B40" s="495"/>
      <c r="C40" s="494" t="s">
        <v>149</v>
      </c>
      <c r="D40" s="494"/>
      <c r="E40" s="1">
        <v>3605</v>
      </c>
      <c r="F40" s="1"/>
      <c r="G40" s="27">
        <f t="shared" si="4"/>
        <v>3605</v>
      </c>
      <c r="H40" s="1">
        <f>'Consumo humano'!F7+'Consumo humano'!F9+'Consumo humano'!F11+'Consumo humano'!F12</f>
        <v>582.70500000000004</v>
      </c>
      <c r="I40" s="27">
        <f t="shared" si="5"/>
        <v>3022.2950000000001</v>
      </c>
      <c r="J40" s="6">
        <f t="shared" si="6"/>
        <v>0.16163800277392512</v>
      </c>
    </row>
    <row r="41" spans="2:15">
      <c r="B41" s="495"/>
      <c r="C41" s="494" t="s">
        <v>148</v>
      </c>
      <c r="D41" s="494"/>
      <c r="E41" s="1">
        <v>3605</v>
      </c>
      <c r="F41" s="1">
        <f>-721-1312.22-1227.866</f>
        <v>-3261.0860000000002</v>
      </c>
      <c r="G41" s="27">
        <f t="shared" si="4"/>
        <v>343.91399999999976</v>
      </c>
      <c r="H41" s="1"/>
      <c r="I41" s="27">
        <f t="shared" si="5"/>
        <v>343.91399999999976</v>
      </c>
      <c r="J41" s="6">
        <f t="shared" si="6"/>
        <v>0</v>
      </c>
    </row>
    <row r="42" spans="2:15">
      <c r="B42" s="495"/>
      <c r="C42" s="494" t="s">
        <v>150</v>
      </c>
      <c r="D42" s="494"/>
      <c r="E42" s="27">
        <f>SUM(E27:E41)</f>
        <v>360479.984</v>
      </c>
      <c r="F42" s="37">
        <f>SUM(F27:F41)</f>
        <v>1.0004441719502211E-11</v>
      </c>
      <c r="G42" s="27">
        <f t="shared" si="4"/>
        <v>360479.984</v>
      </c>
      <c r="H42" s="1">
        <f>SUM(H27:H41)</f>
        <v>169511.9047359876</v>
      </c>
      <c r="I42" s="27">
        <f t="shared" si="5"/>
        <v>190968.0792640124</v>
      </c>
      <c r="J42" s="6">
        <f t="shared" si="6"/>
        <v>0.47023943702790333</v>
      </c>
    </row>
  </sheetData>
  <mergeCells count="17">
    <mergeCell ref="B2:J2"/>
    <mergeCell ref="B3:J3"/>
    <mergeCell ref="B7:B22"/>
    <mergeCell ref="C22:D22"/>
    <mergeCell ref="C38:D38"/>
    <mergeCell ref="C21:D21"/>
    <mergeCell ref="C20:D20"/>
    <mergeCell ref="C19:D19"/>
    <mergeCell ref="C18:D18"/>
    <mergeCell ref="C7:C17"/>
    <mergeCell ref="B4:J4"/>
    <mergeCell ref="C42:D42"/>
    <mergeCell ref="B27:B42"/>
    <mergeCell ref="C27:C37"/>
    <mergeCell ref="C39:D39"/>
    <mergeCell ref="C40:D40"/>
    <mergeCell ref="C41:D41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32"/>
  <sheetViews>
    <sheetView zoomScale="90" zoomScaleNormal="90" workbookViewId="0">
      <pane ySplit="3" topLeftCell="A873" activePane="bottomLeft" state="frozen"/>
      <selection pane="bottomLeft" activeCell="G883" sqref="G883:H884"/>
    </sheetView>
  </sheetViews>
  <sheetFormatPr baseColWidth="10" defaultRowHeight="15"/>
  <cols>
    <col min="1" max="1" width="30.7109375" style="73" customWidth="1"/>
    <col min="2" max="2" width="16.140625" style="73" customWidth="1"/>
    <col min="3" max="3" width="12.42578125" style="73" customWidth="1"/>
    <col min="4" max="4" width="10.7109375" style="73" customWidth="1"/>
    <col min="5" max="5" width="13" style="73" customWidth="1"/>
    <col min="6" max="6" width="11" style="73" customWidth="1"/>
    <col min="7" max="7" width="19.42578125" style="73" customWidth="1"/>
    <col min="8" max="8" width="11.42578125" style="73" customWidth="1"/>
    <col min="9" max="9" width="11.42578125" style="119" customWidth="1"/>
    <col min="10" max="10" width="15.140625" style="73" customWidth="1"/>
    <col min="11" max="11" width="14.28515625" style="90" customWidth="1"/>
    <col min="12" max="12" width="14.5703125" style="117" customWidth="1"/>
    <col min="13" max="13" width="11.42578125" style="93"/>
    <col min="14" max="14" width="12.7109375" style="115" customWidth="1"/>
    <col min="15" max="16384" width="11.42578125" style="73"/>
  </cols>
  <sheetData>
    <row r="1" spans="1:18" s="69" customFormat="1">
      <c r="I1" s="85"/>
      <c r="K1" s="88"/>
      <c r="L1" s="116"/>
      <c r="M1" s="91"/>
      <c r="N1" s="113"/>
    </row>
    <row r="2" spans="1:18" s="69" customFormat="1">
      <c r="B2" s="569" t="s">
        <v>205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Q2" s="69" t="s">
        <v>157</v>
      </c>
      <c r="R2" s="69" t="s">
        <v>298</v>
      </c>
    </row>
    <row r="3" spans="1:18" s="69" customFormat="1" ht="27" customHeight="1">
      <c r="A3" s="72" t="s">
        <v>209</v>
      </c>
      <c r="B3" s="52" t="s">
        <v>196</v>
      </c>
      <c r="C3" s="52" t="s">
        <v>197</v>
      </c>
      <c r="D3" s="52" t="s">
        <v>198</v>
      </c>
      <c r="E3" s="52" t="s">
        <v>208</v>
      </c>
      <c r="F3" s="52" t="s">
        <v>199</v>
      </c>
      <c r="G3" s="52" t="s">
        <v>200</v>
      </c>
      <c r="H3" s="52" t="s">
        <v>201</v>
      </c>
      <c r="I3" s="52" t="s">
        <v>202</v>
      </c>
      <c r="J3" s="52" t="s">
        <v>203</v>
      </c>
      <c r="K3" s="89" t="s">
        <v>204</v>
      </c>
      <c r="L3" s="52" t="s">
        <v>141</v>
      </c>
      <c r="M3" s="92" t="s">
        <v>142</v>
      </c>
      <c r="N3" s="114" t="s">
        <v>143</v>
      </c>
      <c r="Q3" s="91">
        <f>L4+L6+L7+L10+L11+L14+L16+L18+L20+L22+L24+L26+L30+L31+L33+L34+L37+L39+L41+L43+L45+L47+L49+L51+L54+L56+L58+L60+L62+L64+L66+L68+L70+L72+L74+L76+L78+L80+L82+L84+L86+L88+L90+L92+L94+L96+L98+L99+L100+L101+L106+L107+L110+L112+L114+L116+L118+L119+L120+L124+L125+L126+L130+L131+L132+L133+L138+L140+L142+L144+L146+L147+L150+L151+L152+L153+L158+L159+L160+L164+L166+L168+L170+L172+L174+L176+L178+L180+L182+L184+L186+L188+L190+L192+L194+L196+L198+L200+L204+L205+L206+L207+L212+L214+L216+L218+L220+L222+L224+L226+L228+L230+L232+L234+L236+L238+L240+L242+L243+L246+L247+L250+L252+L254+L256+L258+L260+L262+L264+L266+L268+L270+L272+L273+L274+L275+L280+L281+L284+L286+L288+L290+L291+L294+L296+L298+L300+L302+L304+L305+L306+L310+L312+L314+L316+L318+L320+L322+L324+L326+L328+L330+L332+L334+L336+L338+L340+L342+L344+L346+L348+L350+L352+L354+L356+L358+L360+L362+L364+L365+L368+L369+L372+L373+L376+L377+L380+L381+L382+L383+L388+L389+L390+L391+L396+L398+L400+L402+L404+L406+L408+L409+L413+L415+L417+L419+L421+L423+L425+L427+L429+K431+L433+L435+L437+L439+L441+L443+L445+L447+L448+L451+L452+L453+L468+L470+L471++L474+L475+L478+L479+L481+L483+L485+L486+L488+L490+L492+L493+L494+L495+L500+L502+L503+L504+L506+L507+L510+L511+L514+L515+L516+L517+L522+L523+L526+L528+L529+L530+L531+L536+L537+L540+L541+L544+L546+L548+L550+L552+L554+L556+L558+L559+L560+L561+L566+L567+L568+L572+L573+L574+L578+L579+L582+L584+L586+L588+L590+L591+L594+L595+L596+L597+L598+L599+L604+L605+L607+L609+L611+L613+L615+L617+L619+L621+L623+L625+L627+L629+L631+L633+L635+L637+L639+L641+L643+L645+L647+L649+L651+L653+L655+L657+L659+L661+L662+L664+L666+L668+L670+L672+L674+L676+L678+L679+L680+L684+L685+L686+L687+L694+L696+L698+L700+L701+L704+L706+L708+L710+L711+L714+L716+L717+L718+L719+L722+L724+L725+L728+L730+L732+L734+L736+L738+L740+L742+L744+L746+L748+L749+L750+L754+L755+L758+L759+L760+L762+L764+L766</f>
        <v>30315.037</v>
      </c>
      <c r="R3" s="91">
        <f>L5+L8+L9+L12+L13+L15+L17+L19+L21+L23+L25+L27+L28+L29+L32+L35+L36+L38+L40+L42+L44+L46+L48+L50+L52+L53+L55+L57+L59+L61+L63+L65+L67+L69+L71+L73+L75+L77+L79+L81+L83+L85+L87+L89+L91+L93+L95+L97+L102+L103+L104+L105+L108+L109+L111+L113+L115+L117+L121+L122+L123+L127+L128+L129+L134+L135+L136+L137+L139+L141+L143+L145+L148+L149+L154+L155+L156+L157+L161+L162+L163+L165+L167+L169+L171+L173+L175+L177+L179+L181+L183+L185+L187+L189+L191+L193+L195+L197+L199+L201+L202+L203+L208+L209+L210+L211+L213+L215+L217+L219+L221+L223+L225+L227+L229+L231+L233+L235+L237+L239+L241+L244+L245+L248+L249+L251+L253+L255+L257+L259+L261+L263+L265+L267+L269+L271+L276+L277+L278+L279+L282+L283+L285+L287+L289+L292+L293+L295+L297+L299+L301+L303+L307+L308+L309+L311+L313+L315+L317+L319+L321+L323+L325+L327+L329+L331+L333+L335+L337+L339+L341+L343+L345+L347+L349+L351+L353+L355+L357+L359+L361+L363+L366+L367+L370+L371+L374+L375+L378+L379+L384+L385+L386+L387+L392+L393+L394+L395+L397+L399+L401+L403+L405+L407+L410+L411+L412+L414+L416+L418+L420+L422+L424+L426+L428+L430+K432+L434+L436+L438+L440+L442+L444+L446+L449+L450+L454+L455+L456+L457+L458+L459+L460+L461+L462+L463+L464+L465+L466+L467+L469+L472+L473+L476+L477+L480+L482+L484+L487+L489+L491+L496+L497+L498+L499+L501+L505+L508+L509+L512+L513+L518+L519+L520+L521+L524+L525+L527+L532+L533+L534+L535+L538+L539+L542+L543+L545+L547+L549+L551+L553+L555+L557+L562+L563+L564+L565+L569+L570+L571+L575+L576+L577+L580+L581+L583+L585+L587+L589+L592+L593+L600+L601+L602+L603+L606+L608+L610+L612+L614+L616+L618+L620+L622+L624+L626+L628+L630+L632+L634+L636+L638+L640+L642+L644+L646+L648+L650+L652+L654+L656+L658+L660+L663+L665+L667+L669+L671+L673+L675+L677+L681+L682+L683+L689+L690+L691+L692+L693+L695+L697+L699+L702+L703+L705+L707+L709+L712+L713+L715+L720+L721+L723+L726+L727+L729+L731+L733+L735+L737+L739+L741+L743+L745+L747+L751+L752+L753+L756+L757+L761+L763+L765</f>
        <v>18301.585000000014</v>
      </c>
    </row>
    <row r="4" spans="1:18">
      <c r="A4" s="147" t="s">
        <v>330</v>
      </c>
      <c r="B4" s="147" t="s">
        <v>331</v>
      </c>
      <c r="C4" s="124">
        <v>44595</v>
      </c>
      <c r="D4" s="147">
        <v>2</v>
      </c>
      <c r="E4" s="147" t="s">
        <v>332</v>
      </c>
      <c r="F4" s="147" t="s">
        <v>333</v>
      </c>
      <c r="G4" s="147" t="s">
        <v>334</v>
      </c>
      <c r="H4" s="147">
        <v>697635</v>
      </c>
      <c r="I4" s="118"/>
      <c r="J4" s="147" t="s">
        <v>191</v>
      </c>
      <c r="K4" s="108">
        <v>200</v>
      </c>
      <c r="L4" s="82">
        <v>46.837000000000003</v>
      </c>
      <c r="M4" s="149">
        <f>K4-L4</f>
        <v>153.16300000000001</v>
      </c>
      <c r="N4" s="148">
        <f>L4/K4</f>
        <v>0.234185</v>
      </c>
    </row>
    <row r="5" spans="1:18">
      <c r="A5" s="147" t="s">
        <v>330</v>
      </c>
      <c r="B5" s="147" t="s">
        <v>331</v>
      </c>
      <c r="C5" s="124">
        <v>44595</v>
      </c>
      <c r="D5" s="147">
        <v>2</v>
      </c>
      <c r="E5" s="147" t="s">
        <v>332</v>
      </c>
      <c r="F5" s="147" t="s">
        <v>333</v>
      </c>
      <c r="G5" s="147" t="s">
        <v>334</v>
      </c>
      <c r="H5" s="147">
        <v>697635</v>
      </c>
      <c r="I5" s="118"/>
      <c r="J5" s="147" t="s">
        <v>192</v>
      </c>
      <c r="K5" s="108">
        <v>200</v>
      </c>
      <c r="L5" s="82">
        <v>351.91800000000001</v>
      </c>
      <c r="M5" s="149">
        <f>K5-L5</f>
        <v>-151.91800000000001</v>
      </c>
      <c r="N5" s="148">
        <f>L5/K5</f>
        <v>1.75959</v>
      </c>
    </row>
    <row r="6" spans="1:18">
      <c r="A6" s="147" t="s">
        <v>341</v>
      </c>
      <c r="B6" s="147" t="s">
        <v>335</v>
      </c>
      <c r="C6" s="124">
        <v>44593</v>
      </c>
      <c r="D6" s="147">
        <v>258</v>
      </c>
      <c r="E6" s="274" t="s">
        <v>670</v>
      </c>
      <c r="F6" s="147" t="s">
        <v>333</v>
      </c>
      <c r="G6" s="147" t="s">
        <v>336</v>
      </c>
      <c r="H6" s="147">
        <v>951136</v>
      </c>
      <c r="I6" s="118"/>
      <c r="J6" s="147" t="s">
        <v>191</v>
      </c>
      <c r="K6" s="560">
        <v>140.47800000000001</v>
      </c>
      <c r="L6" s="82">
        <v>56.411000000000001</v>
      </c>
      <c r="M6" s="562">
        <f>K6-(L6+L7)</f>
        <v>-128.29199999999997</v>
      </c>
      <c r="N6" s="564">
        <f>(L6+L7)/K6</f>
        <v>1.9132533208046809</v>
      </c>
    </row>
    <row r="7" spans="1:18">
      <c r="A7" s="151" t="s">
        <v>341</v>
      </c>
      <c r="B7" s="150" t="s">
        <v>335</v>
      </c>
      <c r="C7" s="124">
        <v>44593</v>
      </c>
      <c r="D7" s="150">
        <v>258</v>
      </c>
      <c r="E7" s="274" t="s">
        <v>670</v>
      </c>
      <c r="F7" s="150" t="s">
        <v>333</v>
      </c>
      <c r="G7" s="150" t="s">
        <v>337</v>
      </c>
      <c r="H7" s="150">
        <v>965823</v>
      </c>
      <c r="I7" s="118"/>
      <c r="J7" s="150" t="s">
        <v>191</v>
      </c>
      <c r="K7" s="561"/>
      <c r="L7" s="82">
        <v>212.35900000000001</v>
      </c>
      <c r="M7" s="563"/>
      <c r="N7" s="565"/>
    </row>
    <row r="8" spans="1:18">
      <c r="A8" s="151" t="s">
        <v>341</v>
      </c>
      <c r="B8" s="150" t="s">
        <v>335</v>
      </c>
      <c r="C8" s="124">
        <v>44593</v>
      </c>
      <c r="D8" s="150">
        <v>258</v>
      </c>
      <c r="E8" s="274" t="s">
        <v>670</v>
      </c>
      <c r="F8" s="150" t="s">
        <v>333</v>
      </c>
      <c r="G8" s="150" t="s">
        <v>336</v>
      </c>
      <c r="H8" s="150">
        <v>951136</v>
      </c>
      <c r="I8" s="118"/>
      <c r="J8" s="147" t="s">
        <v>192</v>
      </c>
      <c r="K8" s="560">
        <v>562.68700000000001</v>
      </c>
      <c r="L8" s="82">
        <v>31.928999999999998</v>
      </c>
      <c r="M8" s="562">
        <f>K8-(L8+L9)</f>
        <v>126.65700000000004</v>
      </c>
      <c r="N8" s="564">
        <f>(L8+L9)/K8</f>
        <v>0.7749068309735252</v>
      </c>
    </row>
    <row r="9" spans="1:18">
      <c r="A9" s="151" t="s">
        <v>341</v>
      </c>
      <c r="B9" s="150" t="s">
        <v>335</v>
      </c>
      <c r="C9" s="124">
        <v>44593</v>
      </c>
      <c r="D9" s="150">
        <v>258</v>
      </c>
      <c r="E9" s="274" t="s">
        <v>670</v>
      </c>
      <c r="F9" s="150" t="s">
        <v>333</v>
      </c>
      <c r="G9" s="150" t="s">
        <v>337</v>
      </c>
      <c r="H9" s="150">
        <v>965823</v>
      </c>
      <c r="I9" s="118"/>
      <c r="J9" s="150" t="s">
        <v>192</v>
      </c>
      <c r="K9" s="561"/>
      <c r="L9" s="82">
        <v>404.101</v>
      </c>
      <c r="M9" s="563"/>
      <c r="N9" s="565"/>
    </row>
    <row r="10" spans="1:18">
      <c r="A10" s="147" t="s">
        <v>338</v>
      </c>
      <c r="B10" s="150" t="s">
        <v>335</v>
      </c>
      <c r="C10" s="124">
        <v>44594</v>
      </c>
      <c r="D10" s="147">
        <v>260</v>
      </c>
      <c r="E10" s="274" t="s">
        <v>670</v>
      </c>
      <c r="F10" s="147" t="s">
        <v>333</v>
      </c>
      <c r="G10" s="147" t="s">
        <v>339</v>
      </c>
      <c r="H10" s="147">
        <v>923199</v>
      </c>
      <c r="I10" s="118"/>
      <c r="J10" s="150" t="s">
        <v>191</v>
      </c>
      <c r="K10" s="560">
        <v>74</v>
      </c>
      <c r="L10" s="82">
        <v>258.10199999999998</v>
      </c>
      <c r="M10" s="562">
        <f>K10-(L10+L11)</f>
        <v>-184.10199999999998</v>
      </c>
      <c r="N10" s="564">
        <f>(L10+L11)/K10</f>
        <v>3.4878648648648647</v>
      </c>
    </row>
    <row r="11" spans="1:18">
      <c r="A11" s="150" t="s">
        <v>338</v>
      </c>
      <c r="B11" s="150" t="s">
        <v>335</v>
      </c>
      <c r="C11" s="124">
        <v>44595</v>
      </c>
      <c r="D11" s="150">
        <v>260</v>
      </c>
      <c r="E11" s="274" t="s">
        <v>670</v>
      </c>
      <c r="F11" s="150" t="s">
        <v>333</v>
      </c>
      <c r="G11" s="147" t="s">
        <v>340</v>
      </c>
      <c r="H11" s="147">
        <v>964068</v>
      </c>
      <c r="I11" s="118"/>
      <c r="J11" s="150" t="s">
        <v>191</v>
      </c>
      <c r="K11" s="561"/>
      <c r="L11" s="82"/>
      <c r="M11" s="563"/>
      <c r="N11" s="565"/>
    </row>
    <row r="12" spans="1:18">
      <c r="A12" s="150" t="s">
        <v>338</v>
      </c>
      <c r="B12" s="150" t="s">
        <v>335</v>
      </c>
      <c r="C12" s="124">
        <v>44596</v>
      </c>
      <c r="D12" s="150">
        <v>260</v>
      </c>
      <c r="E12" s="274" t="s">
        <v>670</v>
      </c>
      <c r="F12" s="150" t="s">
        <v>333</v>
      </c>
      <c r="G12" s="147" t="s">
        <v>339</v>
      </c>
      <c r="H12" s="150">
        <v>923199</v>
      </c>
      <c r="I12" s="118"/>
      <c r="J12" s="150" t="s">
        <v>192</v>
      </c>
      <c r="K12" s="560">
        <v>297</v>
      </c>
      <c r="L12" s="82">
        <v>112.861</v>
      </c>
      <c r="M12" s="562">
        <f>K12-(L12+L13)</f>
        <v>184.13900000000001</v>
      </c>
      <c r="N12" s="564">
        <f>(L12+L13)/K12</f>
        <v>0.38000336700336701</v>
      </c>
    </row>
    <row r="13" spans="1:18">
      <c r="A13" s="150" t="s">
        <v>338</v>
      </c>
      <c r="B13" s="150" t="s">
        <v>335</v>
      </c>
      <c r="C13" s="124">
        <v>44597</v>
      </c>
      <c r="D13" s="150">
        <v>260</v>
      </c>
      <c r="E13" s="274" t="s">
        <v>670</v>
      </c>
      <c r="F13" s="150" t="s">
        <v>333</v>
      </c>
      <c r="G13" s="147" t="s">
        <v>340</v>
      </c>
      <c r="H13" s="150">
        <v>964068</v>
      </c>
      <c r="I13" s="118"/>
      <c r="J13" s="150" t="s">
        <v>192</v>
      </c>
      <c r="K13" s="561"/>
      <c r="L13" s="82"/>
      <c r="M13" s="563"/>
      <c r="N13" s="565"/>
    </row>
    <row r="14" spans="1:18">
      <c r="A14" s="274" t="s">
        <v>692</v>
      </c>
      <c r="B14" s="147" t="s">
        <v>331</v>
      </c>
      <c r="C14" s="124">
        <v>44596</v>
      </c>
      <c r="D14" s="147">
        <v>317</v>
      </c>
      <c r="E14" s="274" t="s">
        <v>670</v>
      </c>
      <c r="F14" s="147" t="s">
        <v>342</v>
      </c>
      <c r="G14" s="147" t="s">
        <v>343</v>
      </c>
      <c r="H14" s="147">
        <v>968532</v>
      </c>
      <c r="I14" s="118"/>
      <c r="J14" s="147" t="s">
        <v>191</v>
      </c>
      <c r="K14" s="108">
        <v>200</v>
      </c>
      <c r="L14" s="82">
        <v>199.614</v>
      </c>
      <c r="M14" s="149">
        <f t="shared" ref="M14:M27" si="0">K14-L14</f>
        <v>0.38599999999999568</v>
      </c>
      <c r="N14" s="148">
        <f t="shared" ref="N14:N27" si="1">L14/K14</f>
        <v>0.99807000000000001</v>
      </c>
    </row>
    <row r="15" spans="1:18">
      <c r="A15" s="274" t="s">
        <v>692</v>
      </c>
      <c r="B15" s="151" t="s">
        <v>331</v>
      </c>
      <c r="C15" s="124">
        <v>44596</v>
      </c>
      <c r="D15" s="151">
        <v>317</v>
      </c>
      <c r="E15" s="274" t="s">
        <v>670</v>
      </c>
      <c r="F15" s="151" t="s">
        <v>342</v>
      </c>
      <c r="G15" s="151" t="s">
        <v>343</v>
      </c>
      <c r="H15" s="147">
        <v>968532</v>
      </c>
      <c r="I15" s="118"/>
      <c r="J15" s="147" t="s">
        <v>192</v>
      </c>
      <c r="K15" s="108">
        <v>110</v>
      </c>
      <c r="L15" s="82">
        <v>110.389</v>
      </c>
      <c r="M15" s="153">
        <f t="shared" si="0"/>
        <v>-0.38899999999999579</v>
      </c>
      <c r="N15" s="152">
        <f t="shared" si="1"/>
        <v>1.0035363636363637</v>
      </c>
    </row>
    <row r="16" spans="1:18">
      <c r="A16" s="274" t="s">
        <v>692</v>
      </c>
      <c r="B16" s="151" t="s">
        <v>331</v>
      </c>
      <c r="C16" s="124">
        <v>44596</v>
      </c>
      <c r="D16" s="151">
        <v>317</v>
      </c>
      <c r="E16" s="274" t="s">
        <v>670</v>
      </c>
      <c r="F16" s="151" t="s">
        <v>342</v>
      </c>
      <c r="G16" s="147" t="s">
        <v>344</v>
      </c>
      <c r="H16" s="147">
        <v>960094</v>
      </c>
      <c r="I16" s="118"/>
      <c r="J16" s="151" t="s">
        <v>191</v>
      </c>
      <c r="K16" s="108">
        <v>100</v>
      </c>
      <c r="L16" s="82">
        <v>212.202</v>
      </c>
      <c r="M16" s="153">
        <f t="shared" si="0"/>
        <v>-112.202</v>
      </c>
      <c r="N16" s="152">
        <f t="shared" si="1"/>
        <v>2.12202</v>
      </c>
    </row>
    <row r="17" spans="1:14">
      <c r="A17" s="274" t="s">
        <v>692</v>
      </c>
      <c r="B17" s="151" t="s">
        <v>331</v>
      </c>
      <c r="C17" s="124">
        <v>44596</v>
      </c>
      <c r="D17" s="151">
        <v>317</v>
      </c>
      <c r="E17" s="274" t="s">
        <v>670</v>
      </c>
      <c r="F17" s="151" t="s">
        <v>342</v>
      </c>
      <c r="G17" s="151" t="s">
        <v>344</v>
      </c>
      <c r="H17" s="147">
        <v>960094</v>
      </c>
      <c r="I17" s="118"/>
      <c r="J17" s="151" t="s">
        <v>192</v>
      </c>
      <c r="K17" s="108">
        <v>200</v>
      </c>
      <c r="L17" s="82">
        <v>0.35499999999999998</v>
      </c>
      <c r="M17" s="153">
        <f t="shared" si="0"/>
        <v>199.64500000000001</v>
      </c>
      <c r="N17" s="152">
        <f t="shared" si="1"/>
        <v>1.7749999999999999E-3</v>
      </c>
    </row>
    <row r="18" spans="1:14">
      <c r="A18" s="274" t="s">
        <v>692</v>
      </c>
      <c r="B18" s="151" t="s">
        <v>331</v>
      </c>
      <c r="C18" s="124">
        <v>44596</v>
      </c>
      <c r="D18" s="151">
        <v>317</v>
      </c>
      <c r="E18" s="274" t="s">
        <v>670</v>
      </c>
      <c r="F18" s="151" t="s">
        <v>342</v>
      </c>
      <c r="G18" s="147" t="s">
        <v>345</v>
      </c>
      <c r="H18" s="147">
        <v>923977</v>
      </c>
      <c r="I18" s="118"/>
      <c r="J18" s="151" t="s">
        <v>191</v>
      </c>
      <c r="K18" s="108">
        <v>100</v>
      </c>
      <c r="L18" s="82">
        <v>162.73699999999999</v>
      </c>
      <c r="M18" s="153">
        <f t="shared" si="0"/>
        <v>-62.736999999999995</v>
      </c>
      <c r="N18" s="152">
        <f t="shared" si="1"/>
        <v>1.62737</v>
      </c>
    </row>
    <row r="19" spans="1:14">
      <c r="A19" s="274" t="s">
        <v>692</v>
      </c>
      <c r="B19" s="151" t="s">
        <v>331</v>
      </c>
      <c r="C19" s="124">
        <v>44596</v>
      </c>
      <c r="D19" s="151">
        <v>317</v>
      </c>
      <c r="E19" s="274" t="s">
        <v>670</v>
      </c>
      <c r="F19" s="151" t="s">
        <v>342</v>
      </c>
      <c r="G19" s="151" t="s">
        <v>345</v>
      </c>
      <c r="H19" s="147">
        <v>923977</v>
      </c>
      <c r="I19" s="118"/>
      <c r="J19" s="151" t="s">
        <v>192</v>
      </c>
      <c r="K19" s="108">
        <v>200</v>
      </c>
      <c r="L19" s="82">
        <v>66.638000000000005</v>
      </c>
      <c r="M19" s="153">
        <f t="shared" si="0"/>
        <v>133.36199999999999</v>
      </c>
      <c r="N19" s="152">
        <f t="shared" si="1"/>
        <v>0.33319000000000004</v>
      </c>
    </row>
    <row r="20" spans="1:14">
      <c r="A20" s="274" t="s">
        <v>692</v>
      </c>
      <c r="B20" s="151" t="s">
        <v>331</v>
      </c>
      <c r="C20" s="124">
        <v>44596</v>
      </c>
      <c r="D20" s="151">
        <v>317</v>
      </c>
      <c r="E20" s="274" t="s">
        <v>670</v>
      </c>
      <c r="F20" s="151" t="s">
        <v>342</v>
      </c>
      <c r="G20" s="147" t="s">
        <v>346</v>
      </c>
      <c r="H20" s="147">
        <v>968281</v>
      </c>
      <c r="I20" s="118"/>
      <c r="J20" s="151" t="s">
        <v>191</v>
      </c>
      <c r="K20" s="108">
        <v>100</v>
      </c>
      <c r="L20" s="82">
        <v>192.07</v>
      </c>
      <c r="M20" s="153">
        <f t="shared" si="0"/>
        <v>-92.07</v>
      </c>
      <c r="N20" s="152">
        <f t="shared" si="1"/>
        <v>1.9206999999999999</v>
      </c>
    </row>
    <row r="21" spans="1:14">
      <c r="A21" s="274" t="s">
        <v>692</v>
      </c>
      <c r="B21" s="151" t="s">
        <v>331</v>
      </c>
      <c r="C21" s="124">
        <v>44596</v>
      </c>
      <c r="D21" s="151">
        <v>317</v>
      </c>
      <c r="E21" s="274" t="s">
        <v>670</v>
      </c>
      <c r="F21" s="151" t="s">
        <v>342</v>
      </c>
      <c r="G21" s="151" t="s">
        <v>346</v>
      </c>
      <c r="H21" s="147">
        <v>968281</v>
      </c>
      <c r="I21" s="118"/>
      <c r="J21" s="151" t="s">
        <v>192</v>
      </c>
      <c r="K21" s="108">
        <v>100</v>
      </c>
      <c r="L21" s="82">
        <v>35.101999999999997</v>
      </c>
      <c r="M21" s="153">
        <f t="shared" si="0"/>
        <v>64.897999999999996</v>
      </c>
      <c r="N21" s="152">
        <f t="shared" si="1"/>
        <v>0.35101999999999994</v>
      </c>
    </row>
    <row r="22" spans="1:14">
      <c r="A22" s="274" t="s">
        <v>692</v>
      </c>
      <c r="B22" s="151" t="s">
        <v>331</v>
      </c>
      <c r="C22" s="124">
        <v>44596</v>
      </c>
      <c r="D22" s="151">
        <v>317</v>
      </c>
      <c r="E22" s="274" t="s">
        <v>670</v>
      </c>
      <c r="F22" s="151" t="s">
        <v>342</v>
      </c>
      <c r="G22" s="147" t="s">
        <v>347</v>
      </c>
      <c r="H22" s="147">
        <v>955516</v>
      </c>
      <c r="I22" s="118"/>
      <c r="J22" s="151" t="s">
        <v>191</v>
      </c>
      <c r="K22" s="108">
        <v>90</v>
      </c>
      <c r="L22" s="82">
        <v>214</v>
      </c>
      <c r="M22" s="153">
        <f t="shared" si="0"/>
        <v>-124</v>
      </c>
      <c r="N22" s="152">
        <f t="shared" si="1"/>
        <v>2.3777777777777778</v>
      </c>
    </row>
    <row r="23" spans="1:14">
      <c r="A23" s="274" t="s">
        <v>692</v>
      </c>
      <c r="B23" s="151" t="s">
        <v>331</v>
      </c>
      <c r="C23" s="124">
        <v>44596</v>
      </c>
      <c r="D23" s="151">
        <v>317</v>
      </c>
      <c r="E23" s="274" t="s">
        <v>670</v>
      </c>
      <c r="F23" s="151" t="s">
        <v>342</v>
      </c>
      <c r="G23" s="151" t="s">
        <v>347</v>
      </c>
      <c r="H23" s="147">
        <v>955516</v>
      </c>
      <c r="I23" s="118"/>
      <c r="J23" s="151" t="s">
        <v>192</v>
      </c>
      <c r="K23" s="108">
        <v>210</v>
      </c>
      <c r="L23" s="82">
        <v>80.897999999999996</v>
      </c>
      <c r="M23" s="153">
        <f t="shared" si="0"/>
        <v>129.102</v>
      </c>
      <c r="N23" s="152">
        <f t="shared" si="1"/>
        <v>0.38522857142857142</v>
      </c>
    </row>
    <row r="24" spans="1:14">
      <c r="A24" s="274" t="s">
        <v>692</v>
      </c>
      <c r="B24" s="151" t="s">
        <v>331</v>
      </c>
      <c r="C24" s="124">
        <v>44596</v>
      </c>
      <c r="D24" s="151">
        <v>317</v>
      </c>
      <c r="E24" s="274" t="s">
        <v>670</v>
      </c>
      <c r="F24" s="151" t="s">
        <v>342</v>
      </c>
      <c r="G24" s="147" t="s">
        <v>348</v>
      </c>
      <c r="H24" s="147">
        <v>952004</v>
      </c>
      <c r="I24" s="118"/>
      <c r="J24" s="151" t="s">
        <v>191</v>
      </c>
      <c r="K24" s="108">
        <v>250</v>
      </c>
      <c r="L24" s="82">
        <v>323.67700000000002</v>
      </c>
      <c r="M24" s="153">
        <f t="shared" si="0"/>
        <v>-73.677000000000021</v>
      </c>
      <c r="N24" s="152">
        <f t="shared" si="1"/>
        <v>1.2947080000000002</v>
      </c>
    </row>
    <row r="25" spans="1:14">
      <c r="A25" s="274" t="s">
        <v>692</v>
      </c>
      <c r="B25" s="151" t="s">
        <v>331</v>
      </c>
      <c r="C25" s="124">
        <v>44596</v>
      </c>
      <c r="D25" s="151">
        <v>317</v>
      </c>
      <c r="E25" s="274" t="s">
        <v>670</v>
      </c>
      <c r="F25" s="151" t="s">
        <v>342</v>
      </c>
      <c r="G25" s="151" t="s">
        <v>348</v>
      </c>
      <c r="H25" s="147">
        <v>952004</v>
      </c>
      <c r="I25" s="118"/>
      <c r="J25" s="151" t="s">
        <v>192</v>
      </c>
      <c r="K25" s="108">
        <v>90</v>
      </c>
      <c r="L25" s="82">
        <v>16.687000000000001</v>
      </c>
      <c r="M25" s="153">
        <f t="shared" si="0"/>
        <v>73.313000000000002</v>
      </c>
      <c r="N25" s="152">
        <f t="shared" si="1"/>
        <v>0.18541111111111114</v>
      </c>
    </row>
    <row r="26" spans="1:14">
      <c r="A26" s="154" t="s">
        <v>349</v>
      </c>
      <c r="B26" s="154" t="s">
        <v>331</v>
      </c>
      <c r="C26" s="124">
        <v>44600</v>
      </c>
      <c r="D26" s="147">
        <v>5</v>
      </c>
      <c r="E26" s="154" t="s">
        <v>332</v>
      </c>
      <c r="F26" s="154" t="s">
        <v>333</v>
      </c>
      <c r="G26" s="154" t="s">
        <v>350</v>
      </c>
      <c r="H26" s="147">
        <v>697484</v>
      </c>
      <c r="I26" s="118"/>
      <c r="J26" s="154" t="s">
        <v>191</v>
      </c>
      <c r="K26" s="108">
        <v>48.7</v>
      </c>
      <c r="L26" s="82">
        <v>76.513999999999996</v>
      </c>
      <c r="M26" s="149">
        <f t="shared" si="0"/>
        <v>-27.813999999999993</v>
      </c>
      <c r="N26" s="148">
        <f t="shared" si="1"/>
        <v>1.5711293634496919</v>
      </c>
    </row>
    <row r="27" spans="1:14">
      <c r="A27" s="154" t="s">
        <v>349</v>
      </c>
      <c r="B27" s="154" t="s">
        <v>331</v>
      </c>
      <c r="C27" s="124">
        <v>44600</v>
      </c>
      <c r="D27" s="147">
        <v>5</v>
      </c>
      <c r="E27" s="154" t="s">
        <v>332</v>
      </c>
      <c r="F27" s="154" t="s">
        <v>333</v>
      </c>
      <c r="G27" s="154" t="s">
        <v>350</v>
      </c>
      <c r="H27" s="147">
        <v>697484</v>
      </c>
      <c r="I27" s="118"/>
      <c r="J27" s="154" t="s">
        <v>192</v>
      </c>
      <c r="K27" s="108">
        <v>91</v>
      </c>
      <c r="L27" s="82">
        <v>63.186</v>
      </c>
      <c r="M27" s="149">
        <f t="shared" si="0"/>
        <v>27.814</v>
      </c>
      <c r="N27" s="148">
        <f t="shared" si="1"/>
        <v>0.69435164835164831</v>
      </c>
    </row>
    <row r="28" spans="1:14">
      <c r="A28" s="147" t="s">
        <v>578</v>
      </c>
      <c r="B28" s="147" t="s">
        <v>335</v>
      </c>
      <c r="C28" s="124">
        <v>44608</v>
      </c>
      <c r="D28" s="147">
        <v>7</v>
      </c>
      <c r="E28" s="171" t="s">
        <v>332</v>
      </c>
      <c r="F28" s="171" t="s">
        <v>333</v>
      </c>
      <c r="G28" s="147" t="s">
        <v>549</v>
      </c>
      <c r="H28" s="147">
        <v>964980</v>
      </c>
      <c r="I28" s="118"/>
      <c r="J28" s="147" t="s">
        <v>192</v>
      </c>
      <c r="K28" s="560">
        <v>980</v>
      </c>
      <c r="L28" s="82">
        <v>349.89800000000002</v>
      </c>
      <c r="M28" s="562">
        <f>K28-(L28+L29)</f>
        <v>459.423</v>
      </c>
      <c r="N28" s="564">
        <f>(L28+L29)/K28</f>
        <v>0.5312010204081633</v>
      </c>
    </row>
    <row r="29" spans="1:14">
      <c r="A29" s="171" t="s">
        <v>578</v>
      </c>
      <c r="B29" s="147" t="s">
        <v>335</v>
      </c>
      <c r="C29" s="124">
        <v>44608</v>
      </c>
      <c r="D29" s="147">
        <v>7</v>
      </c>
      <c r="E29" s="171" t="s">
        <v>332</v>
      </c>
      <c r="F29" s="171" t="s">
        <v>333</v>
      </c>
      <c r="G29" s="147" t="s">
        <v>550</v>
      </c>
      <c r="H29" s="147">
        <v>698447</v>
      </c>
      <c r="I29" s="118"/>
      <c r="J29" s="147" t="s">
        <v>192</v>
      </c>
      <c r="K29" s="561"/>
      <c r="L29" s="82">
        <v>170.679</v>
      </c>
      <c r="M29" s="563"/>
      <c r="N29" s="565"/>
    </row>
    <row r="30" spans="1:14">
      <c r="A30" s="171" t="s">
        <v>578</v>
      </c>
      <c r="B30" s="171" t="s">
        <v>335</v>
      </c>
      <c r="C30" s="124">
        <v>44608</v>
      </c>
      <c r="D30" s="171">
        <v>7</v>
      </c>
      <c r="E30" s="171" t="s">
        <v>332</v>
      </c>
      <c r="F30" s="171" t="s">
        <v>333</v>
      </c>
      <c r="G30" s="171" t="s">
        <v>549</v>
      </c>
      <c r="H30" s="171">
        <v>964980</v>
      </c>
      <c r="I30" s="118"/>
      <c r="J30" s="147" t="s">
        <v>191</v>
      </c>
      <c r="K30" s="560">
        <v>520</v>
      </c>
      <c r="L30" s="82">
        <v>734.53700000000003</v>
      </c>
      <c r="M30" s="562">
        <f>K30-(L30+L31)</f>
        <v>-459.423</v>
      </c>
      <c r="N30" s="564">
        <f>(L30+L31)/K30</f>
        <v>1.8835057692307693</v>
      </c>
    </row>
    <row r="31" spans="1:14">
      <c r="A31" s="171" t="s">
        <v>578</v>
      </c>
      <c r="B31" s="171" t="s">
        <v>335</v>
      </c>
      <c r="C31" s="124">
        <v>44608</v>
      </c>
      <c r="D31" s="171">
        <v>7</v>
      </c>
      <c r="E31" s="171" t="s">
        <v>332</v>
      </c>
      <c r="F31" s="171" t="s">
        <v>333</v>
      </c>
      <c r="G31" s="171" t="s">
        <v>550</v>
      </c>
      <c r="H31" s="171">
        <v>698447</v>
      </c>
      <c r="I31" s="118"/>
      <c r="J31" s="147" t="s">
        <v>191</v>
      </c>
      <c r="K31" s="561"/>
      <c r="L31" s="82">
        <v>244.886</v>
      </c>
      <c r="M31" s="563"/>
      <c r="N31" s="565"/>
    </row>
    <row r="32" spans="1:14">
      <c r="A32" s="180" t="s">
        <v>584</v>
      </c>
      <c r="B32" s="180" t="s">
        <v>331</v>
      </c>
      <c r="C32" s="124">
        <v>44615</v>
      </c>
      <c r="D32" s="147">
        <v>10</v>
      </c>
      <c r="E32" s="180" t="s">
        <v>332</v>
      </c>
      <c r="F32" s="180" t="s">
        <v>333</v>
      </c>
      <c r="G32" s="180" t="s">
        <v>334</v>
      </c>
      <c r="H32" s="180">
        <v>697635</v>
      </c>
      <c r="I32" s="118"/>
      <c r="J32" s="180" t="s">
        <v>192</v>
      </c>
      <c r="K32" s="108">
        <v>100</v>
      </c>
      <c r="L32" s="82">
        <v>100</v>
      </c>
      <c r="M32" s="182">
        <f>K32-L32</f>
        <v>0</v>
      </c>
      <c r="N32" s="181">
        <f>L32/K32</f>
        <v>1</v>
      </c>
    </row>
    <row r="33" spans="1:14">
      <c r="A33" s="180" t="s">
        <v>585</v>
      </c>
      <c r="B33" s="180" t="s">
        <v>335</v>
      </c>
      <c r="C33" s="124">
        <v>44615</v>
      </c>
      <c r="D33" s="147">
        <v>11</v>
      </c>
      <c r="E33" s="180" t="s">
        <v>332</v>
      </c>
      <c r="F33" s="180" t="s">
        <v>333</v>
      </c>
      <c r="G33" s="180" t="s">
        <v>339</v>
      </c>
      <c r="H33" s="180">
        <v>923199</v>
      </c>
      <c r="I33" s="118"/>
      <c r="J33" s="180" t="s">
        <v>191</v>
      </c>
      <c r="K33" s="560">
        <v>50</v>
      </c>
      <c r="L33" s="82">
        <v>78.203999999999994</v>
      </c>
      <c r="M33" s="562">
        <f>K33-(L33+L34)</f>
        <v>-28.203999999999994</v>
      </c>
      <c r="N33" s="564">
        <f>(L33+L34)/K33</f>
        <v>1.5640799999999999</v>
      </c>
    </row>
    <row r="34" spans="1:14">
      <c r="A34" s="180" t="s">
        <v>585</v>
      </c>
      <c r="B34" s="180" t="s">
        <v>335</v>
      </c>
      <c r="C34" s="124">
        <v>44615</v>
      </c>
      <c r="D34" s="180">
        <v>11</v>
      </c>
      <c r="E34" s="180" t="s">
        <v>332</v>
      </c>
      <c r="F34" s="180" t="s">
        <v>333</v>
      </c>
      <c r="G34" s="180" t="s">
        <v>340</v>
      </c>
      <c r="H34" s="180">
        <v>964068</v>
      </c>
      <c r="I34" s="118"/>
      <c r="J34" s="180" t="s">
        <v>191</v>
      </c>
      <c r="K34" s="561"/>
      <c r="L34" s="82"/>
      <c r="M34" s="563"/>
      <c r="N34" s="565"/>
    </row>
    <row r="35" spans="1:14">
      <c r="A35" s="180" t="s">
        <v>585</v>
      </c>
      <c r="B35" s="180" t="s">
        <v>335</v>
      </c>
      <c r="C35" s="124">
        <v>44615</v>
      </c>
      <c r="D35" s="180">
        <v>11</v>
      </c>
      <c r="E35" s="180" t="s">
        <v>332</v>
      </c>
      <c r="F35" s="180" t="s">
        <v>333</v>
      </c>
      <c r="G35" s="180" t="s">
        <v>339</v>
      </c>
      <c r="H35" s="180">
        <v>923199</v>
      </c>
      <c r="I35" s="118"/>
      <c r="J35" s="180" t="s">
        <v>192</v>
      </c>
      <c r="K35" s="560">
        <v>50</v>
      </c>
      <c r="L35" s="82">
        <v>21.795999999999999</v>
      </c>
      <c r="M35" s="562">
        <f>K35-(L35+L36)</f>
        <v>28.204000000000001</v>
      </c>
      <c r="N35" s="564">
        <f>(L35+L36)/K35</f>
        <v>0.43591999999999997</v>
      </c>
    </row>
    <row r="36" spans="1:14">
      <c r="A36" s="180" t="s">
        <v>585</v>
      </c>
      <c r="B36" s="180" t="s">
        <v>335</v>
      </c>
      <c r="C36" s="124">
        <v>44615</v>
      </c>
      <c r="D36" s="180">
        <v>11</v>
      </c>
      <c r="E36" s="180" t="s">
        <v>332</v>
      </c>
      <c r="F36" s="180" t="s">
        <v>333</v>
      </c>
      <c r="G36" s="180" t="s">
        <v>340</v>
      </c>
      <c r="H36" s="180">
        <v>964068</v>
      </c>
      <c r="I36" s="118"/>
      <c r="J36" s="180" t="s">
        <v>192</v>
      </c>
      <c r="K36" s="561"/>
      <c r="L36" s="82"/>
      <c r="M36" s="563"/>
      <c r="N36" s="565"/>
    </row>
    <row r="37" spans="1:14">
      <c r="A37" s="183" t="s">
        <v>586</v>
      </c>
      <c r="B37" s="270" t="s">
        <v>331</v>
      </c>
      <c r="C37" s="124">
        <v>44616</v>
      </c>
      <c r="D37" s="147">
        <v>450</v>
      </c>
      <c r="E37" s="274" t="s">
        <v>670</v>
      </c>
      <c r="F37" s="183" t="s">
        <v>333</v>
      </c>
      <c r="G37" s="183" t="s">
        <v>587</v>
      </c>
      <c r="H37" s="147">
        <v>960670</v>
      </c>
      <c r="I37" s="118"/>
      <c r="J37" s="183" t="s">
        <v>191</v>
      </c>
      <c r="K37" s="108">
        <v>37.869999999999997</v>
      </c>
      <c r="L37" s="82">
        <v>131.071</v>
      </c>
      <c r="M37" s="271">
        <f t="shared" ref="M37:M51" si="2">K37-L37</f>
        <v>-93.200999999999993</v>
      </c>
      <c r="N37" s="272">
        <f t="shared" ref="N37:N51" si="3">L37/K37</f>
        <v>3.4610773699498285</v>
      </c>
    </row>
    <row r="38" spans="1:14">
      <c r="A38" s="183" t="s">
        <v>586</v>
      </c>
      <c r="B38" s="270" t="s">
        <v>331</v>
      </c>
      <c r="C38" s="124">
        <v>44616</v>
      </c>
      <c r="D38" s="147">
        <v>450</v>
      </c>
      <c r="E38" s="274" t="s">
        <v>670</v>
      </c>
      <c r="F38" s="183" t="s">
        <v>333</v>
      </c>
      <c r="G38" s="183" t="s">
        <v>587</v>
      </c>
      <c r="H38" s="147">
        <v>960670</v>
      </c>
      <c r="I38" s="118"/>
      <c r="J38" s="183" t="s">
        <v>192</v>
      </c>
      <c r="K38" s="108">
        <v>439.4</v>
      </c>
      <c r="L38" s="80">
        <v>195.06</v>
      </c>
      <c r="M38" s="271">
        <f t="shared" si="2"/>
        <v>244.33999999999997</v>
      </c>
      <c r="N38" s="272">
        <f t="shared" si="3"/>
        <v>0.44392353208921259</v>
      </c>
    </row>
    <row r="39" spans="1:14">
      <c r="A39" s="274" t="s">
        <v>695</v>
      </c>
      <c r="B39" s="185" t="s">
        <v>331</v>
      </c>
      <c r="C39" s="124">
        <v>44617</v>
      </c>
      <c r="D39" s="147">
        <v>475</v>
      </c>
      <c r="E39" s="274" t="s">
        <v>670</v>
      </c>
      <c r="F39" s="185" t="s">
        <v>342</v>
      </c>
      <c r="G39" s="185" t="s">
        <v>361</v>
      </c>
      <c r="H39" s="147">
        <v>954552</v>
      </c>
      <c r="I39" s="118"/>
      <c r="J39" s="185" t="s">
        <v>191</v>
      </c>
      <c r="K39" s="108">
        <v>237</v>
      </c>
      <c r="L39" s="82">
        <v>449.11</v>
      </c>
      <c r="M39" s="149">
        <f t="shared" si="2"/>
        <v>-212.11</v>
      </c>
      <c r="N39" s="148">
        <f t="shared" si="3"/>
        <v>1.8949789029535866</v>
      </c>
    </row>
    <row r="40" spans="1:14">
      <c r="A40" s="274" t="s">
        <v>695</v>
      </c>
      <c r="B40" s="185" t="s">
        <v>331</v>
      </c>
      <c r="C40" s="124">
        <v>44617</v>
      </c>
      <c r="D40" s="147">
        <v>475</v>
      </c>
      <c r="E40" s="274" t="s">
        <v>670</v>
      </c>
      <c r="F40" s="185" t="s">
        <v>342</v>
      </c>
      <c r="G40" s="185" t="s">
        <v>361</v>
      </c>
      <c r="H40" s="147">
        <v>954552</v>
      </c>
      <c r="I40" s="118"/>
      <c r="J40" s="185" t="s">
        <v>192</v>
      </c>
      <c r="K40" s="108">
        <v>298</v>
      </c>
      <c r="L40" s="82">
        <v>80.745000000000005</v>
      </c>
      <c r="M40" s="187">
        <f t="shared" si="2"/>
        <v>217.255</v>
      </c>
      <c r="N40" s="186">
        <f t="shared" si="3"/>
        <v>0.27095637583892618</v>
      </c>
    </row>
    <row r="41" spans="1:14">
      <c r="A41" s="274" t="s">
        <v>692</v>
      </c>
      <c r="B41" s="185" t="s">
        <v>331</v>
      </c>
      <c r="C41" s="124">
        <v>44617</v>
      </c>
      <c r="D41" s="147">
        <v>474</v>
      </c>
      <c r="E41" s="274" t="s">
        <v>670</v>
      </c>
      <c r="F41" s="185" t="s">
        <v>342</v>
      </c>
      <c r="G41" s="185" t="s">
        <v>436</v>
      </c>
      <c r="H41" s="147">
        <v>697914</v>
      </c>
      <c r="I41" s="118"/>
      <c r="J41" s="185" t="s">
        <v>191</v>
      </c>
      <c r="K41" s="108">
        <v>220</v>
      </c>
      <c r="L41" s="82">
        <v>220</v>
      </c>
      <c r="M41" s="187">
        <f t="shared" si="2"/>
        <v>0</v>
      </c>
      <c r="N41" s="186">
        <f t="shared" si="3"/>
        <v>1</v>
      </c>
    </row>
    <row r="42" spans="1:14">
      <c r="A42" s="274" t="s">
        <v>692</v>
      </c>
      <c r="B42" s="185" t="s">
        <v>331</v>
      </c>
      <c r="C42" s="124">
        <v>44617</v>
      </c>
      <c r="D42" s="147">
        <v>474</v>
      </c>
      <c r="E42" s="274" t="s">
        <v>670</v>
      </c>
      <c r="F42" s="185" t="s">
        <v>342</v>
      </c>
      <c r="G42" s="185" t="s">
        <v>436</v>
      </c>
      <c r="H42" s="147">
        <v>697914</v>
      </c>
      <c r="I42" s="118"/>
      <c r="J42" s="185" t="s">
        <v>192</v>
      </c>
      <c r="K42" s="108">
        <v>200</v>
      </c>
      <c r="L42" s="82">
        <v>200</v>
      </c>
      <c r="M42" s="187">
        <f t="shared" si="2"/>
        <v>0</v>
      </c>
      <c r="N42" s="186">
        <f t="shared" si="3"/>
        <v>1</v>
      </c>
    </row>
    <row r="43" spans="1:14">
      <c r="A43" s="274" t="s">
        <v>692</v>
      </c>
      <c r="B43" s="185" t="s">
        <v>331</v>
      </c>
      <c r="C43" s="124">
        <v>44617</v>
      </c>
      <c r="D43" s="147">
        <v>480</v>
      </c>
      <c r="E43" s="274" t="s">
        <v>670</v>
      </c>
      <c r="F43" s="185" t="s">
        <v>342</v>
      </c>
      <c r="G43" s="185" t="s">
        <v>588</v>
      </c>
      <c r="H43" s="147">
        <v>964054</v>
      </c>
      <c r="I43" s="118"/>
      <c r="J43" s="185" t="s">
        <v>191</v>
      </c>
      <c r="K43" s="187">
        <v>261</v>
      </c>
      <c r="L43" s="102">
        <v>277.61</v>
      </c>
      <c r="M43" s="187">
        <f t="shared" si="2"/>
        <v>-16.610000000000014</v>
      </c>
      <c r="N43" s="186">
        <f t="shared" si="3"/>
        <v>1.063639846743295</v>
      </c>
    </row>
    <row r="44" spans="1:14">
      <c r="A44" s="274" t="s">
        <v>692</v>
      </c>
      <c r="B44" s="185" t="s">
        <v>331</v>
      </c>
      <c r="C44" s="124">
        <v>44617</v>
      </c>
      <c r="D44" s="185">
        <v>480</v>
      </c>
      <c r="E44" s="274" t="s">
        <v>670</v>
      </c>
      <c r="F44" s="185" t="s">
        <v>342</v>
      </c>
      <c r="G44" s="185" t="s">
        <v>588</v>
      </c>
      <c r="H44" s="185">
        <v>964054</v>
      </c>
      <c r="I44" s="118"/>
      <c r="J44" s="185" t="s">
        <v>192</v>
      </c>
      <c r="K44" s="187">
        <v>139</v>
      </c>
      <c r="L44" s="102">
        <v>121.855</v>
      </c>
      <c r="M44" s="187">
        <f t="shared" si="2"/>
        <v>17.144999999999996</v>
      </c>
      <c r="N44" s="186">
        <f t="shared" si="3"/>
        <v>0.87665467625899285</v>
      </c>
    </row>
    <row r="45" spans="1:14">
      <c r="A45" s="274" t="s">
        <v>692</v>
      </c>
      <c r="B45" s="185" t="s">
        <v>331</v>
      </c>
      <c r="C45" s="124">
        <v>44617</v>
      </c>
      <c r="D45" s="147">
        <v>480</v>
      </c>
      <c r="E45" s="274" t="s">
        <v>670</v>
      </c>
      <c r="F45" s="185" t="s">
        <v>342</v>
      </c>
      <c r="G45" s="185" t="s">
        <v>466</v>
      </c>
      <c r="H45" s="147">
        <v>962641</v>
      </c>
      <c r="I45" s="118"/>
      <c r="J45" s="185" t="s">
        <v>191</v>
      </c>
      <c r="K45" s="108">
        <v>240</v>
      </c>
      <c r="L45" s="102">
        <v>159.92400000000001</v>
      </c>
      <c r="M45" s="187">
        <f t="shared" si="2"/>
        <v>80.075999999999993</v>
      </c>
      <c r="N45" s="186">
        <f t="shared" si="3"/>
        <v>0.66635</v>
      </c>
    </row>
    <row r="46" spans="1:14">
      <c r="A46" s="274" t="s">
        <v>692</v>
      </c>
      <c r="B46" s="185" t="s">
        <v>331</v>
      </c>
      <c r="C46" s="124">
        <v>44617</v>
      </c>
      <c r="D46" s="185">
        <v>480</v>
      </c>
      <c r="E46" s="274" t="s">
        <v>670</v>
      </c>
      <c r="F46" s="185" t="s">
        <v>342</v>
      </c>
      <c r="G46" s="185" t="s">
        <v>466</v>
      </c>
      <c r="H46" s="185">
        <v>962641</v>
      </c>
      <c r="I46" s="118"/>
      <c r="J46" s="185" t="s">
        <v>192</v>
      </c>
      <c r="K46" s="108">
        <v>110</v>
      </c>
      <c r="L46" s="102">
        <f>133.032+58.759</f>
        <v>191.791</v>
      </c>
      <c r="M46" s="187">
        <f t="shared" si="2"/>
        <v>-81.790999999999997</v>
      </c>
      <c r="N46" s="186">
        <f t="shared" si="3"/>
        <v>1.7435545454545454</v>
      </c>
    </row>
    <row r="47" spans="1:14">
      <c r="A47" s="274" t="s">
        <v>692</v>
      </c>
      <c r="B47" s="185" t="s">
        <v>331</v>
      </c>
      <c r="C47" s="124">
        <v>44617</v>
      </c>
      <c r="D47" s="185">
        <v>480</v>
      </c>
      <c r="E47" s="274" t="s">
        <v>670</v>
      </c>
      <c r="F47" s="185" t="s">
        <v>342</v>
      </c>
      <c r="G47" s="185" t="s">
        <v>435</v>
      </c>
      <c r="H47" s="147">
        <v>697391</v>
      </c>
      <c r="I47" s="118"/>
      <c r="J47" s="185" t="s">
        <v>191</v>
      </c>
      <c r="K47" s="108">
        <v>330</v>
      </c>
      <c r="L47" s="102">
        <v>282.56</v>
      </c>
      <c r="M47" s="187">
        <f t="shared" si="2"/>
        <v>47.44</v>
      </c>
      <c r="N47" s="186">
        <f t="shared" si="3"/>
        <v>0.85624242424242425</v>
      </c>
    </row>
    <row r="48" spans="1:14">
      <c r="A48" s="274" t="s">
        <v>692</v>
      </c>
      <c r="B48" s="185" t="s">
        <v>331</v>
      </c>
      <c r="C48" s="124">
        <v>44617</v>
      </c>
      <c r="D48" s="185">
        <v>480</v>
      </c>
      <c r="E48" s="274" t="s">
        <v>670</v>
      </c>
      <c r="F48" s="185" t="s">
        <v>342</v>
      </c>
      <c r="G48" s="185" t="s">
        <v>435</v>
      </c>
      <c r="H48" s="185">
        <v>697391</v>
      </c>
      <c r="I48" s="118"/>
      <c r="J48" s="185" t="s">
        <v>192</v>
      </c>
      <c r="K48" s="108">
        <v>170</v>
      </c>
      <c r="L48" s="102">
        <v>9.7940000000000005</v>
      </c>
      <c r="M48" s="187">
        <f t="shared" si="2"/>
        <v>160.20599999999999</v>
      </c>
      <c r="N48" s="186">
        <f t="shared" si="3"/>
        <v>5.7611764705882355E-2</v>
      </c>
    </row>
    <row r="49" spans="1:14">
      <c r="A49" s="274" t="s">
        <v>692</v>
      </c>
      <c r="B49" s="185" t="s">
        <v>331</v>
      </c>
      <c r="C49" s="124">
        <v>44617</v>
      </c>
      <c r="D49" s="185">
        <v>480</v>
      </c>
      <c r="E49" s="274" t="s">
        <v>670</v>
      </c>
      <c r="F49" s="185" t="s">
        <v>342</v>
      </c>
      <c r="G49" s="185" t="s">
        <v>401</v>
      </c>
      <c r="H49" s="147">
        <v>969290</v>
      </c>
      <c r="I49" s="118"/>
      <c r="J49" s="185" t="s">
        <v>191</v>
      </c>
      <c r="K49" s="108">
        <v>170</v>
      </c>
      <c r="L49" s="102">
        <v>240.15899999999999</v>
      </c>
      <c r="M49" s="187">
        <f t="shared" si="2"/>
        <v>-70.158999999999992</v>
      </c>
      <c r="N49" s="186">
        <f t="shared" si="3"/>
        <v>1.4126999999999998</v>
      </c>
    </row>
    <row r="50" spans="1:14">
      <c r="A50" s="274" t="s">
        <v>692</v>
      </c>
      <c r="B50" s="185" t="s">
        <v>331</v>
      </c>
      <c r="C50" s="124">
        <v>44617</v>
      </c>
      <c r="D50" s="185">
        <v>480</v>
      </c>
      <c r="E50" s="274" t="s">
        <v>670</v>
      </c>
      <c r="F50" s="185" t="s">
        <v>342</v>
      </c>
      <c r="G50" s="185" t="s">
        <v>401</v>
      </c>
      <c r="H50" s="185">
        <v>969290</v>
      </c>
      <c r="I50" s="118"/>
      <c r="J50" s="185" t="s">
        <v>192</v>
      </c>
      <c r="K50" s="108">
        <v>330</v>
      </c>
      <c r="L50" s="102">
        <v>2.7829999999999999</v>
      </c>
      <c r="M50" s="187">
        <f t="shared" si="2"/>
        <v>327.21699999999998</v>
      </c>
      <c r="N50" s="186">
        <f t="shared" si="3"/>
        <v>8.4333333333333326E-3</v>
      </c>
    </row>
    <row r="51" spans="1:14">
      <c r="A51" s="274" t="s">
        <v>697</v>
      </c>
      <c r="B51" s="185" t="s">
        <v>331</v>
      </c>
      <c r="C51" s="124">
        <v>44617</v>
      </c>
      <c r="D51" s="147">
        <v>479</v>
      </c>
      <c r="E51" s="274" t="s">
        <v>670</v>
      </c>
      <c r="F51" s="185" t="s">
        <v>342</v>
      </c>
      <c r="G51" s="185" t="s">
        <v>532</v>
      </c>
      <c r="H51" s="147">
        <v>960538</v>
      </c>
      <c r="I51" s="118"/>
      <c r="J51" s="185" t="s">
        <v>191</v>
      </c>
      <c r="K51" s="108">
        <v>186.64500000000001</v>
      </c>
      <c r="L51" s="82">
        <v>254.535</v>
      </c>
      <c r="M51" s="149">
        <f t="shared" si="2"/>
        <v>-67.889999999999986</v>
      </c>
      <c r="N51" s="148">
        <f t="shared" si="3"/>
        <v>1.3637386482359559</v>
      </c>
    </row>
    <row r="52" spans="1:14">
      <c r="A52" s="274" t="s">
        <v>696</v>
      </c>
      <c r="B52" s="185" t="s">
        <v>335</v>
      </c>
      <c r="C52" s="124">
        <v>44617</v>
      </c>
      <c r="D52" s="147">
        <v>478</v>
      </c>
      <c r="E52" s="274" t="s">
        <v>670</v>
      </c>
      <c r="F52" s="185" t="s">
        <v>342</v>
      </c>
      <c r="G52" s="185" t="s">
        <v>532</v>
      </c>
      <c r="H52" s="185">
        <v>960538</v>
      </c>
      <c r="I52" s="118"/>
      <c r="J52" s="185" t="s">
        <v>192</v>
      </c>
      <c r="K52" s="560">
        <v>1924.44</v>
      </c>
      <c r="L52" s="82">
        <v>471.16399999999999</v>
      </c>
      <c r="M52" s="562">
        <f>K52-(L52+L53)</f>
        <v>1041.865</v>
      </c>
      <c r="N52" s="564">
        <f>(L52+L53)/K52</f>
        <v>0.45861393444326665</v>
      </c>
    </row>
    <row r="53" spans="1:14">
      <c r="A53" s="274" t="s">
        <v>696</v>
      </c>
      <c r="B53" s="147" t="s">
        <v>335</v>
      </c>
      <c r="C53" s="124">
        <v>44617</v>
      </c>
      <c r="D53" s="147">
        <v>478</v>
      </c>
      <c r="E53" s="274" t="s">
        <v>670</v>
      </c>
      <c r="F53" s="147" t="s">
        <v>342</v>
      </c>
      <c r="G53" s="185" t="s">
        <v>534</v>
      </c>
      <c r="H53" s="147">
        <v>967989</v>
      </c>
      <c r="I53" s="118"/>
      <c r="J53" s="185" t="s">
        <v>192</v>
      </c>
      <c r="K53" s="561"/>
      <c r="L53" s="82">
        <v>411.411</v>
      </c>
      <c r="M53" s="563"/>
      <c r="N53" s="565"/>
    </row>
    <row r="54" spans="1:14">
      <c r="A54" s="274" t="s">
        <v>692</v>
      </c>
      <c r="B54" s="185" t="s">
        <v>331</v>
      </c>
      <c r="C54" s="124">
        <v>44617</v>
      </c>
      <c r="D54" s="147">
        <v>477</v>
      </c>
      <c r="E54" s="274" t="s">
        <v>670</v>
      </c>
      <c r="F54" s="185" t="s">
        <v>342</v>
      </c>
      <c r="G54" s="185" t="s">
        <v>372</v>
      </c>
      <c r="H54" s="147">
        <v>969362</v>
      </c>
      <c r="I54" s="118"/>
      <c r="J54" s="185" t="s">
        <v>191</v>
      </c>
      <c r="K54" s="108">
        <v>979</v>
      </c>
      <c r="L54" s="102">
        <v>241.67099999999999</v>
      </c>
      <c r="M54" s="108">
        <f t="shared" ref="M54:M97" si="4">K54-L54</f>
        <v>737.32899999999995</v>
      </c>
      <c r="N54" s="186">
        <f t="shared" ref="N54:N97" si="5">L54/K54</f>
        <v>0.24685495403472932</v>
      </c>
    </row>
    <row r="55" spans="1:14">
      <c r="A55" s="274" t="s">
        <v>692</v>
      </c>
      <c r="B55" s="185" t="s">
        <v>331</v>
      </c>
      <c r="C55" s="124">
        <v>44617</v>
      </c>
      <c r="D55" s="147">
        <v>477</v>
      </c>
      <c r="E55" s="274" t="s">
        <v>670</v>
      </c>
      <c r="F55" s="185" t="s">
        <v>342</v>
      </c>
      <c r="G55" s="147" t="s">
        <v>372</v>
      </c>
      <c r="H55" s="147">
        <v>969362</v>
      </c>
      <c r="I55" s="118"/>
      <c r="J55" s="185" t="s">
        <v>192</v>
      </c>
      <c r="K55" s="108">
        <v>830.15599999999995</v>
      </c>
      <c r="L55" s="102">
        <v>172.41</v>
      </c>
      <c r="M55" s="108">
        <f t="shared" si="4"/>
        <v>657.74599999999998</v>
      </c>
      <c r="N55" s="186">
        <f t="shared" si="5"/>
        <v>0.20768385701000777</v>
      </c>
    </row>
    <row r="56" spans="1:14">
      <c r="A56" s="274" t="s">
        <v>692</v>
      </c>
      <c r="B56" s="185" t="s">
        <v>331</v>
      </c>
      <c r="C56" s="124">
        <v>44617</v>
      </c>
      <c r="D56" s="147">
        <v>477</v>
      </c>
      <c r="E56" s="274" t="s">
        <v>670</v>
      </c>
      <c r="F56" s="185" t="s">
        <v>342</v>
      </c>
      <c r="G56" s="185" t="s">
        <v>477</v>
      </c>
      <c r="H56" s="147">
        <v>968132</v>
      </c>
      <c r="I56" s="118"/>
      <c r="J56" s="185" t="s">
        <v>191</v>
      </c>
      <c r="K56" s="108">
        <v>459.5</v>
      </c>
      <c r="L56" s="102">
        <v>297.73899999999998</v>
      </c>
      <c r="M56" s="108">
        <f t="shared" si="4"/>
        <v>161.76100000000002</v>
      </c>
      <c r="N56" s="186">
        <f t="shared" si="5"/>
        <v>0.6479630032644178</v>
      </c>
    </row>
    <row r="57" spans="1:14">
      <c r="A57" s="274" t="s">
        <v>692</v>
      </c>
      <c r="B57" s="185" t="s">
        <v>331</v>
      </c>
      <c r="C57" s="124">
        <v>44617</v>
      </c>
      <c r="D57" s="147">
        <v>477</v>
      </c>
      <c r="E57" s="274" t="s">
        <v>670</v>
      </c>
      <c r="F57" s="185" t="s">
        <v>342</v>
      </c>
      <c r="G57" s="147" t="s">
        <v>477</v>
      </c>
      <c r="H57" s="147">
        <v>968132</v>
      </c>
      <c r="I57" s="118"/>
      <c r="J57" s="185" t="s">
        <v>192</v>
      </c>
      <c r="K57" s="108">
        <v>445.07799999999997</v>
      </c>
      <c r="L57" s="102">
        <v>324.48399999999998</v>
      </c>
      <c r="M57" s="108">
        <f t="shared" si="4"/>
        <v>120.59399999999999</v>
      </c>
      <c r="N57" s="186">
        <f t="shared" si="5"/>
        <v>0.72904973959620556</v>
      </c>
    </row>
    <row r="58" spans="1:14">
      <c r="A58" s="274" t="s">
        <v>692</v>
      </c>
      <c r="B58" s="185" t="s">
        <v>331</v>
      </c>
      <c r="C58" s="124">
        <v>44617</v>
      </c>
      <c r="D58" s="147">
        <v>477</v>
      </c>
      <c r="E58" s="274" t="s">
        <v>670</v>
      </c>
      <c r="F58" s="185" t="s">
        <v>342</v>
      </c>
      <c r="G58" s="185" t="s">
        <v>469</v>
      </c>
      <c r="H58" s="147">
        <v>969602</v>
      </c>
      <c r="I58" s="118"/>
      <c r="J58" s="185" t="s">
        <v>191</v>
      </c>
      <c r="K58" s="108">
        <v>503</v>
      </c>
      <c r="L58" s="102">
        <v>438.12900000000002</v>
      </c>
      <c r="M58" s="108">
        <f t="shared" si="4"/>
        <v>64.870999999999981</v>
      </c>
      <c r="N58" s="186">
        <f t="shared" si="5"/>
        <v>0.87103180914512923</v>
      </c>
    </row>
    <row r="59" spans="1:14">
      <c r="A59" s="274" t="s">
        <v>692</v>
      </c>
      <c r="B59" s="185" t="s">
        <v>331</v>
      </c>
      <c r="C59" s="124">
        <v>44617</v>
      </c>
      <c r="D59" s="147">
        <v>477</v>
      </c>
      <c r="E59" s="274" t="s">
        <v>670</v>
      </c>
      <c r="F59" s="185" t="s">
        <v>342</v>
      </c>
      <c r="G59" s="147" t="s">
        <v>469</v>
      </c>
      <c r="H59" s="147">
        <v>969602</v>
      </c>
      <c r="I59" s="118"/>
      <c r="J59" s="185" t="s">
        <v>192</v>
      </c>
      <c r="K59" s="108">
        <v>401.57799999999997</v>
      </c>
      <c r="L59" s="102">
        <v>301.47500000000002</v>
      </c>
      <c r="M59" s="108">
        <f t="shared" si="4"/>
        <v>100.10299999999995</v>
      </c>
      <c r="N59" s="186">
        <f t="shared" si="5"/>
        <v>0.75072588637823801</v>
      </c>
    </row>
    <row r="60" spans="1:14">
      <c r="A60" s="274" t="s">
        <v>693</v>
      </c>
      <c r="B60" s="185" t="s">
        <v>331</v>
      </c>
      <c r="C60" s="124">
        <v>44617</v>
      </c>
      <c r="D60" s="147">
        <v>469</v>
      </c>
      <c r="E60" s="274" t="s">
        <v>670</v>
      </c>
      <c r="F60" s="185" t="s">
        <v>342</v>
      </c>
      <c r="G60" s="185" t="s">
        <v>589</v>
      </c>
      <c r="H60" s="147">
        <v>926674</v>
      </c>
      <c r="I60" s="118"/>
      <c r="J60" s="185" t="s">
        <v>191</v>
      </c>
      <c r="K60" s="108">
        <v>63</v>
      </c>
      <c r="L60" s="82">
        <v>63</v>
      </c>
      <c r="M60" s="149">
        <f t="shared" si="4"/>
        <v>0</v>
      </c>
      <c r="N60" s="148">
        <f t="shared" si="5"/>
        <v>1</v>
      </c>
    </row>
    <row r="61" spans="1:14">
      <c r="A61" s="274" t="s">
        <v>693</v>
      </c>
      <c r="B61" s="185" t="s">
        <v>331</v>
      </c>
      <c r="C61" s="124">
        <v>44617</v>
      </c>
      <c r="D61" s="185">
        <v>469</v>
      </c>
      <c r="E61" s="274" t="s">
        <v>670</v>
      </c>
      <c r="F61" s="185" t="s">
        <v>342</v>
      </c>
      <c r="G61" s="147" t="s">
        <v>589</v>
      </c>
      <c r="H61" s="147">
        <v>926674</v>
      </c>
      <c r="I61" s="118"/>
      <c r="J61" s="185" t="s">
        <v>192</v>
      </c>
      <c r="K61" s="108">
        <v>87</v>
      </c>
      <c r="L61" s="82">
        <v>87</v>
      </c>
      <c r="M61" s="149">
        <f t="shared" si="4"/>
        <v>0</v>
      </c>
      <c r="N61" s="148">
        <f t="shared" si="5"/>
        <v>1</v>
      </c>
    </row>
    <row r="62" spans="1:14">
      <c r="A62" s="274" t="s">
        <v>693</v>
      </c>
      <c r="B62" s="185" t="s">
        <v>331</v>
      </c>
      <c r="C62" s="124">
        <v>44617</v>
      </c>
      <c r="D62" s="147">
        <v>469</v>
      </c>
      <c r="E62" s="274" t="s">
        <v>670</v>
      </c>
      <c r="F62" s="185" t="s">
        <v>342</v>
      </c>
      <c r="G62" s="185" t="s">
        <v>590</v>
      </c>
      <c r="H62" s="147">
        <v>963589</v>
      </c>
      <c r="I62" s="118"/>
      <c r="J62" s="185" t="s">
        <v>191</v>
      </c>
      <c r="K62" s="108">
        <v>50</v>
      </c>
      <c r="L62" s="82">
        <v>50</v>
      </c>
      <c r="M62" s="149">
        <f t="shared" si="4"/>
        <v>0</v>
      </c>
      <c r="N62" s="148">
        <f t="shared" si="5"/>
        <v>1</v>
      </c>
    </row>
    <row r="63" spans="1:14">
      <c r="A63" s="274" t="s">
        <v>693</v>
      </c>
      <c r="B63" s="185" t="s">
        <v>331</v>
      </c>
      <c r="C63" s="124">
        <v>44617</v>
      </c>
      <c r="D63" s="185">
        <v>469</v>
      </c>
      <c r="E63" s="274" t="s">
        <v>670</v>
      </c>
      <c r="F63" s="185" t="s">
        <v>342</v>
      </c>
      <c r="G63" s="147" t="s">
        <v>590</v>
      </c>
      <c r="H63" s="147">
        <v>963589</v>
      </c>
      <c r="I63" s="118"/>
      <c r="J63" s="185" t="s">
        <v>192</v>
      </c>
      <c r="K63" s="108">
        <v>70</v>
      </c>
      <c r="L63" s="82">
        <v>70</v>
      </c>
      <c r="M63" s="149">
        <f t="shared" si="4"/>
        <v>0</v>
      </c>
      <c r="N63" s="148">
        <f t="shared" si="5"/>
        <v>1</v>
      </c>
    </row>
    <row r="64" spans="1:14">
      <c r="A64" s="274" t="s">
        <v>693</v>
      </c>
      <c r="B64" s="185" t="s">
        <v>331</v>
      </c>
      <c r="C64" s="124">
        <v>44617</v>
      </c>
      <c r="D64" s="147">
        <v>469</v>
      </c>
      <c r="E64" s="274" t="s">
        <v>670</v>
      </c>
      <c r="F64" s="185" t="s">
        <v>342</v>
      </c>
      <c r="G64" s="185" t="s">
        <v>457</v>
      </c>
      <c r="H64" s="147">
        <v>968147</v>
      </c>
      <c r="I64" s="118"/>
      <c r="J64" s="185" t="s">
        <v>191</v>
      </c>
      <c r="K64" s="108">
        <v>92</v>
      </c>
      <c r="L64" s="82">
        <v>92</v>
      </c>
      <c r="M64" s="149">
        <f t="shared" si="4"/>
        <v>0</v>
      </c>
      <c r="N64" s="148">
        <f t="shared" si="5"/>
        <v>1</v>
      </c>
    </row>
    <row r="65" spans="1:14">
      <c r="A65" s="274" t="s">
        <v>693</v>
      </c>
      <c r="B65" s="185" t="s">
        <v>331</v>
      </c>
      <c r="C65" s="124">
        <v>44617</v>
      </c>
      <c r="D65" s="185">
        <v>469</v>
      </c>
      <c r="E65" s="274" t="s">
        <v>670</v>
      </c>
      <c r="F65" s="185" t="s">
        <v>342</v>
      </c>
      <c r="G65" s="147" t="s">
        <v>457</v>
      </c>
      <c r="H65" s="147">
        <v>968147</v>
      </c>
      <c r="I65" s="118"/>
      <c r="J65" s="185" t="s">
        <v>192</v>
      </c>
      <c r="K65" s="108">
        <v>128</v>
      </c>
      <c r="L65" s="82">
        <v>128</v>
      </c>
      <c r="M65" s="149">
        <f t="shared" si="4"/>
        <v>0</v>
      </c>
      <c r="N65" s="148">
        <f t="shared" si="5"/>
        <v>1</v>
      </c>
    </row>
    <row r="66" spans="1:14">
      <c r="A66" s="274" t="s">
        <v>693</v>
      </c>
      <c r="B66" s="185" t="s">
        <v>331</v>
      </c>
      <c r="C66" s="124">
        <v>44617</v>
      </c>
      <c r="D66" s="147">
        <v>469</v>
      </c>
      <c r="E66" s="274" t="s">
        <v>670</v>
      </c>
      <c r="F66" s="185" t="s">
        <v>342</v>
      </c>
      <c r="G66" s="185" t="s">
        <v>591</v>
      </c>
      <c r="H66" s="147">
        <v>962853</v>
      </c>
      <c r="I66" s="118"/>
      <c r="J66" s="185" t="s">
        <v>191</v>
      </c>
      <c r="K66" s="108">
        <v>92</v>
      </c>
      <c r="L66" s="82">
        <v>92</v>
      </c>
      <c r="M66" s="149">
        <f t="shared" si="4"/>
        <v>0</v>
      </c>
      <c r="N66" s="148">
        <f t="shared" si="5"/>
        <v>1</v>
      </c>
    </row>
    <row r="67" spans="1:14">
      <c r="A67" s="274" t="s">
        <v>693</v>
      </c>
      <c r="B67" s="185" t="s">
        <v>331</v>
      </c>
      <c r="C67" s="124">
        <v>44617</v>
      </c>
      <c r="D67" s="185">
        <v>469</v>
      </c>
      <c r="E67" s="274" t="s">
        <v>670</v>
      </c>
      <c r="F67" s="185" t="s">
        <v>342</v>
      </c>
      <c r="G67" s="147" t="s">
        <v>591</v>
      </c>
      <c r="H67" s="147">
        <v>962853</v>
      </c>
      <c r="I67" s="118"/>
      <c r="J67" s="185" t="s">
        <v>192</v>
      </c>
      <c r="K67" s="108">
        <v>128</v>
      </c>
      <c r="L67" s="82">
        <v>128</v>
      </c>
      <c r="M67" s="149">
        <f t="shared" si="4"/>
        <v>0</v>
      </c>
      <c r="N67" s="148">
        <f t="shared" si="5"/>
        <v>1</v>
      </c>
    </row>
    <row r="68" spans="1:14">
      <c r="A68" s="274" t="s">
        <v>693</v>
      </c>
      <c r="B68" s="185" t="s">
        <v>331</v>
      </c>
      <c r="C68" s="124">
        <v>44617</v>
      </c>
      <c r="D68" s="147">
        <v>469</v>
      </c>
      <c r="E68" s="274" t="s">
        <v>670</v>
      </c>
      <c r="F68" s="185" t="s">
        <v>342</v>
      </c>
      <c r="G68" s="185" t="s">
        <v>448</v>
      </c>
      <c r="H68" s="147">
        <v>966475</v>
      </c>
      <c r="I68" s="118"/>
      <c r="J68" s="185" t="s">
        <v>191</v>
      </c>
      <c r="K68" s="108">
        <v>78</v>
      </c>
      <c r="L68" s="82">
        <v>78</v>
      </c>
      <c r="M68" s="149">
        <f t="shared" si="4"/>
        <v>0</v>
      </c>
      <c r="N68" s="148">
        <f t="shared" si="5"/>
        <v>1</v>
      </c>
    </row>
    <row r="69" spans="1:14">
      <c r="A69" s="274" t="s">
        <v>693</v>
      </c>
      <c r="B69" s="185" t="s">
        <v>331</v>
      </c>
      <c r="C69" s="124">
        <v>44617</v>
      </c>
      <c r="D69" s="185">
        <v>469</v>
      </c>
      <c r="E69" s="274" t="s">
        <v>670</v>
      </c>
      <c r="F69" s="185" t="s">
        <v>342</v>
      </c>
      <c r="G69" s="147" t="s">
        <v>448</v>
      </c>
      <c r="H69" s="147">
        <v>966475</v>
      </c>
      <c r="I69" s="118"/>
      <c r="J69" s="185" t="s">
        <v>192</v>
      </c>
      <c r="K69" s="108">
        <v>107</v>
      </c>
      <c r="L69" s="82">
        <v>107</v>
      </c>
      <c r="M69" s="149">
        <f t="shared" si="4"/>
        <v>0</v>
      </c>
      <c r="N69" s="148">
        <f t="shared" si="5"/>
        <v>1</v>
      </c>
    </row>
    <row r="70" spans="1:14">
      <c r="A70" s="274" t="s">
        <v>693</v>
      </c>
      <c r="B70" s="185" t="s">
        <v>331</v>
      </c>
      <c r="C70" s="124">
        <v>44617</v>
      </c>
      <c r="D70" s="147">
        <v>469</v>
      </c>
      <c r="E70" s="274" t="s">
        <v>670</v>
      </c>
      <c r="F70" s="185" t="s">
        <v>342</v>
      </c>
      <c r="G70" s="185" t="s">
        <v>358</v>
      </c>
      <c r="H70" s="147">
        <v>961332</v>
      </c>
      <c r="I70" s="118"/>
      <c r="J70" s="185" t="s">
        <v>191</v>
      </c>
      <c r="K70" s="108">
        <v>41</v>
      </c>
      <c r="L70" s="82">
        <v>4.625</v>
      </c>
      <c r="M70" s="149">
        <f t="shared" si="4"/>
        <v>36.375</v>
      </c>
      <c r="N70" s="148">
        <f t="shared" si="5"/>
        <v>0.11280487804878049</v>
      </c>
    </row>
    <row r="71" spans="1:14">
      <c r="A71" s="274" t="s">
        <v>693</v>
      </c>
      <c r="B71" s="185" t="s">
        <v>331</v>
      </c>
      <c r="C71" s="124">
        <v>44617</v>
      </c>
      <c r="D71" s="185">
        <v>469</v>
      </c>
      <c r="E71" s="274" t="s">
        <v>670</v>
      </c>
      <c r="F71" s="185" t="s">
        <v>342</v>
      </c>
      <c r="G71" s="147" t="s">
        <v>358</v>
      </c>
      <c r="H71" s="147">
        <v>961332</v>
      </c>
      <c r="I71" s="118"/>
      <c r="J71" s="185" t="s">
        <v>192</v>
      </c>
      <c r="K71" s="108">
        <v>59</v>
      </c>
      <c r="L71" s="82">
        <v>77.62</v>
      </c>
      <c r="M71" s="149">
        <f t="shared" si="4"/>
        <v>-18.620000000000005</v>
      </c>
      <c r="N71" s="148">
        <f t="shared" si="5"/>
        <v>1.3155932203389831</v>
      </c>
    </row>
    <row r="72" spans="1:14">
      <c r="A72" s="274" t="s">
        <v>693</v>
      </c>
      <c r="B72" s="185" t="s">
        <v>331</v>
      </c>
      <c r="C72" s="124">
        <v>44617</v>
      </c>
      <c r="D72" s="147">
        <v>469</v>
      </c>
      <c r="E72" s="274" t="s">
        <v>670</v>
      </c>
      <c r="F72" s="185" t="s">
        <v>342</v>
      </c>
      <c r="G72" s="185" t="s">
        <v>449</v>
      </c>
      <c r="H72" s="147">
        <v>963702</v>
      </c>
      <c r="I72" s="118"/>
      <c r="J72" s="185" t="s">
        <v>191</v>
      </c>
      <c r="K72" s="108">
        <v>78</v>
      </c>
      <c r="L72" s="82">
        <v>78</v>
      </c>
      <c r="M72" s="149">
        <f t="shared" si="4"/>
        <v>0</v>
      </c>
      <c r="N72" s="148">
        <f t="shared" si="5"/>
        <v>1</v>
      </c>
    </row>
    <row r="73" spans="1:14">
      <c r="A73" s="274" t="s">
        <v>693</v>
      </c>
      <c r="B73" s="185" t="s">
        <v>331</v>
      </c>
      <c r="C73" s="124">
        <v>44617</v>
      </c>
      <c r="D73" s="185">
        <v>469</v>
      </c>
      <c r="E73" s="274" t="s">
        <v>670</v>
      </c>
      <c r="F73" s="185" t="s">
        <v>342</v>
      </c>
      <c r="G73" s="147" t="s">
        <v>449</v>
      </c>
      <c r="H73" s="147">
        <v>963702</v>
      </c>
      <c r="I73" s="118"/>
      <c r="J73" s="185" t="s">
        <v>192</v>
      </c>
      <c r="K73" s="108">
        <v>107</v>
      </c>
      <c r="L73" s="82">
        <v>107</v>
      </c>
      <c r="M73" s="149">
        <f t="shared" si="4"/>
        <v>0</v>
      </c>
      <c r="N73" s="148">
        <f t="shared" si="5"/>
        <v>1</v>
      </c>
    </row>
    <row r="74" spans="1:14">
      <c r="A74" s="274" t="s">
        <v>693</v>
      </c>
      <c r="B74" s="185" t="s">
        <v>331</v>
      </c>
      <c r="C74" s="124">
        <v>44617</v>
      </c>
      <c r="D74" s="147">
        <v>469</v>
      </c>
      <c r="E74" s="274" t="s">
        <v>670</v>
      </c>
      <c r="F74" s="185" t="s">
        <v>342</v>
      </c>
      <c r="G74" s="185" t="s">
        <v>592</v>
      </c>
      <c r="H74" s="147">
        <v>966816</v>
      </c>
      <c r="I74" s="118"/>
      <c r="J74" s="185" t="s">
        <v>191</v>
      </c>
      <c r="K74" s="108">
        <v>41</v>
      </c>
      <c r="L74" s="82">
        <v>41.079000000000001</v>
      </c>
      <c r="M74" s="149">
        <f t="shared" si="4"/>
        <v>-7.9000000000000625E-2</v>
      </c>
      <c r="N74" s="148">
        <f t="shared" si="5"/>
        <v>1.0019268292682928</v>
      </c>
    </row>
    <row r="75" spans="1:14">
      <c r="A75" s="274" t="s">
        <v>693</v>
      </c>
      <c r="B75" s="185" t="s">
        <v>331</v>
      </c>
      <c r="C75" s="124">
        <v>44617</v>
      </c>
      <c r="D75" s="185">
        <v>469</v>
      </c>
      <c r="E75" s="274" t="s">
        <v>670</v>
      </c>
      <c r="F75" s="185" t="s">
        <v>342</v>
      </c>
      <c r="G75" s="147" t="s">
        <v>592</v>
      </c>
      <c r="H75" s="147">
        <v>966816</v>
      </c>
      <c r="I75" s="118"/>
      <c r="J75" s="185" t="s">
        <v>192</v>
      </c>
      <c r="K75" s="108">
        <v>59</v>
      </c>
      <c r="L75" s="82">
        <v>58.920999999999999</v>
      </c>
      <c r="M75" s="149">
        <f t="shared" si="4"/>
        <v>7.9000000000000625E-2</v>
      </c>
      <c r="N75" s="148">
        <f t="shared" si="5"/>
        <v>0.99866101694915255</v>
      </c>
    </row>
    <row r="76" spans="1:14">
      <c r="A76" s="274" t="s">
        <v>693</v>
      </c>
      <c r="B76" s="185" t="s">
        <v>331</v>
      </c>
      <c r="C76" s="124">
        <v>44617</v>
      </c>
      <c r="D76" s="147">
        <v>469</v>
      </c>
      <c r="E76" s="274" t="s">
        <v>670</v>
      </c>
      <c r="F76" s="185" t="s">
        <v>342</v>
      </c>
      <c r="G76" s="185" t="s">
        <v>399</v>
      </c>
      <c r="H76" s="147">
        <v>965019</v>
      </c>
      <c r="I76" s="118"/>
      <c r="J76" s="185" t="s">
        <v>191</v>
      </c>
      <c r="K76" s="108">
        <v>41</v>
      </c>
      <c r="L76" s="82">
        <v>10.747999999999999</v>
      </c>
      <c r="M76" s="149">
        <f t="shared" si="4"/>
        <v>30.252000000000002</v>
      </c>
      <c r="N76" s="148">
        <f t="shared" si="5"/>
        <v>0.26214634146341464</v>
      </c>
    </row>
    <row r="77" spans="1:14">
      <c r="A77" s="274" t="s">
        <v>693</v>
      </c>
      <c r="B77" s="185" t="s">
        <v>331</v>
      </c>
      <c r="C77" s="124">
        <v>44617</v>
      </c>
      <c r="D77" s="185">
        <v>469</v>
      </c>
      <c r="E77" s="274" t="s">
        <v>670</v>
      </c>
      <c r="F77" s="185" t="s">
        <v>342</v>
      </c>
      <c r="G77" s="147" t="s">
        <v>399</v>
      </c>
      <c r="H77" s="147">
        <v>965019</v>
      </c>
      <c r="I77" s="118"/>
      <c r="J77" s="185" t="s">
        <v>192</v>
      </c>
      <c r="K77" s="108">
        <v>59</v>
      </c>
      <c r="L77" s="82">
        <v>85.622</v>
      </c>
      <c r="M77" s="149">
        <f t="shared" si="4"/>
        <v>-26.622</v>
      </c>
      <c r="N77" s="148">
        <f t="shared" si="5"/>
        <v>1.4512203389830509</v>
      </c>
    </row>
    <row r="78" spans="1:14">
      <c r="A78" s="274" t="s">
        <v>693</v>
      </c>
      <c r="B78" s="185" t="s">
        <v>331</v>
      </c>
      <c r="C78" s="124">
        <v>44617</v>
      </c>
      <c r="D78" s="147">
        <v>469</v>
      </c>
      <c r="E78" s="274" t="s">
        <v>670</v>
      </c>
      <c r="F78" s="185" t="s">
        <v>342</v>
      </c>
      <c r="G78" s="185" t="s">
        <v>593</v>
      </c>
      <c r="H78" s="147">
        <v>966342</v>
      </c>
      <c r="I78" s="118"/>
      <c r="J78" s="185" t="s">
        <v>191</v>
      </c>
      <c r="K78" s="108">
        <v>32</v>
      </c>
      <c r="L78" s="82">
        <v>13.775</v>
      </c>
      <c r="M78" s="149">
        <f t="shared" si="4"/>
        <v>18.225000000000001</v>
      </c>
      <c r="N78" s="148">
        <f t="shared" si="5"/>
        <v>0.43046875000000001</v>
      </c>
    </row>
    <row r="79" spans="1:14">
      <c r="A79" s="274" t="s">
        <v>693</v>
      </c>
      <c r="B79" s="185" t="s">
        <v>331</v>
      </c>
      <c r="C79" s="124">
        <v>44617</v>
      </c>
      <c r="D79" s="185">
        <v>469</v>
      </c>
      <c r="E79" s="274" t="s">
        <v>670</v>
      </c>
      <c r="F79" s="185" t="s">
        <v>342</v>
      </c>
      <c r="G79" s="147" t="s">
        <v>593</v>
      </c>
      <c r="H79" s="147">
        <v>966342</v>
      </c>
      <c r="I79" s="118"/>
      <c r="J79" s="185" t="s">
        <v>192</v>
      </c>
      <c r="K79" s="108">
        <v>45</v>
      </c>
      <c r="L79" s="82">
        <v>63.225000000000001</v>
      </c>
      <c r="M79" s="149">
        <f t="shared" si="4"/>
        <v>-18.225000000000001</v>
      </c>
      <c r="N79" s="148">
        <f t="shared" si="5"/>
        <v>1.405</v>
      </c>
    </row>
    <row r="80" spans="1:14">
      <c r="A80" s="274" t="s">
        <v>693</v>
      </c>
      <c r="B80" s="185" t="s">
        <v>331</v>
      </c>
      <c r="C80" s="124">
        <v>44617</v>
      </c>
      <c r="D80" s="147">
        <v>469</v>
      </c>
      <c r="E80" s="274" t="s">
        <v>670</v>
      </c>
      <c r="F80" s="185" t="s">
        <v>342</v>
      </c>
      <c r="G80" s="185" t="s">
        <v>423</v>
      </c>
      <c r="H80" s="147">
        <v>964265</v>
      </c>
      <c r="I80" s="118"/>
      <c r="J80" s="185" t="s">
        <v>191</v>
      </c>
      <c r="K80" s="108">
        <v>60</v>
      </c>
      <c r="L80" s="82">
        <v>60</v>
      </c>
      <c r="M80" s="149">
        <f t="shared" si="4"/>
        <v>0</v>
      </c>
      <c r="N80" s="148">
        <f t="shared" si="5"/>
        <v>1</v>
      </c>
    </row>
    <row r="81" spans="1:14">
      <c r="A81" s="274" t="s">
        <v>693</v>
      </c>
      <c r="B81" s="185" t="s">
        <v>331</v>
      </c>
      <c r="C81" s="124">
        <v>44617</v>
      </c>
      <c r="D81" s="185">
        <v>469</v>
      </c>
      <c r="E81" s="274" t="s">
        <v>670</v>
      </c>
      <c r="F81" s="185" t="s">
        <v>342</v>
      </c>
      <c r="G81" s="147" t="s">
        <v>423</v>
      </c>
      <c r="H81" s="147">
        <v>964265</v>
      </c>
      <c r="I81" s="118"/>
      <c r="J81" s="185" t="s">
        <v>192</v>
      </c>
      <c r="K81" s="108">
        <v>80</v>
      </c>
      <c r="L81" s="82">
        <v>79.63</v>
      </c>
      <c r="M81" s="149">
        <f t="shared" si="4"/>
        <v>0.37000000000000455</v>
      </c>
      <c r="N81" s="148">
        <f t="shared" si="5"/>
        <v>0.9953749999999999</v>
      </c>
    </row>
    <row r="82" spans="1:14">
      <c r="A82" s="274" t="s">
        <v>693</v>
      </c>
      <c r="B82" s="185" t="s">
        <v>331</v>
      </c>
      <c r="C82" s="124">
        <v>44617</v>
      </c>
      <c r="D82" s="147">
        <v>469</v>
      </c>
      <c r="E82" s="274" t="s">
        <v>670</v>
      </c>
      <c r="F82" s="185" t="s">
        <v>342</v>
      </c>
      <c r="G82" s="185" t="s">
        <v>280</v>
      </c>
      <c r="H82" s="147">
        <v>956044</v>
      </c>
      <c r="I82" s="118"/>
      <c r="J82" s="185" t="s">
        <v>191</v>
      </c>
      <c r="K82" s="108">
        <v>151</v>
      </c>
      <c r="L82" s="82">
        <v>276.77300000000002</v>
      </c>
      <c r="M82" s="149">
        <f t="shared" si="4"/>
        <v>-125.77300000000002</v>
      </c>
      <c r="N82" s="148">
        <f t="shared" si="5"/>
        <v>1.8329337748344372</v>
      </c>
    </row>
    <row r="83" spans="1:14">
      <c r="A83" s="274" t="s">
        <v>693</v>
      </c>
      <c r="B83" s="185" t="s">
        <v>331</v>
      </c>
      <c r="C83" s="124">
        <v>44617</v>
      </c>
      <c r="D83" s="185">
        <v>469</v>
      </c>
      <c r="E83" s="274" t="s">
        <v>670</v>
      </c>
      <c r="F83" s="185" t="s">
        <v>342</v>
      </c>
      <c r="G83" s="147" t="s">
        <v>280</v>
      </c>
      <c r="H83" s="147">
        <v>956044</v>
      </c>
      <c r="I83" s="118"/>
      <c r="J83" s="185" t="s">
        <v>192</v>
      </c>
      <c r="K83" s="108">
        <v>209</v>
      </c>
      <c r="L83" s="82">
        <v>83.224000000000004</v>
      </c>
      <c r="M83" s="149">
        <f t="shared" si="4"/>
        <v>125.776</v>
      </c>
      <c r="N83" s="148">
        <f t="shared" si="5"/>
        <v>0.39820095693779906</v>
      </c>
    </row>
    <row r="84" spans="1:14">
      <c r="A84" s="274" t="s">
        <v>693</v>
      </c>
      <c r="B84" s="185" t="s">
        <v>331</v>
      </c>
      <c r="C84" s="124">
        <v>44617</v>
      </c>
      <c r="D84" s="147">
        <v>469</v>
      </c>
      <c r="E84" s="274" t="s">
        <v>670</v>
      </c>
      <c r="F84" s="185" t="s">
        <v>342</v>
      </c>
      <c r="G84" s="185" t="s">
        <v>594</v>
      </c>
      <c r="H84" s="147">
        <v>913375</v>
      </c>
      <c r="I84" s="118"/>
      <c r="J84" s="185" t="s">
        <v>191</v>
      </c>
      <c r="K84" s="108">
        <v>41</v>
      </c>
      <c r="L84" s="82"/>
      <c r="M84" s="149">
        <f t="shared" si="4"/>
        <v>41</v>
      </c>
      <c r="N84" s="148">
        <f t="shared" si="5"/>
        <v>0</v>
      </c>
    </row>
    <row r="85" spans="1:14">
      <c r="A85" s="274" t="s">
        <v>693</v>
      </c>
      <c r="B85" s="185" t="s">
        <v>331</v>
      </c>
      <c r="C85" s="124">
        <v>44617</v>
      </c>
      <c r="D85" s="185">
        <v>469</v>
      </c>
      <c r="E85" s="274" t="s">
        <v>670</v>
      </c>
      <c r="F85" s="185" t="s">
        <v>342</v>
      </c>
      <c r="G85" s="147" t="s">
        <v>594</v>
      </c>
      <c r="H85" s="147">
        <v>913375</v>
      </c>
      <c r="I85" s="118"/>
      <c r="J85" s="185" t="s">
        <v>192</v>
      </c>
      <c r="K85" s="108">
        <v>59</v>
      </c>
      <c r="L85" s="82">
        <v>100</v>
      </c>
      <c r="M85" s="149">
        <f t="shared" si="4"/>
        <v>-41</v>
      </c>
      <c r="N85" s="148">
        <f t="shared" si="5"/>
        <v>1.6949152542372881</v>
      </c>
    </row>
    <row r="86" spans="1:14">
      <c r="A86" s="274" t="s">
        <v>693</v>
      </c>
      <c r="B86" s="185" t="s">
        <v>331</v>
      </c>
      <c r="C86" s="124">
        <v>44617</v>
      </c>
      <c r="D86" s="147">
        <v>469</v>
      </c>
      <c r="E86" s="274" t="s">
        <v>670</v>
      </c>
      <c r="F86" s="185" t="s">
        <v>342</v>
      </c>
      <c r="G86" s="185" t="s">
        <v>595</v>
      </c>
      <c r="H86" s="147">
        <v>922531</v>
      </c>
      <c r="I86" s="118"/>
      <c r="J86" s="185" t="s">
        <v>191</v>
      </c>
      <c r="K86" s="108">
        <v>151</v>
      </c>
      <c r="L86" s="82">
        <v>176.566</v>
      </c>
      <c r="M86" s="149">
        <f t="shared" si="4"/>
        <v>-25.566000000000003</v>
      </c>
      <c r="N86" s="148">
        <f t="shared" si="5"/>
        <v>1.1693112582781457</v>
      </c>
    </row>
    <row r="87" spans="1:14">
      <c r="A87" s="274" t="s">
        <v>693</v>
      </c>
      <c r="B87" s="185" t="s">
        <v>331</v>
      </c>
      <c r="C87" s="124">
        <v>44617</v>
      </c>
      <c r="D87" s="185">
        <v>469</v>
      </c>
      <c r="E87" s="274" t="s">
        <v>670</v>
      </c>
      <c r="F87" s="185" t="s">
        <v>342</v>
      </c>
      <c r="G87" s="147" t="s">
        <v>595</v>
      </c>
      <c r="H87" s="147">
        <v>922513</v>
      </c>
      <c r="I87" s="118"/>
      <c r="J87" s="185" t="s">
        <v>192</v>
      </c>
      <c r="K87" s="108">
        <v>209</v>
      </c>
      <c r="L87" s="82">
        <v>27.437999999999999</v>
      </c>
      <c r="M87" s="149">
        <f t="shared" si="4"/>
        <v>181.56200000000001</v>
      </c>
      <c r="N87" s="148">
        <f t="shared" si="5"/>
        <v>0.13128229665071769</v>
      </c>
    </row>
    <row r="88" spans="1:14">
      <c r="A88" s="274" t="s">
        <v>694</v>
      </c>
      <c r="B88" s="191" t="s">
        <v>331</v>
      </c>
      <c r="C88" s="124">
        <v>44620</v>
      </c>
      <c r="D88" s="147">
        <v>523</v>
      </c>
      <c r="E88" s="274" t="s">
        <v>670</v>
      </c>
      <c r="F88" s="191" t="s">
        <v>342</v>
      </c>
      <c r="G88" s="191" t="s">
        <v>598</v>
      </c>
      <c r="H88" s="147">
        <v>966199</v>
      </c>
      <c r="I88" s="118"/>
      <c r="J88" s="191" t="s">
        <v>191</v>
      </c>
      <c r="K88" s="108">
        <v>10</v>
      </c>
      <c r="L88" s="82">
        <v>4.7830000000000004</v>
      </c>
      <c r="M88" s="149">
        <f t="shared" si="4"/>
        <v>5.2169999999999996</v>
      </c>
      <c r="N88" s="148">
        <f t="shared" si="5"/>
        <v>0.47830000000000006</v>
      </c>
    </row>
    <row r="89" spans="1:14">
      <c r="A89" s="274" t="s">
        <v>694</v>
      </c>
      <c r="B89" s="191" t="s">
        <v>331</v>
      </c>
      <c r="C89" s="124">
        <v>44620</v>
      </c>
      <c r="D89" s="191">
        <v>523</v>
      </c>
      <c r="E89" s="274" t="s">
        <v>670</v>
      </c>
      <c r="F89" s="191" t="s">
        <v>342</v>
      </c>
      <c r="G89" s="191" t="s">
        <v>598</v>
      </c>
      <c r="H89" s="191">
        <v>966199</v>
      </c>
      <c r="I89" s="118"/>
      <c r="J89" s="191" t="s">
        <v>192</v>
      </c>
      <c r="K89" s="108">
        <v>50</v>
      </c>
      <c r="L89" s="82">
        <v>0.33700000000000002</v>
      </c>
      <c r="M89" s="193">
        <f t="shared" si="4"/>
        <v>49.662999999999997</v>
      </c>
      <c r="N89" s="192">
        <f t="shared" si="5"/>
        <v>6.7400000000000003E-3</v>
      </c>
    </row>
    <row r="90" spans="1:14">
      <c r="A90" s="274" t="s">
        <v>694</v>
      </c>
      <c r="B90" s="191" t="s">
        <v>331</v>
      </c>
      <c r="C90" s="124">
        <v>44620</v>
      </c>
      <c r="D90" s="147">
        <v>523</v>
      </c>
      <c r="E90" s="274" t="s">
        <v>670</v>
      </c>
      <c r="F90" s="191" t="s">
        <v>342</v>
      </c>
      <c r="G90" s="191" t="s">
        <v>476</v>
      </c>
      <c r="H90" s="147">
        <v>960658</v>
      </c>
      <c r="I90" s="118"/>
      <c r="J90" s="191" t="s">
        <v>191</v>
      </c>
      <c r="K90" s="108">
        <v>100</v>
      </c>
      <c r="L90" s="82">
        <v>155.01499999999999</v>
      </c>
      <c r="M90" s="149">
        <f t="shared" si="4"/>
        <v>-55.014999999999986</v>
      </c>
      <c r="N90" s="148">
        <f t="shared" si="5"/>
        <v>1.5501499999999999</v>
      </c>
    </row>
    <row r="91" spans="1:14">
      <c r="A91" s="274" t="s">
        <v>694</v>
      </c>
      <c r="B91" s="191" t="s">
        <v>331</v>
      </c>
      <c r="C91" s="124">
        <v>44620</v>
      </c>
      <c r="D91" s="191">
        <v>523</v>
      </c>
      <c r="E91" s="274" t="s">
        <v>670</v>
      </c>
      <c r="F91" s="191" t="s">
        <v>342</v>
      </c>
      <c r="G91" s="191" t="s">
        <v>476</v>
      </c>
      <c r="H91" s="191">
        <v>960658</v>
      </c>
      <c r="I91" s="118"/>
      <c r="J91" s="191" t="s">
        <v>192</v>
      </c>
      <c r="K91" s="108">
        <v>200</v>
      </c>
      <c r="L91" s="82">
        <v>144.917</v>
      </c>
      <c r="M91" s="193">
        <f t="shared" si="4"/>
        <v>55.082999999999998</v>
      </c>
      <c r="N91" s="192">
        <f t="shared" si="5"/>
        <v>0.72458500000000003</v>
      </c>
    </row>
    <row r="92" spans="1:14">
      <c r="A92" s="274" t="s">
        <v>694</v>
      </c>
      <c r="B92" s="191" t="s">
        <v>331</v>
      </c>
      <c r="C92" s="124">
        <v>44620</v>
      </c>
      <c r="D92" s="147">
        <v>523</v>
      </c>
      <c r="E92" s="274" t="s">
        <v>670</v>
      </c>
      <c r="F92" s="191" t="s">
        <v>342</v>
      </c>
      <c r="G92" s="191" t="s">
        <v>413</v>
      </c>
      <c r="H92" s="147">
        <v>968454</v>
      </c>
      <c r="I92" s="118"/>
      <c r="J92" s="191" t="s">
        <v>191</v>
      </c>
      <c r="K92" s="108">
        <v>10</v>
      </c>
      <c r="L92" s="82">
        <v>37.683999999999997</v>
      </c>
      <c r="M92" s="149">
        <f t="shared" si="4"/>
        <v>-27.683999999999997</v>
      </c>
      <c r="N92" s="148">
        <f t="shared" si="5"/>
        <v>3.7683999999999997</v>
      </c>
    </row>
    <row r="93" spans="1:14">
      <c r="A93" s="274" t="s">
        <v>694</v>
      </c>
      <c r="B93" s="191" t="s">
        <v>331</v>
      </c>
      <c r="C93" s="124">
        <v>44620</v>
      </c>
      <c r="D93" s="191">
        <v>523</v>
      </c>
      <c r="E93" s="274" t="s">
        <v>670</v>
      </c>
      <c r="F93" s="191" t="s">
        <v>342</v>
      </c>
      <c r="G93" s="191" t="s">
        <v>413</v>
      </c>
      <c r="H93" s="191">
        <v>968454</v>
      </c>
      <c r="I93" s="118"/>
      <c r="J93" s="191" t="s">
        <v>192</v>
      </c>
      <c r="K93" s="108">
        <v>40</v>
      </c>
      <c r="L93" s="82">
        <v>12.125999999999999</v>
      </c>
      <c r="M93" s="193">
        <f t="shared" si="4"/>
        <v>27.874000000000002</v>
      </c>
      <c r="N93" s="192">
        <f t="shared" si="5"/>
        <v>0.30314999999999998</v>
      </c>
    </row>
    <row r="94" spans="1:14">
      <c r="A94" s="274" t="s">
        <v>694</v>
      </c>
      <c r="B94" s="191" t="s">
        <v>331</v>
      </c>
      <c r="C94" s="124">
        <v>44620</v>
      </c>
      <c r="D94" s="147">
        <v>523</v>
      </c>
      <c r="E94" s="274" t="s">
        <v>670</v>
      </c>
      <c r="F94" s="191" t="s">
        <v>342</v>
      </c>
      <c r="G94" s="191" t="s">
        <v>461</v>
      </c>
      <c r="H94" s="147">
        <v>953992</v>
      </c>
      <c r="I94" s="118"/>
      <c r="J94" s="191" t="s">
        <v>191</v>
      </c>
      <c r="K94" s="108">
        <v>100</v>
      </c>
      <c r="L94" s="82"/>
      <c r="M94" s="149">
        <f t="shared" si="4"/>
        <v>100</v>
      </c>
      <c r="N94" s="148">
        <f t="shared" si="5"/>
        <v>0</v>
      </c>
    </row>
    <row r="95" spans="1:14">
      <c r="A95" s="274" t="s">
        <v>694</v>
      </c>
      <c r="B95" s="191" t="s">
        <v>331</v>
      </c>
      <c r="C95" s="124">
        <v>44620</v>
      </c>
      <c r="D95" s="191">
        <v>523</v>
      </c>
      <c r="E95" s="274" t="s">
        <v>670</v>
      </c>
      <c r="F95" s="191" t="s">
        <v>342</v>
      </c>
      <c r="G95" s="191" t="s">
        <v>461</v>
      </c>
      <c r="H95" s="191">
        <v>953992</v>
      </c>
      <c r="I95" s="118"/>
      <c r="J95" s="191" t="s">
        <v>192</v>
      </c>
      <c r="K95" s="108">
        <v>150</v>
      </c>
      <c r="L95" s="82"/>
      <c r="M95" s="193">
        <f t="shared" si="4"/>
        <v>150</v>
      </c>
      <c r="N95" s="192">
        <f t="shared" si="5"/>
        <v>0</v>
      </c>
    </row>
    <row r="96" spans="1:14">
      <c r="A96" s="274" t="s">
        <v>694</v>
      </c>
      <c r="B96" s="191" t="s">
        <v>331</v>
      </c>
      <c r="C96" s="124">
        <v>44620</v>
      </c>
      <c r="D96" s="191">
        <v>523</v>
      </c>
      <c r="E96" s="274" t="s">
        <v>670</v>
      </c>
      <c r="F96" s="191" t="s">
        <v>342</v>
      </c>
      <c r="G96" s="191" t="s">
        <v>599</v>
      </c>
      <c r="H96" s="147">
        <v>957492</v>
      </c>
      <c r="I96" s="118"/>
      <c r="J96" s="191" t="s">
        <v>191</v>
      </c>
      <c r="K96" s="108">
        <v>10</v>
      </c>
      <c r="L96" s="82"/>
      <c r="M96" s="149">
        <f t="shared" si="4"/>
        <v>10</v>
      </c>
      <c r="N96" s="148">
        <f t="shared" si="5"/>
        <v>0</v>
      </c>
    </row>
    <row r="97" spans="1:14">
      <c r="A97" s="274" t="s">
        <v>694</v>
      </c>
      <c r="B97" s="191" t="s">
        <v>331</v>
      </c>
      <c r="C97" s="124">
        <v>44620</v>
      </c>
      <c r="D97" s="191">
        <v>523</v>
      </c>
      <c r="E97" s="274" t="s">
        <v>670</v>
      </c>
      <c r="F97" s="191" t="s">
        <v>342</v>
      </c>
      <c r="G97" s="191" t="s">
        <v>599</v>
      </c>
      <c r="H97" s="191">
        <v>957492</v>
      </c>
      <c r="I97" s="118"/>
      <c r="J97" s="191" t="s">
        <v>192</v>
      </c>
      <c r="K97" s="108">
        <v>50</v>
      </c>
      <c r="L97" s="82">
        <v>60</v>
      </c>
      <c r="M97" s="193">
        <f t="shared" si="4"/>
        <v>-10</v>
      </c>
      <c r="N97" s="192">
        <f t="shared" si="5"/>
        <v>1.2</v>
      </c>
    </row>
    <row r="98" spans="1:14">
      <c r="A98" s="274" t="s">
        <v>694</v>
      </c>
      <c r="B98" s="274" t="s">
        <v>335</v>
      </c>
      <c r="C98" s="124">
        <v>44620</v>
      </c>
      <c r="D98" s="191">
        <v>523</v>
      </c>
      <c r="E98" s="274" t="s">
        <v>670</v>
      </c>
      <c r="F98" s="191" t="s">
        <v>342</v>
      </c>
      <c r="G98" s="118" t="s">
        <v>515</v>
      </c>
      <c r="H98" s="147">
        <v>31015</v>
      </c>
      <c r="I98" s="118"/>
      <c r="J98" s="191" t="s">
        <v>191</v>
      </c>
      <c r="K98" s="560">
        <v>200</v>
      </c>
      <c r="L98" s="82">
        <v>112.55</v>
      </c>
      <c r="M98" s="562">
        <f>K98-(L98+L99+L100+L101)</f>
        <v>-281.00500000000005</v>
      </c>
      <c r="N98" s="564">
        <f>(L98+L99+L100+L101)/K98</f>
        <v>2.4050250000000002</v>
      </c>
    </row>
    <row r="99" spans="1:14">
      <c r="A99" s="274" t="s">
        <v>694</v>
      </c>
      <c r="B99" s="274" t="s">
        <v>335</v>
      </c>
      <c r="C99" s="124">
        <v>44620</v>
      </c>
      <c r="D99" s="191">
        <v>523</v>
      </c>
      <c r="E99" s="274" t="s">
        <v>670</v>
      </c>
      <c r="F99" s="191" t="s">
        <v>342</v>
      </c>
      <c r="G99" s="118" t="s">
        <v>400</v>
      </c>
      <c r="H99" s="147">
        <v>968938</v>
      </c>
      <c r="I99" s="118"/>
      <c r="J99" s="191" t="s">
        <v>191</v>
      </c>
      <c r="K99" s="566"/>
      <c r="L99" s="82">
        <v>70.087000000000003</v>
      </c>
      <c r="M99" s="567"/>
      <c r="N99" s="568"/>
    </row>
    <row r="100" spans="1:14">
      <c r="A100" s="274" t="s">
        <v>694</v>
      </c>
      <c r="B100" s="274" t="s">
        <v>335</v>
      </c>
      <c r="C100" s="124">
        <v>44620</v>
      </c>
      <c r="D100" s="191">
        <v>523</v>
      </c>
      <c r="E100" s="274" t="s">
        <v>670</v>
      </c>
      <c r="F100" s="191" t="s">
        <v>342</v>
      </c>
      <c r="G100" s="118" t="s">
        <v>489</v>
      </c>
      <c r="H100" s="147">
        <v>966410</v>
      </c>
      <c r="I100" s="118"/>
      <c r="J100" s="191" t="s">
        <v>191</v>
      </c>
      <c r="K100" s="566"/>
      <c r="L100" s="82">
        <v>252.751</v>
      </c>
      <c r="M100" s="567"/>
      <c r="N100" s="568"/>
    </row>
    <row r="101" spans="1:14">
      <c r="A101" s="274" t="s">
        <v>694</v>
      </c>
      <c r="B101" s="274" t="s">
        <v>335</v>
      </c>
      <c r="C101" s="124">
        <v>44620</v>
      </c>
      <c r="D101" s="191">
        <v>523</v>
      </c>
      <c r="E101" s="274" t="s">
        <v>670</v>
      </c>
      <c r="F101" s="191" t="s">
        <v>342</v>
      </c>
      <c r="G101" s="118" t="s">
        <v>600</v>
      </c>
      <c r="H101" s="147">
        <v>922492</v>
      </c>
      <c r="I101" s="118"/>
      <c r="J101" s="191" t="s">
        <v>191</v>
      </c>
      <c r="K101" s="561"/>
      <c r="L101" s="82">
        <v>45.616999999999997</v>
      </c>
      <c r="M101" s="563"/>
      <c r="N101" s="565"/>
    </row>
    <row r="102" spans="1:14">
      <c r="A102" s="274" t="s">
        <v>694</v>
      </c>
      <c r="B102" s="274" t="s">
        <v>335</v>
      </c>
      <c r="C102" s="124">
        <v>44620</v>
      </c>
      <c r="D102" s="191">
        <v>523</v>
      </c>
      <c r="E102" s="274" t="s">
        <v>670</v>
      </c>
      <c r="F102" s="191" t="s">
        <v>342</v>
      </c>
      <c r="G102" s="191" t="s">
        <v>515</v>
      </c>
      <c r="H102" s="191">
        <v>31015</v>
      </c>
      <c r="I102" s="118"/>
      <c r="J102" s="191" t="s">
        <v>192</v>
      </c>
      <c r="K102" s="560">
        <v>780</v>
      </c>
      <c r="L102" s="82">
        <v>209.37</v>
      </c>
      <c r="M102" s="562">
        <f>K102-(L102+L103+L104+L105)</f>
        <v>267.88700000000006</v>
      </c>
      <c r="N102" s="564">
        <f>(L102+L103+L104+L105)/K102</f>
        <v>0.65655512820512818</v>
      </c>
    </row>
    <row r="103" spans="1:14">
      <c r="A103" s="274" t="s">
        <v>694</v>
      </c>
      <c r="B103" s="274" t="s">
        <v>335</v>
      </c>
      <c r="C103" s="124">
        <v>44620</v>
      </c>
      <c r="D103" s="191">
        <v>523</v>
      </c>
      <c r="E103" s="274" t="s">
        <v>670</v>
      </c>
      <c r="F103" s="191" t="s">
        <v>342</v>
      </c>
      <c r="G103" s="191" t="s">
        <v>400</v>
      </c>
      <c r="H103" s="191">
        <v>968938</v>
      </c>
      <c r="I103" s="118"/>
      <c r="J103" s="191" t="s">
        <v>192</v>
      </c>
      <c r="K103" s="566">
        <v>231.70212765957501</v>
      </c>
      <c r="L103" s="82">
        <v>168.511</v>
      </c>
      <c r="M103" s="567"/>
      <c r="N103" s="568"/>
    </row>
    <row r="104" spans="1:14">
      <c r="A104" s="274" t="s">
        <v>694</v>
      </c>
      <c r="B104" s="274" t="s">
        <v>335</v>
      </c>
      <c r="C104" s="124">
        <v>44620</v>
      </c>
      <c r="D104" s="191">
        <v>523</v>
      </c>
      <c r="E104" s="274" t="s">
        <v>670</v>
      </c>
      <c r="F104" s="191" t="s">
        <v>342</v>
      </c>
      <c r="G104" s="191" t="s">
        <v>489</v>
      </c>
      <c r="H104" s="191">
        <v>966410</v>
      </c>
      <c r="I104" s="118"/>
      <c r="J104" s="191" t="s">
        <v>192</v>
      </c>
      <c r="K104" s="566">
        <v>243.88297872340399</v>
      </c>
      <c r="L104" s="82">
        <v>115.599</v>
      </c>
      <c r="M104" s="567"/>
      <c r="N104" s="568"/>
    </row>
    <row r="105" spans="1:14">
      <c r="A105" s="274" t="s">
        <v>694</v>
      </c>
      <c r="B105" s="274" t="s">
        <v>335</v>
      </c>
      <c r="C105" s="124">
        <v>44620</v>
      </c>
      <c r="D105" s="191">
        <v>523</v>
      </c>
      <c r="E105" s="274" t="s">
        <v>670</v>
      </c>
      <c r="F105" s="191" t="s">
        <v>342</v>
      </c>
      <c r="G105" s="191" t="s">
        <v>600</v>
      </c>
      <c r="H105" s="191">
        <v>922492</v>
      </c>
      <c r="I105" s="118"/>
      <c r="J105" s="191" t="s">
        <v>192</v>
      </c>
      <c r="K105" s="561">
        <v>256.063829787234</v>
      </c>
      <c r="L105" s="82">
        <v>18.632999999999999</v>
      </c>
      <c r="M105" s="563"/>
      <c r="N105" s="565"/>
    </row>
    <row r="106" spans="1:14">
      <c r="A106" s="274" t="s">
        <v>694</v>
      </c>
      <c r="B106" s="274" t="s">
        <v>335</v>
      </c>
      <c r="C106" s="124">
        <v>44620</v>
      </c>
      <c r="D106" s="191">
        <v>523</v>
      </c>
      <c r="E106" s="274" t="s">
        <v>670</v>
      </c>
      <c r="F106" s="191" t="s">
        <v>342</v>
      </c>
      <c r="G106" s="191" t="s">
        <v>601</v>
      </c>
      <c r="H106" s="147">
        <v>952323</v>
      </c>
      <c r="I106" s="118"/>
      <c r="J106" s="191" t="s">
        <v>191</v>
      </c>
      <c r="K106" s="560">
        <v>120</v>
      </c>
      <c r="L106" s="82">
        <v>174.62799999999999</v>
      </c>
      <c r="M106" s="562">
        <f>K106-(L106+L107)</f>
        <v>-85.036999999999978</v>
      </c>
      <c r="N106" s="564">
        <f>(L106+L107)/K106</f>
        <v>1.7086416666666664</v>
      </c>
    </row>
    <row r="107" spans="1:14">
      <c r="A107" s="274" t="s">
        <v>694</v>
      </c>
      <c r="B107" s="274" t="s">
        <v>335</v>
      </c>
      <c r="C107" s="124">
        <v>44620</v>
      </c>
      <c r="D107" s="191">
        <v>523</v>
      </c>
      <c r="E107" s="274" t="s">
        <v>670</v>
      </c>
      <c r="F107" s="191" t="s">
        <v>342</v>
      </c>
      <c r="G107" s="191" t="s">
        <v>490</v>
      </c>
      <c r="H107" s="147">
        <v>698337</v>
      </c>
      <c r="I107" s="118"/>
      <c r="J107" s="191" t="s">
        <v>191</v>
      </c>
      <c r="K107" s="561"/>
      <c r="L107" s="82">
        <v>30.408999999999999</v>
      </c>
      <c r="M107" s="563"/>
      <c r="N107" s="565"/>
    </row>
    <row r="108" spans="1:14">
      <c r="A108" s="274" t="s">
        <v>694</v>
      </c>
      <c r="B108" s="274" t="s">
        <v>335</v>
      </c>
      <c r="C108" s="124">
        <v>44620</v>
      </c>
      <c r="D108" s="191">
        <v>523</v>
      </c>
      <c r="E108" s="274" t="s">
        <v>670</v>
      </c>
      <c r="F108" s="191" t="s">
        <v>342</v>
      </c>
      <c r="G108" s="191" t="s">
        <v>601</v>
      </c>
      <c r="H108" s="191">
        <v>952323</v>
      </c>
      <c r="I108" s="118"/>
      <c r="J108" s="191" t="s">
        <v>192</v>
      </c>
      <c r="K108" s="560">
        <v>250</v>
      </c>
      <c r="L108" s="82">
        <v>75.504000000000005</v>
      </c>
      <c r="M108" s="562">
        <f>K108-(L108+L109)</f>
        <v>84.905000000000001</v>
      </c>
      <c r="N108" s="564">
        <f>(L108+L109)/K108</f>
        <v>0.66037999999999997</v>
      </c>
    </row>
    <row r="109" spans="1:14">
      <c r="A109" s="274" t="s">
        <v>694</v>
      </c>
      <c r="B109" s="274" t="s">
        <v>335</v>
      </c>
      <c r="C109" s="124">
        <v>44620</v>
      </c>
      <c r="D109" s="191">
        <v>523</v>
      </c>
      <c r="E109" s="274" t="s">
        <v>670</v>
      </c>
      <c r="F109" s="191" t="s">
        <v>342</v>
      </c>
      <c r="G109" s="191" t="s">
        <v>490</v>
      </c>
      <c r="H109" s="191">
        <v>698337</v>
      </c>
      <c r="I109" s="118"/>
      <c r="J109" s="191" t="s">
        <v>192</v>
      </c>
      <c r="K109" s="561"/>
      <c r="L109" s="82">
        <v>89.590999999999994</v>
      </c>
      <c r="M109" s="563"/>
      <c r="N109" s="565"/>
    </row>
    <row r="110" spans="1:14">
      <c r="A110" s="274" t="s">
        <v>694</v>
      </c>
      <c r="B110" s="191" t="s">
        <v>331</v>
      </c>
      <c r="C110" s="124">
        <v>44620</v>
      </c>
      <c r="D110" s="191">
        <v>524</v>
      </c>
      <c r="E110" s="274" t="s">
        <v>670</v>
      </c>
      <c r="F110" s="191" t="s">
        <v>342</v>
      </c>
      <c r="G110" s="191" t="s">
        <v>602</v>
      </c>
      <c r="H110" s="147">
        <v>698734</v>
      </c>
      <c r="I110" s="118"/>
      <c r="J110" s="191" t="s">
        <v>191</v>
      </c>
      <c r="K110" s="108">
        <v>200</v>
      </c>
      <c r="L110" s="82">
        <v>256.495</v>
      </c>
      <c r="M110" s="149">
        <f t="shared" ref="M110:M117" si="6">K110-L110</f>
        <v>-56.495000000000005</v>
      </c>
      <c r="N110" s="148">
        <f t="shared" ref="N110:N117" si="7">L110/K110</f>
        <v>1.282475</v>
      </c>
    </row>
    <row r="111" spans="1:14">
      <c r="A111" s="274" t="s">
        <v>694</v>
      </c>
      <c r="B111" s="191" t="s">
        <v>331</v>
      </c>
      <c r="C111" s="124">
        <v>44620</v>
      </c>
      <c r="D111" s="191">
        <v>524</v>
      </c>
      <c r="E111" s="274" t="s">
        <v>670</v>
      </c>
      <c r="F111" s="191" t="s">
        <v>342</v>
      </c>
      <c r="G111" s="191" t="s">
        <v>602</v>
      </c>
      <c r="H111" s="191">
        <v>698734</v>
      </c>
      <c r="I111" s="118"/>
      <c r="J111" s="191" t="s">
        <v>192</v>
      </c>
      <c r="K111" s="108">
        <v>300</v>
      </c>
      <c r="L111" s="82">
        <v>243.505</v>
      </c>
      <c r="M111" s="193">
        <f t="shared" si="6"/>
        <v>56.495000000000005</v>
      </c>
      <c r="N111" s="192">
        <f t="shared" si="7"/>
        <v>0.81168333333333331</v>
      </c>
    </row>
    <row r="112" spans="1:14">
      <c r="A112" s="274" t="s">
        <v>694</v>
      </c>
      <c r="B112" s="191" t="s">
        <v>331</v>
      </c>
      <c r="C112" s="124">
        <v>44620</v>
      </c>
      <c r="D112" s="191">
        <v>524</v>
      </c>
      <c r="E112" s="274" t="s">
        <v>670</v>
      </c>
      <c r="F112" s="191" t="s">
        <v>342</v>
      </c>
      <c r="G112" s="191" t="s">
        <v>603</v>
      </c>
      <c r="H112" s="147">
        <v>964694</v>
      </c>
      <c r="I112" s="118"/>
      <c r="J112" s="191" t="s">
        <v>191</v>
      </c>
      <c r="K112" s="108">
        <v>10</v>
      </c>
      <c r="L112" s="82">
        <v>10.590999999999999</v>
      </c>
      <c r="M112" s="193">
        <f t="shared" si="6"/>
        <v>-0.5909999999999993</v>
      </c>
      <c r="N112" s="192">
        <f t="shared" si="7"/>
        <v>1.0590999999999999</v>
      </c>
    </row>
    <row r="113" spans="1:14">
      <c r="A113" s="274" t="s">
        <v>694</v>
      </c>
      <c r="B113" s="191" t="s">
        <v>331</v>
      </c>
      <c r="C113" s="124">
        <v>44620</v>
      </c>
      <c r="D113" s="191">
        <v>524</v>
      </c>
      <c r="E113" s="274" t="s">
        <v>670</v>
      </c>
      <c r="F113" s="191" t="s">
        <v>342</v>
      </c>
      <c r="G113" s="191" t="s">
        <v>603</v>
      </c>
      <c r="H113" s="191">
        <v>964694</v>
      </c>
      <c r="I113" s="118"/>
      <c r="J113" s="191" t="s">
        <v>192</v>
      </c>
      <c r="K113" s="108">
        <v>50</v>
      </c>
      <c r="L113" s="82">
        <v>24.939</v>
      </c>
      <c r="M113" s="193">
        <f t="shared" si="6"/>
        <v>25.061</v>
      </c>
      <c r="N113" s="192">
        <f t="shared" si="7"/>
        <v>0.49878</v>
      </c>
    </row>
    <row r="114" spans="1:14">
      <c r="A114" s="274" t="s">
        <v>694</v>
      </c>
      <c r="B114" s="191" t="s">
        <v>331</v>
      </c>
      <c r="C114" s="124">
        <v>44620</v>
      </c>
      <c r="D114" s="191">
        <v>524</v>
      </c>
      <c r="E114" s="274" t="s">
        <v>670</v>
      </c>
      <c r="F114" s="191" t="s">
        <v>342</v>
      </c>
      <c r="G114" s="191" t="s">
        <v>604</v>
      </c>
      <c r="H114" s="147">
        <v>697860</v>
      </c>
      <c r="I114" s="118"/>
      <c r="J114" s="191" t="s">
        <v>191</v>
      </c>
      <c r="K114" s="108">
        <v>10</v>
      </c>
      <c r="L114" s="82">
        <v>3.7269999999999999</v>
      </c>
      <c r="M114" s="193">
        <f t="shared" si="6"/>
        <v>6.2729999999999997</v>
      </c>
      <c r="N114" s="192">
        <f t="shared" si="7"/>
        <v>0.37269999999999998</v>
      </c>
    </row>
    <row r="115" spans="1:14">
      <c r="A115" s="274" t="s">
        <v>694</v>
      </c>
      <c r="B115" s="191" t="s">
        <v>331</v>
      </c>
      <c r="C115" s="124">
        <v>44620</v>
      </c>
      <c r="D115" s="191">
        <v>524</v>
      </c>
      <c r="E115" s="274" t="s">
        <v>670</v>
      </c>
      <c r="F115" s="191" t="s">
        <v>342</v>
      </c>
      <c r="G115" s="191" t="s">
        <v>604</v>
      </c>
      <c r="H115" s="191">
        <v>697860</v>
      </c>
      <c r="I115" s="118"/>
      <c r="J115" s="191" t="s">
        <v>192</v>
      </c>
      <c r="K115" s="108">
        <v>50</v>
      </c>
      <c r="L115" s="82">
        <v>39.082000000000001</v>
      </c>
      <c r="M115" s="193">
        <f t="shared" si="6"/>
        <v>10.917999999999999</v>
      </c>
      <c r="N115" s="192">
        <f t="shared" si="7"/>
        <v>0.78164</v>
      </c>
    </row>
    <row r="116" spans="1:14">
      <c r="A116" s="274" t="s">
        <v>694</v>
      </c>
      <c r="B116" s="191" t="s">
        <v>331</v>
      </c>
      <c r="C116" s="124">
        <v>44620</v>
      </c>
      <c r="D116" s="191">
        <v>524</v>
      </c>
      <c r="E116" s="274" t="s">
        <v>670</v>
      </c>
      <c r="F116" s="191" t="s">
        <v>342</v>
      </c>
      <c r="G116" s="191" t="s">
        <v>439</v>
      </c>
      <c r="H116" s="147">
        <v>953641</v>
      </c>
      <c r="I116" s="118"/>
      <c r="J116" s="191" t="s">
        <v>191</v>
      </c>
      <c r="K116" s="108">
        <v>82</v>
      </c>
      <c r="L116" s="82">
        <v>176.14400000000001</v>
      </c>
      <c r="M116" s="193">
        <f t="shared" si="6"/>
        <v>-94.144000000000005</v>
      </c>
      <c r="N116" s="192">
        <f t="shared" si="7"/>
        <v>2.1480975609756099</v>
      </c>
    </row>
    <row r="117" spans="1:14">
      <c r="A117" s="274" t="s">
        <v>694</v>
      </c>
      <c r="B117" s="191" t="s">
        <v>331</v>
      </c>
      <c r="C117" s="124">
        <v>44620</v>
      </c>
      <c r="D117" s="191">
        <v>524</v>
      </c>
      <c r="E117" s="274" t="s">
        <v>670</v>
      </c>
      <c r="F117" s="191" t="s">
        <v>342</v>
      </c>
      <c r="G117" s="191" t="s">
        <v>439</v>
      </c>
      <c r="H117" s="191">
        <v>953641</v>
      </c>
      <c r="I117" s="118"/>
      <c r="J117" s="191" t="s">
        <v>192</v>
      </c>
      <c r="K117" s="108">
        <v>169</v>
      </c>
      <c r="L117" s="82">
        <v>73.855999999999995</v>
      </c>
      <c r="M117" s="193">
        <f t="shared" si="6"/>
        <v>95.144000000000005</v>
      </c>
      <c r="N117" s="192">
        <f t="shared" si="7"/>
        <v>0.4370177514792899</v>
      </c>
    </row>
    <row r="118" spans="1:14">
      <c r="A118" s="274" t="s">
        <v>694</v>
      </c>
      <c r="B118" s="274" t="s">
        <v>335</v>
      </c>
      <c r="C118" s="124">
        <v>44620</v>
      </c>
      <c r="D118" s="191">
        <v>524</v>
      </c>
      <c r="E118" s="274" t="s">
        <v>670</v>
      </c>
      <c r="F118" s="191" t="s">
        <v>342</v>
      </c>
      <c r="G118" s="118" t="s">
        <v>605</v>
      </c>
      <c r="H118" s="147">
        <v>954609</v>
      </c>
      <c r="I118" s="118"/>
      <c r="J118" s="191" t="s">
        <v>191</v>
      </c>
      <c r="K118" s="560">
        <v>150</v>
      </c>
      <c r="L118" s="82">
        <v>236.517</v>
      </c>
      <c r="M118" s="562">
        <f>K118-(L118+L119+L120)</f>
        <v>-228.34500000000003</v>
      </c>
      <c r="N118" s="564">
        <f>(L118+L119+L120)/K118</f>
        <v>2.5223</v>
      </c>
    </row>
    <row r="119" spans="1:14">
      <c r="A119" s="274" t="s">
        <v>694</v>
      </c>
      <c r="B119" s="274" t="s">
        <v>335</v>
      </c>
      <c r="C119" s="124">
        <v>44620</v>
      </c>
      <c r="D119" s="191">
        <v>524</v>
      </c>
      <c r="E119" s="274" t="s">
        <v>670</v>
      </c>
      <c r="F119" s="191" t="s">
        <v>342</v>
      </c>
      <c r="G119" s="118" t="s">
        <v>540</v>
      </c>
      <c r="H119" s="147">
        <v>955330</v>
      </c>
      <c r="I119" s="118"/>
      <c r="J119" s="191" t="s">
        <v>191</v>
      </c>
      <c r="K119" s="566"/>
      <c r="L119" s="82">
        <v>141.828</v>
      </c>
      <c r="M119" s="567"/>
      <c r="N119" s="568"/>
    </row>
    <row r="120" spans="1:14">
      <c r="A120" s="274" t="s">
        <v>694</v>
      </c>
      <c r="B120" s="274" t="s">
        <v>335</v>
      </c>
      <c r="C120" s="124">
        <v>44620</v>
      </c>
      <c r="D120" s="191">
        <v>524</v>
      </c>
      <c r="E120" s="274" t="s">
        <v>670</v>
      </c>
      <c r="F120" s="191" t="s">
        <v>342</v>
      </c>
      <c r="G120" s="118" t="s">
        <v>606</v>
      </c>
      <c r="H120" s="147">
        <v>951919</v>
      </c>
      <c r="I120" s="118"/>
      <c r="J120" s="191" t="s">
        <v>191</v>
      </c>
      <c r="K120" s="561"/>
      <c r="L120" s="82"/>
      <c r="M120" s="563"/>
      <c r="N120" s="565"/>
    </row>
    <row r="121" spans="1:14">
      <c r="A121" s="274" t="s">
        <v>694</v>
      </c>
      <c r="B121" s="274" t="s">
        <v>335</v>
      </c>
      <c r="C121" s="124">
        <v>44620</v>
      </c>
      <c r="D121" s="191">
        <v>524</v>
      </c>
      <c r="E121" s="274" t="s">
        <v>670</v>
      </c>
      <c r="F121" s="191" t="s">
        <v>342</v>
      </c>
      <c r="G121" s="118" t="s">
        <v>605</v>
      </c>
      <c r="H121" s="191">
        <v>954609</v>
      </c>
      <c r="I121" s="118"/>
      <c r="J121" s="191" t="s">
        <v>192</v>
      </c>
      <c r="K121" s="560">
        <v>500</v>
      </c>
      <c r="L121" s="82">
        <v>33.972999999999999</v>
      </c>
      <c r="M121" s="562">
        <f>K121-(L121+L122+L123)</f>
        <v>460.65499999999997</v>
      </c>
      <c r="N121" s="564">
        <f>(L121+L122+L123)/K121</f>
        <v>7.8689999999999996E-2</v>
      </c>
    </row>
    <row r="122" spans="1:14">
      <c r="A122" s="274" t="s">
        <v>694</v>
      </c>
      <c r="B122" s="274" t="s">
        <v>335</v>
      </c>
      <c r="C122" s="124">
        <v>44620</v>
      </c>
      <c r="D122" s="191">
        <v>524</v>
      </c>
      <c r="E122" s="274" t="s">
        <v>670</v>
      </c>
      <c r="F122" s="191" t="s">
        <v>342</v>
      </c>
      <c r="G122" s="118" t="s">
        <v>540</v>
      </c>
      <c r="H122" s="191">
        <v>955330</v>
      </c>
      <c r="I122" s="118"/>
      <c r="J122" s="191" t="s">
        <v>192</v>
      </c>
      <c r="K122" s="566">
        <v>99.969465648854893</v>
      </c>
      <c r="L122" s="82">
        <v>5.3719999999999999</v>
      </c>
      <c r="M122" s="567"/>
      <c r="N122" s="568"/>
    </row>
    <row r="123" spans="1:14">
      <c r="A123" s="274" t="s">
        <v>694</v>
      </c>
      <c r="B123" s="274" t="s">
        <v>335</v>
      </c>
      <c r="C123" s="124">
        <v>44620</v>
      </c>
      <c r="D123" s="191">
        <v>524</v>
      </c>
      <c r="E123" s="274" t="s">
        <v>670</v>
      </c>
      <c r="F123" s="191" t="s">
        <v>342</v>
      </c>
      <c r="G123" s="118" t="s">
        <v>606</v>
      </c>
      <c r="H123" s="191">
        <v>951919</v>
      </c>
      <c r="I123" s="118"/>
      <c r="J123" s="191" t="s">
        <v>192</v>
      </c>
      <c r="K123" s="561">
        <v>100.06106870229</v>
      </c>
      <c r="L123" s="82"/>
      <c r="M123" s="563"/>
      <c r="N123" s="565"/>
    </row>
    <row r="124" spans="1:14">
      <c r="A124" s="274" t="s">
        <v>694</v>
      </c>
      <c r="B124" s="274" t="s">
        <v>335</v>
      </c>
      <c r="C124" s="124">
        <v>44620</v>
      </c>
      <c r="D124" s="191">
        <v>524</v>
      </c>
      <c r="E124" s="274" t="s">
        <v>670</v>
      </c>
      <c r="F124" s="191" t="s">
        <v>342</v>
      </c>
      <c r="G124" s="118" t="s">
        <v>537</v>
      </c>
      <c r="H124" s="147">
        <v>960952</v>
      </c>
      <c r="I124" s="118"/>
      <c r="J124" s="191" t="s">
        <v>191</v>
      </c>
      <c r="K124" s="560">
        <v>200</v>
      </c>
      <c r="L124" s="82">
        <v>487.36500000000001</v>
      </c>
      <c r="M124" s="562">
        <f>K124-(L124+L125+L126)</f>
        <v>-287.36500000000001</v>
      </c>
      <c r="N124" s="564">
        <f>(L124+L125+L126)/K124</f>
        <v>2.4368250000000002</v>
      </c>
    </row>
    <row r="125" spans="1:14">
      <c r="A125" s="274" t="s">
        <v>694</v>
      </c>
      <c r="B125" s="274" t="s">
        <v>335</v>
      </c>
      <c r="C125" s="124">
        <v>44620</v>
      </c>
      <c r="D125" s="191">
        <v>524</v>
      </c>
      <c r="E125" s="274" t="s">
        <v>670</v>
      </c>
      <c r="F125" s="191" t="s">
        <v>342</v>
      </c>
      <c r="G125" s="118" t="s">
        <v>607</v>
      </c>
      <c r="H125" s="147">
        <v>968671</v>
      </c>
      <c r="I125" s="118"/>
      <c r="J125" s="191" t="s">
        <v>191</v>
      </c>
      <c r="K125" s="566"/>
      <c r="L125" s="82"/>
      <c r="M125" s="567"/>
      <c r="N125" s="568"/>
    </row>
    <row r="126" spans="1:14">
      <c r="A126" s="274" t="s">
        <v>694</v>
      </c>
      <c r="B126" s="274" t="s">
        <v>335</v>
      </c>
      <c r="C126" s="124">
        <v>44620</v>
      </c>
      <c r="D126" s="191">
        <v>524</v>
      </c>
      <c r="E126" s="274" t="s">
        <v>670</v>
      </c>
      <c r="F126" s="191" t="s">
        <v>342</v>
      </c>
      <c r="G126" s="118" t="s">
        <v>690</v>
      </c>
      <c r="H126" s="147">
        <v>964266</v>
      </c>
      <c r="I126" s="118"/>
      <c r="J126" s="191" t="s">
        <v>191</v>
      </c>
      <c r="K126" s="561"/>
      <c r="L126" s="82"/>
      <c r="M126" s="563"/>
      <c r="N126" s="565"/>
    </row>
    <row r="127" spans="1:14">
      <c r="A127" s="274" t="s">
        <v>694</v>
      </c>
      <c r="B127" s="274" t="s">
        <v>335</v>
      </c>
      <c r="C127" s="124">
        <v>44620</v>
      </c>
      <c r="D127" s="191">
        <v>524</v>
      </c>
      <c r="E127" s="274" t="s">
        <v>670</v>
      </c>
      <c r="F127" s="191" t="s">
        <v>342</v>
      </c>
      <c r="G127" s="118" t="s">
        <v>537</v>
      </c>
      <c r="H127" s="191">
        <v>960952</v>
      </c>
      <c r="I127" s="118"/>
      <c r="J127" s="191" t="s">
        <v>192</v>
      </c>
      <c r="K127" s="560">
        <v>550</v>
      </c>
      <c r="L127" s="82">
        <v>265.00799999999998</v>
      </c>
      <c r="M127" s="562">
        <f>K127-(L127+L128+L129)</f>
        <v>284.99200000000002</v>
      </c>
      <c r="N127" s="564">
        <f>(L127+L128+L129)/K127</f>
        <v>0.48183272727272725</v>
      </c>
    </row>
    <row r="128" spans="1:14">
      <c r="A128" s="274" t="s">
        <v>694</v>
      </c>
      <c r="B128" s="274" t="s">
        <v>335</v>
      </c>
      <c r="C128" s="124">
        <v>44620</v>
      </c>
      <c r="D128" s="191">
        <v>524</v>
      </c>
      <c r="E128" s="274" t="s">
        <v>670</v>
      </c>
      <c r="F128" s="191" t="s">
        <v>342</v>
      </c>
      <c r="G128" s="118" t="s">
        <v>607</v>
      </c>
      <c r="H128" s="191">
        <v>968671</v>
      </c>
      <c r="I128" s="118"/>
      <c r="J128" s="191" t="s">
        <v>192</v>
      </c>
      <c r="K128" s="566">
        <v>100.24427480916</v>
      </c>
      <c r="L128" s="82"/>
      <c r="M128" s="567"/>
      <c r="N128" s="568"/>
    </row>
    <row r="129" spans="1:14">
      <c r="A129" s="274" t="s">
        <v>694</v>
      </c>
      <c r="B129" s="274" t="s">
        <v>335</v>
      </c>
      <c r="C129" s="124">
        <v>44620</v>
      </c>
      <c r="D129" s="191">
        <v>524</v>
      </c>
      <c r="E129" s="274" t="s">
        <v>670</v>
      </c>
      <c r="F129" s="191" t="s">
        <v>342</v>
      </c>
      <c r="G129" s="118" t="s">
        <v>690</v>
      </c>
      <c r="H129" s="191">
        <v>964266</v>
      </c>
      <c r="I129" s="118"/>
      <c r="J129" s="191" t="s">
        <v>192</v>
      </c>
      <c r="K129" s="561">
        <v>100.335877862595</v>
      </c>
      <c r="L129" s="82"/>
      <c r="M129" s="563"/>
      <c r="N129" s="565"/>
    </row>
    <row r="130" spans="1:14">
      <c r="A130" s="274" t="s">
        <v>694</v>
      </c>
      <c r="B130" s="274" t="s">
        <v>335</v>
      </c>
      <c r="C130" s="124">
        <v>44620</v>
      </c>
      <c r="D130" s="191">
        <v>524</v>
      </c>
      <c r="E130" s="274" t="s">
        <v>670</v>
      </c>
      <c r="F130" s="191" t="s">
        <v>342</v>
      </c>
      <c r="G130" s="118" t="s">
        <v>608</v>
      </c>
      <c r="H130" s="147">
        <v>960125</v>
      </c>
      <c r="I130" s="118"/>
      <c r="J130" s="191" t="s">
        <v>191</v>
      </c>
      <c r="K130" s="560">
        <v>40</v>
      </c>
      <c r="L130" s="82">
        <v>13.803000000000001</v>
      </c>
      <c r="M130" s="562">
        <f>K130-(L130+L131+L132+L133)</f>
        <v>-72.317999999999998</v>
      </c>
      <c r="N130" s="564">
        <f>(L130+L131+L132+L133)/K130</f>
        <v>2.8079499999999999</v>
      </c>
    </row>
    <row r="131" spans="1:14">
      <c r="A131" s="274" t="s">
        <v>694</v>
      </c>
      <c r="B131" s="274" t="s">
        <v>335</v>
      </c>
      <c r="C131" s="124">
        <v>44620</v>
      </c>
      <c r="D131" s="191">
        <v>524</v>
      </c>
      <c r="E131" s="274" t="s">
        <v>670</v>
      </c>
      <c r="F131" s="191" t="s">
        <v>342</v>
      </c>
      <c r="G131" s="118" t="s">
        <v>609</v>
      </c>
      <c r="H131" s="147">
        <v>965911</v>
      </c>
      <c r="I131" s="118"/>
      <c r="J131" s="191" t="s">
        <v>191</v>
      </c>
      <c r="K131" s="566"/>
      <c r="L131" s="82">
        <v>41.015999999999998</v>
      </c>
      <c r="M131" s="567"/>
      <c r="N131" s="568"/>
    </row>
    <row r="132" spans="1:14">
      <c r="A132" s="274" t="s">
        <v>694</v>
      </c>
      <c r="B132" s="274" t="s">
        <v>335</v>
      </c>
      <c r="C132" s="124">
        <v>44620</v>
      </c>
      <c r="D132" s="191">
        <v>524</v>
      </c>
      <c r="E132" s="274" t="s">
        <v>670</v>
      </c>
      <c r="F132" s="191" t="s">
        <v>342</v>
      </c>
      <c r="G132" s="118" t="s">
        <v>610</v>
      </c>
      <c r="H132" s="147">
        <v>966304</v>
      </c>
      <c r="I132" s="118"/>
      <c r="J132" s="191" t="s">
        <v>191</v>
      </c>
      <c r="K132" s="566"/>
      <c r="L132" s="82">
        <v>54.972000000000001</v>
      </c>
      <c r="M132" s="567"/>
      <c r="N132" s="568"/>
    </row>
    <row r="133" spans="1:14">
      <c r="A133" s="274" t="s">
        <v>694</v>
      </c>
      <c r="B133" s="274" t="s">
        <v>335</v>
      </c>
      <c r="C133" s="124">
        <v>44620</v>
      </c>
      <c r="D133" s="191">
        <v>524</v>
      </c>
      <c r="E133" s="274" t="s">
        <v>670</v>
      </c>
      <c r="F133" s="191" t="s">
        <v>342</v>
      </c>
      <c r="G133" s="118" t="s">
        <v>611</v>
      </c>
      <c r="H133" s="147">
        <v>698530</v>
      </c>
      <c r="I133" s="118"/>
      <c r="J133" s="191" t="s">
        <v>191</v>
      </c>
      <c r="K133" s="561"/>
      <c r="L133" s="82">
        <v>2.5270000000000001</v>
      </c>
      <c r="M133" s="563"/>
      <c r="N133" s="565"/>
    </row>
    <row r="134" spans="1:14">
      <c r="A134" s="274" t="s">
        <v>694</v>
      </c>
      <c r="B134" s="274" t="s">
        <v>335</v>
      </c>
      <c r="C134" s="124">
        <v>44620</v>
      </c>
      <c r="D134" s="191">
        <v>524</v>
      </c>
      <c r="E134" s="274" t="s">
        <v>670</v>
      </c>
      <c r="F134" s="191" t="s">
        <v>342</v>
      </c>
      <c r="G134" s="191" t="s">
        <v>608</v>
      </c>
      <c r="H134" s="191">
        <v>960125</v>
      </c>
      <c r="I134" s="118"/>
      <c r="J134" s="191" t="s">
        <v>192</v>
      </c>
      <c r="K134" s="560">
        <v>200</v>
      </c>
      <c r="L134" s="82">
        <v>20.198</v>
      </c>
      <c r="M134" s="562">
        <f>K134-(L134+L135+L136+L137)</f>
        <v>94.010999999999996</v>
      </c>
      <c r="N134" s="564">
        <f>(L134+L135+L136+L137)/K134</f>
        <v>0.529945</v>
      </c>
    </row>
    <row r="135" spans="1:14">
      <c r="A135" s="274" t="s">
        <v>694</v>
      </c>
      <c r="B135" s="274" t="s">
        <v>335</v>
      </c>
      <c r="C135" s="124">
        <v>44620</v>
      </c>
      <c r="D135" s="191">
        <v>524</v>
      </c>
      <c r="E135" s="274" t="s">
        <v>670</v>
      </c>
      <c r="F135" s="191" t="s">
        <v>342</v>
      </c>
      <c r="G135" s="191" t="s">
        <v>609</v>
      </c>
      <c r="H135" s="191">
        <v>965911</v>
      </c>
      <c r="I135" s="118"/>
      <c r="J135" s="191" t="s">
        <v>192</v>
      </c>
      <c r="K135" s="566"/>
      <c r="L135" s="82">
        <v>15.874000000000001</v>
      </c>
      <c r="M135" s="567"/>
      <c r="N135" s="568"/>
    </row>
    <row r="136" spans="1:14">
      <c r="A136" s="274" t="s">
        <v>694</v>
      </c>
      <c r="B136" s="274" t="s">
        <v>335</v>
      </c>
      <c r="C136" s="124">
        <v>44620</v>
      </c>
      <c r="D136" s="191">
        <v>524</v>
      </c>
      <c r="E136" s="274" t="s">
        <v>670</v>
      </c>
      <c r="F136" s="191" t="s">
        <v>342</v>
      </c>
      <c r="G136" s="191" t="s">
        <v>610</v>
      </c>
      <c r="H136" s="191">
        <v>966304</v>
      </c>
      <c r="I136" s="118"/>
      <c r="J136" s="191" t="s">
        <v>192</v>
      </c>
      <c r="K136" s="566"/>
      <c r="L136" s="82">
        <v>60.68</v>
      </c>
      <c r="M136" s="567"/>
      <c r="N136" s="568"/>
    </row>
    <row r="137" spans="1:14">
      <c r="A137" s="274" t="s">
        <v>694</v>
      </c>
      <c r="B137" s="274" t="s">
        <v>335</v>
      </c>
      <c r="C137" s="124">
        <v>44620</v>
      </c>
      <c r="D137" s="191">
        <v>524</v>
      </c>
      <c r="E137" s="274" t="s">
        <v>670</v>
      </c>
      <c r="F137" s="191" t="s">
        <v>342</v>
      </c>
      <c r="G137" s="191" t="s">
        <v>611</v>
      </c>
      <c r="H137" s="191">
        <v>698530</v>
      </c>
      <c r="I137" s="118"/>
      <c r="J137" s="191" t="s">
        <v>192</v>
      </c>
      <c r="K137" s="561"/>
      <c r="L137" s="82">
        <v>9.2370000000000001</v>
      </c>
      <c r="M137" s="563"/>
      <c r="N137" s="565"/>
    </row>
    <row r="138" spans="1:14">
      <c r="A138" s="274" t="s">
        <v>694</v>
      </c>
      <c r="B138" s="194" t="s">
        <v>331</v>
      </c>
      <c r="C138" s="124">
        <v>44593</v>
      </c>
      <c r="D138" s="147">
        <v>525</v>
      </c>
      <c r="E138" s="274" t="s">
        <v>670</v>
      </c>
      <c r="F138" s="194" t="s">
        <v>342</v>
      </c>
      <c r="G138" s="194" t="s">
        <v>417</v>
      </c>
      <c r="H138" s="147">
        <v>954972</v>
      </c>
      <c r="I138" s="118"/>
      <c r="J138" s="194" t="s">
        <v>191</v>
      </c>
      <c r="K138" s="108">
        <v>10</v>
      </c>
      <c r="L138" s="82">
        <v>4.8440000000000003</v>
      </c>
      <c r="M138" s="149">
        <f t="shared" ref="M138:M145" si="8">K138-L138</f>
        <v>5.1559999999999997</v>
      </c>
      <c r="N138" s="148">
        <f t="shared" ref="N138:N145" si="9">L138/K138</f>
        <v>0.48440000000000005</v>
      </c>
    </row>
    <row r="139" spans="1:14">
      <c r="A139" s="274" t="s">
        <v>694</v>
      </c>
      <c r="B139" s="194" t="s">
        <v>331</v>
      </c>
      <c r="C139" s="124">
        <v>44593</v>
      </c>
      <c r="D139" s="147">
        <v>525</v>
      </c>
      <c r="E139" s="274" t="s">
        <v>670</v>
      </c>
      <c r="F139" s="194" t="s">
        <v>342</v>
      </c>
      <c r="G139" s="147" t="s">
        <v>417</v>
      </c>
      <c r="H139" s="147">
        <v>954972</v>
      </c>
      <c r="I139" s="118"/>
      <c r="J139" s="194" t="s">
        <v>192</v>
      </c>
      <c r="K139" s="108">
        <v>50</v>
      </c>
      <c r="L139" s="80">
        <v>26.088999999999999</v>
      </c>
      <c r="M139" s="195">
        <f t="shared" si="8"/>
        <v>23.911000000000001</v>
      </c>
      <c r="N139" s="196">
        <f t="shared" si="9"/>
        <v>0.52178000000000002</v>
      </c>
    </row>
    <row r="140" spans="1:14">
      <c r="A140" s="274" t="s">
        <v>694</v>
      </c>
      <c r="B140" s="194" t="s">
        <v>331</v>
      </c>
      <c r="C140" s="124">
        <v>44593</v>
      </c>
      <c r="D140" s="147">
        <v>525</v>
      </c>
      <c r="E140" s="274" t="s">
        <v>670</v>
      </c>
      <c r="F140" s="194" t="s">
        <v>342</v>
      </c>
      <c r="G140" s="194" t="s">
        <v>551</v>
      </c>
      <c r="H140" s="147">
        <v>962640</v>
      </c>
      <c r="I140" s="118"/>
      <c r="J140" s="194" t="s">
        <v>191</v>
      </c>
      <c r="K140" s="108">
        <v>10</v>
      </c>
      <c r="L140" s="82">
        <v>28.702000000000002</v>
      </c>
      <c r="M140" s="149">
        <f t="shared" si="8"/>
        <v>-18.702000000000002</v>
      </c>
      <c r="N140" s="148">
        <f t="shared" si="9"/>
        <v>2.8702000000000001</v>
      </c>
    </row>
    <row r="141" spans="1:14">
      <c r="A141" s="274" t="s">
        <v>694</v>
      </c>
      <c r="B141" s="194" t="s">
        <v>331</v>
      </c>
      <c r="C141" s="124">
        <v>44593</v>
      </c>
      <c r="D141" s="147">
        <v>525</v>
      </c>
      <c r="E141" s="274" t="s">
        <v>670</v>
      </c>
      <c r="F141" s="194" t="s">
        <v>342</v>
      </c>
      <c r="G141" s="147" t="s">
        <v>551</v>
      </c>
      <c r="H141" s="147">
        <v>962640</v>
      </c>
      <c r="I141" s="118"/>
      <c r="J141" s="194" t="s">
        <v>192</v>
      </c>
      <c r="K141" s="108">
        <v>50</v>
      </c>
      <c r="L141" s="80">
        <v>17.102</v>
      </c>
      <c r="M141" s="195">
        <f t="shared" si="8"/>
        <v>32.897999999999996</v>
      </c>
      <c r="N141" s="196">
        <f t="shared" si="9"/>
        <v>0.34204000000000001</v>
      </c>
    </row>
    <row r="142" spans="1:14">
      <c r="A142" s="274" t="s">
        <v>694</v>
      </c>
      <c r="B142" s="194" t="s">
        <v>331</v>
      </c>
      <c r="C142" s="124">
        <v>44593</v>
      </c>
      <c r="D142" s="147">
        <v>525</v>
      </c>
      <c r="E142" s="274" t="s">
        <v>670</v>
      </c>
      <c r="F142" s="194" t="s">
        <v>342</v>
      </c>
      <c r="G142" s="194" t="s">
        <v>612</v>
      </c>
      <c r="H142" s="147">
        <v>965037</v>
      </c>
      <c r="I142" s="118"/>
      <c r="J142" s="194" t="s">
        <v>191</v>
      </c>
      <c r="K142" s="108">
        <v>10</v>
      </c>
      <c r="L142" s="82">
        <v>32.819000000000003</v>
      </c>
      <c r="M142" s="149">
        <f t="shared" si="8"/>
        <v>-22.819000000000003</v>
      </c>
      <c r="N142" s="148">
        <f t="shared" si="9"/>
        <v>3.2819000000000003</v>
      </c>
    </row>
    <row r="143" spans="1:14">
      <c r="A143" s="274" t="s">
        <v>694</v>
      </c>
      <c r="B143" s="194" t="s">
        <v>331</v>
      </c>
      <c r="C143" s="124">
        <v>44593</v>
      </c>
      <c r="D143" s="147">
        <v>525</v>
      </c>
      <c r="E143" s="274" t="s">
        <v>670</v>
      </c>
      <c r="F143" s="194" t="s">
        <v>342</v>
      </c>
      <c r="G143" s="147" t="s">
        <v>612</v>
      </c>
      <c r="H143" s="147">
        <v>965037</v>
      </c>
      <c r="I143" s="118"/>
      <c r="J143" s="194" t="s">
        <v>192</v>
      </c>
      <c r="K143" s="108">
        <v>50</v>
      </c>
      <c r="L143" s="80">
        <v>27.378</v>
      </c>
      <c r="M143" s="195">
        <f t="shared" si="8"/>
        <v>22.622</v>
      </c>
      <c r="N143" s="196">
        <f t="shared" si="9"/>
        <v>0.54756000000000005</v>
      </c>
    </row>
    <row r="144" spans="1:14">
      <c r="A144" s="274" t="s">
        <v>694</v>
      </c>
      <c r="B144" s="194" t="s">
        <v>331</v>
      </c>
      <c r="C144" s="124">
        <v>44593</v>
      </c>
      <c r="D144" s="147">
        <v>525</v>
      </c>
      <c r="E144" s="274" t="s">
        <v>670</v>
      </c>
      <c r="F144" s="194" t="s">
        <v>342</v>
      </c>
      <c r="G144" s="194" t="s">
        <v>613</v>
      </c>
      <c r="H144" s="147">
        <v>960993</v>
      </c>
      <c r="I144" s="118"/>
      <c r="J144" s="194" t="s">
        <v>191</v>
      </c>
      <c r="K144" s="108">
        <v>10</v>
      </c>
      <c r="L144" s="82"/>
      <c r="M144" s="149">
        <f t="shared" si="8"/>
        <v>10</v>
      </c>
      <c r="N144" s="148">
        <f t="shared" si="9"/>
        <v>0</v>
      </c>
    </row>
    <row r="145" spans="1:14">
      <c r="A145" s="274" t="s">
        <v>694</v>
      </c>
      <c r="B145" s="194" t="s">
        <v>331</v>
      </c>
      <c r="C145" s="124">
        <v>44593</v>
      </c>
      <c r="D145" s="194">
        <v>525</v>
      </c>
      <c r="E145" s="274" t="s">
        <v>670</v>
      </c>
      <c r="F145" s="194" t="s">
        <v>342</v>
      </c>
      <c r="G145" s="147" t="s">
        <v>613</v>
      </c>
      <c r="H145" s="147">
        <v>960993</v>
      </c>
      <c r="I145" s="118"/>
      <c r="J145" s="194" t="s">
        <v>192</v>
      </c>
      <c r="K145" s="108">
        <v>50</v>
      </c>
      <c r="L145" s="80">
        <v>60.929000000000002</v>
      </c>
      <c r="M145" s="195">
        <f t="shared" si="8"/>
        <v>-10.929000000000002</v>
      </c>
      <c r="N145" s="196">
        <f t="shared" si="9"/>
        <v>1.21858</v>
      </c>
    </row>
    <row r="146" spans="1:14">
      <c r="A146" s="274" t="s">
        <v>694</v>
      </c>
      <c r="B146" s="274" t="s">
        <v>335</v>
      </c>
      <c r="C146" s="124">
        <v>44593</v>
      </c>
      <c r="D146" s="147">
        <v>525</v>
      </c>
      <c r="E146" s="274" t="s">
        <v>670</v>
      </c>
      <c r="F146" s="194" t="s">
        <v>342</v>
      </c>
      <c r="G146" s="194" t="s">
        <v>535</v>
      </c>
      <c r="H146" s="147">
        <v>954241</v>
      </c>
      <c r="I146" s="118"/>
      <c r="J146" s="194" t="s">
        <v>191</v>
      </c>
      <c r="K146" s="560">
        <v>200</v>
      </c>
      <c r="L146" s="82">
        <v>216.40899999999999</v>
      </c>
      <c r="M146" s="562">
        <f>K146-(L146+L147)</f>
        <v>-98.870999999999981</v>
      </c>
      <c r="N146" s="562">
        <f>(L146+L147)/K146</f>
        <v>1.4943549999999999</v>
      </c>
    </row>
    <row r="147" spans="1:14">
      <c r="A147" s="274" t="s">
        <v>694</v>
      </c>
      <c r="B147" s="274" t="s">
        <v>335</v>
      </c>
      <c r="C147" s="124">
        <v>44593</v>
      </c>
      <c r="D147" s="147">
        <v>525</v>
      </c>
      <c r="E147" s="274" t="s">
        <v>670</v>
      </c>
      <c r="F147" s="194" t="s">
        <v>342</v>
      </c>
      <c r="G147" s="194" t="s">
        <v>536</v>
      </c>
      <c r="H147" s="147">
        <v>969511</v>
      </c>
      <c r="I147" s="118"/>
      <c r="J147" s="194" t="s">
        <v>191</v>
      </c>
      <c r="K147" s="561"/>
      <c r="L147" s="82">
        <v>82.462000000000003</v>
      </c>
      <c r="M147" s="563"/>
      <c r="N147" s="563"/>
    </row>
    <row r="148" spans="1:14">
      <c r="A148" s="274" t="s">
        <v>694</v>
      </c>
      <c r="B148" s="274" t="s">
        <v>335</v>
      </c>
      <c r="C148" s="124">
        <v>44593</v>
      </c>
      <c r="D148" s="194">
        <v>525</v>
      </c>
      <c r="E148" s="274" t="s">
        <v>670</v>
      </c>
      <c r="F148" s="194" t="s">
        <v>342</v>
      </c>
      <c r="G148" s="147" t="s">
        <v>535</v>
      </c>
      <c r="H148" s="147">
        <v>954241</v>
      </c>
      <c r="I148" s="118"/>
      <c r="J148" s="194" t="s">
        <v>192</v>
      </c>
      <c r="K148" s="560">
        <v>500</v>
      </c>
      <c r="L148" s="80">
        <v>21.015000000000001</v>
      </c>
      <c r="M148" s="562">
        <f>K148-(L148+L149)</f>
        <v>470.767</v>
      </c>
      <c r="N148" s="562">
        <f>(L148+L149)/K148</f>
        <v>5.8466000000000004E-2</v>
      </c>
    </row>
    <row r="149" spans="1:14">
      <c r="A149" s="274" t="s">
        <v>694</v>
      </c>
      <c r="B149" s="274" t="s">
        <v>335</v>
      </c>
      <c r="C149" s="124">
        <v>44593</v>
      </c>
      <c r="D149" s="194">
        <v>525</v>
      </c>
      <c r="E149" s="274" t="s">
        <v>670</v>
      </c>
      <c r="F149" s="194" t="s">
        <v>342</v>
      </c>
      <c r="G149" s="147" t="s">
        <v>536</v>
      </c>
      <c r="H149" s="147">
        <v>969511</v>
      </c>
      <c r="I149" s="118"/>
      <c r="J149" s="194" t="s">
        <v>192</v>
      </c>
      <c r="K149" s="561">
        <v>389.21810699588502</v>
      </c>
      <c r="L149" s="80">
        <v>8.218</v>
      </c>
      <c r="M149" s="563"/>
      <c r="N149" s="563"/>
    </row>
    <row r="150" spans="1:14">
      <c r="A150" s="274" t="s">
        <v>694</v>
      </c>
      <c r="B150" s="274" t="s">
        <v>335</v>
      </c>
      <c r="C150" s="124">
        <v>44593</v>
      </c>
      <c r="D150" s="147">
        <v>525</v>
      </c>
      <c r="E150" s="274" t="s">
        <v>670</v>
      </c>
      <c r="F150" s="194" t="s">
        <v>342</v>
      </c>
      <c r="G150" s="118" t="s">
        <v>541</v>
      </c>
      <c r="H150" s="147">
        <v>31043</v>
      </c>
      <c r="I150" s="118"/>
      <c r="J150" s="194" t="s">
        <v>191</v>
      </c>
      <c r="K150" s="560">
        <v>200</v>
      </c>
      <c r="L150" s="82">
        <v>74.498999999999995</v>
      </c>
      <c r="M150" s="562">
        <f>K150-(L150+L151+L152+L153)</f>
        <v>-263.952</v>
      </c>
      <c r="N150" s="562">
        <f>(L150+L151+L152+L153)/K150</f>
        <v>2.31976</v>
      </c>
    </row>
    <row r="151" spans="1:14">
      <c r="A151" s="274" t="s">
        <v>694</v>
      </c>
      <c r="B151" s="274" t="s">
        <v>335</v>
      </c>
      <c r="C151" s="124">
        <v>44593</v>
      </c>
      <c r="D151" s="147">
        <v>525</v>
      </c>
      <c r="E151" s="274" t="s">
        <v>670</v>
      </c>
      <c r="F151" s="194" t="s">
        <v>342</v>
      </c>
      <c r="G151" s="118" t="s">
        <v>542</v>
      </c>
      <c r="H151" s="147">
        <v>923223</v>
      </c>
      <c r="I151" s="118"/>
      <c r="J151" s="194" t="s">
        <v>191</v>
      </c>
      <c r="K151" s="566"/>
      <c r="L151" s="82">
        <v>199.488</v>
      </c>
      <c r="M151" s="567"/>
      <c r="N151" s="567"/>
    </row>
    <row r="152" spans="1:14">
      <c r="A152" s="274" t="s">
        <v>694</v>
      </c>
      <c r="B152" s="274" t="s">
        <v>335</v>
      </c>
      <c r="C152" s="124">
        <v>44593</v>
      </c>
      <c r="D152" s="147">
        <v>525</v>
      </c>
      <c r="E152" s="274" t="s">
        <v>670</v>
      </c>
      <c r="F152" s="194" t="s">
        <v>342</v>
      </c>
      <c r="G152" s="118" t="s">
        <v>614</v>
      </c>
      <c r="H152" s="147">
        <v>902767</v>
      </c>
      <c r="I152" s="118"/>
      <c r="J152" s="194" t="s">
        <v>191</v>
      </c>
      <c r="K152" s="566"/>
      <c r="L152" s="82">
        <v>64.42</v>
      </c>
      <c r="M152" s="567"/>
      <c r="N152" s="567"/>
    </row>
    <row r="153" spans="1:14">
      <c r="A153" s="274" t="s">
        <v>694</v>
      </c>
      <c r="B153" s="274" t="s">
        <v>335</v>
      </c>
      <c r="C153" s="124">
        <v>44593</v>
      </c>
      <c r="D153" s="147">
        <v>525</v>
      </c>
      <c r="E153" s="274" t="s">
        <v>670</v>
      </c>
      <c r="F153" s="194" t="s">
        <v>342</v>
      </c>
      <c r="G153" s="118" t="s">
        <v>615</v>
      </c>
      <c r="H153" s="147">
        <v>968579</v>
      </c>
      <c r="I153" s="118"/>
      <c r="J153" s="194" t="s">
        <v>191</v>
      </c>
      <c r="K153" s="561"/>
      <c r="L153" s="82">
        <v>125.545</v>
      </c>
      <c r="M153" s="563"/>
      <c r="N153" s="563"/>
    </row>
    <row r="154" spans="1:14">
      <c r="A154" s="274" t="s">
        <v>694</v>
      </c>
      <c r="B154" s="274" t="s">
        <v>335</v>
      </c>
      <c r="C154" s="124">
        <v>44593</v>
      </c>
      <c r="D154" s="194">
        <v>525</v>
      </c>
      <c r="E154" s="274" t="s">
        <v>670</v>
      </c>
      <c r="F154" s="194" t="s">
        <v>342</v>
      </c>
      <c r="G154" s="147" t="s">
        <v>541</v>
      </c>
      <c r="H154" s="147">
        <v>31043</v>
      </c>
      <c r="I154" s="118"/>
      <c r="J154" s="194" t="s">
        <v>192</v>
      </c>
      <c r="K154" s="560">
        <v>460</v>
      </c>
      <c r="L154" s="80">
        <v>15.82</v>
      </c>
      <c r="M154" s="562">
        <f>K154-(L154+L155+L156+L157)</f>
        <v>337.46500000000003</v>
      </c>
      <c r="N154" s="564">
        <f>(L154+L155+L156+L157)/K154</f>
        <v>0.2663804347826087</v>
      </c>
    </row>
    <row r="155" spans="1:14">
      <c r="A155" s="274" t="s">
        <v>694</v>
      </c>
      <c r="B155" s="274" t="s">
        <v>335</v>
      </c>
      <c r="C155" s="124">
        <v>44593</v>
      </c>
      <c r="D155" s="194">
        <v>525</v>
      </c>
      <c r="E155" s="274" t="s">
        <v>670</v>
      </c>
      <c r="F155" s="194" t="s">
        <v>342</v>
      </c>
      <c r="G155" s="147" t="s">
        <v>542</v>
      </c>
      <c r="H155" s="147">
        <v>923223</v>
      </c>
      <c r="I155" s="118"/>
      <c r="J155" s="194" t="s">
        <v>192</v>
      </c>
      <c r="K155" s="566">
        <v>437.695473251029</v>
      </c>
      <c r="L155" s="80">
        <v>45.622</v>
      </c>
      <c r="M155" s="567"/>
      <c r="N155" s="568"/>
    </row>
    <row r="156" spans="1:14">
      <c r="A156" s="274" t="s">
        <v>694</v>
      </c>
      <c r="B156" s="274" t="s">
        <v>335</v>
      </c>
      <c r="C156" s="124">
        <v>44593</v>
      </c>
      <c r="D156" s="194">
        <v>525</v>
      </c>
      <c r="E156" s="274" t="s">
        <v>670</v>
      </c>
      <c r="F156" s="194" t="s">
        <v>342</v>
      </c>
      <c r="G156" s="147" t="s">
        <v>614</v>
      </c>
      <c r="H156" s="147">
        <v>902767</v>
      </c>
      <c r="I156" s="118"/>
      <c r="J156" s="194" t="s">
        <v>192</v>
      </c>
      <c r="K156" s="566">
        <v>461.93415637860102</v>
      </c>
      <c r="L156" s="80">
        <v>14.079000000000001</v>
      </c>
      <c r="M156" s="567"/>
      <c r="N156" s="568"/>
    </row>
    <row r="157" spans="1:14">
      <c r="A157" s="274" t="s">
        <v>694</v>
      </c>
      <c r="B157" s="274" t="s">
        <v>335</v>
      </c>
      <c r="C157" s="124">
        <v>44593</v>
      </c>
      <c r="D157" s="194">
        <v>525</v>
      </c>
      <c r="E157" s="274" t="s">
        <v>670</v>
      </c>
      <c r="F157" s="194" t="s">
        <v>342</v>
      </c>
      <c r="G157" s="147" t="s">
        <v>615</v>
      </c>
      <c r="H157" s="147">
        <v>968579</v>
      </c>
      <c r="I157" s="118"/>
      <c r="J157" s="194" t="s">
        <v>192</v>
      </c>
      <c r="K157" s="561">
        <v>486.17283950617298</v>
      </c>
      <c r="L157" s="80">
        <v>47.014000000000003</v>
      </c>
      <c r="M157" s="563"/>
      <c r="N157" s="565"/>
    </row>
    <row r="158" spans="1:14">
      <c r="A158" s="274" t="s">
        <v>694</v>
      </c>
      <c r="B158" s="274" t="s">
        <v>335</v>
      </c>
      <c r="C158" s="124">
        <v>44593</v>
      </c>
      <c r="D158" s="147">
        <v>525</v>
      </c>
      <c r="E158" s="274" t="s">
        <v>670</v>
      </c>
      <c r="F158" s="194" t="s">
        <v>342</v>
      </c>
      <c r="G158" s="194" t="s">
        <v>616</v>
      </c>
      <c r="H158" s="147">
        <v>960538</v>
      </c>
      <c r="I158" s="118"/>
      <c r="J158" s="194" t="s">
        <v>191</v>
      </c>
      <c r="K158" s="560">
        <v>200</v>
      </c>
      <c r="L158" s="82">
        <v>382.98200000000003</v>
      </c>
      <c r="M158" s="562">
        <f>K158-(L158+L159+L160)</f>
        <v>-392</v>
      </c>
      <c r="N158" s="564">
        <f>(L158+L159+L160)/K158</f>
        <v>2.96</v>
      </c>
    </row>
    <row r="159" spans="1:14">
      <c r="A159" s="274" t="s">
        <v>694</v>
      </c>
      <c r="B159" s="274" t="s">
        <v>335</v>
      </c>
      <c r="C159" s="124">
        <v>44593</v>
      </c>
      <c r="D159" s="147">
        <v>525</v>
      </c>
      <c r="E159" s="274" t="s">
        <v>670</v>
      </c>
      <c r="F159" s="194" t="s">
        <v>342</v>
      </c>
      <c r="G159" s="194" t="s">
        <v>534</v>
      </c>
      <c r="H159" s="147">
        <v>967898</v>
      </c>
      <c r="I159" s="118"/>
      <c r="J159" s="194" t="s">
        <v>191</v>
      </c>
      <c r="K159" s="566"/>
      <c r="L159" s="82">
        <v>209.018</v>
      </c>
      <c r="M159" s="567"/>
      <c r="N159" s="568"/>
    </row>
    <row r="160" spans="1:14">
      <c r="A160" s="274" t="s">
        <v>694</v>
      </c>
      <c r="B160" s="274" t="s">
        <v>335</v>
      </c>
      <c r="C160" s="124">
        <v>44593</v>
      </c>
      <c r="D160" s="147">
        <v>525</v>
      </c>
      <c r="E160" s="274" t="s">
        <v>670</v>
      </c>
      <c r="F160" s="194" t="s">
        <v>342</v>
      </c>
      <c r="G160" s="194" t="s">
        <v>548</v>
      </c>
      <c r="H160" s="147">
        <v>969352</v>
      </c>
      <c r="I160" s="118"/>
      <c r="J160" s="194" t="s">
        <v>191</v>
      </c>
      <c r="K160" s="561"/>
      <c r="L160" s="82"/>
      <c r="M160" s="563"/>
      <c r="N160" s="565"/>
    </row>
    <row r="161" spans="1:14">
      <c r="A161" s="274" t="s">
        <v>694</v>
      </c>
      <c r="B161" s="274" t="s">
        <v>335</v>
      </c>
      <c r="C161" s="124">
        <v>44593</v>
      </c>
      <c r="D161" s="194">
        <v>525</v>
      </c>
      <c r="E161" s="274" t="s">
        <v>670</v>
      </c>
      <c r="F161" s="194" t="s">
        <v>342</v>
      </c>
      <c r="G161" s="147" t="s">
        <v>616</v>
      </c>
      <c r="H161" s="147">
        <v>960538</v>
      </c>
      <c r="I161" s="118"/>
      <c r="J161" s="194" t="s">
        <v>192</v>
      </c>
      <c r="K161" s="560">
        <v>780</v>
      </c>
      <c r="L161" s="80">
        <v>49.326000000000001</v>
      </c>
      <c r="M161" s="562">
        <f>K161-(L161+L162+L163)</f>
        <v>711.59</v>
      </c>
      <c r="N161" s="564">
        <f>(L161+L162+L163)/K161</f>
        <v>8.7705128205128199E-2</v>
      </c>
    </row>
    <row r="162" spans="1:14">
      <c r="A162" s="274" t="s">
        <v>694</v>
      </c>
      <c r="B162" s="274" t="s">
        <v>335</v>
      </c>
      <c r="C162" s="124">
        <v>44593</v>
      </c>
      <c r="D162" s="194">
        <v>525</v>
      </c>
      <c r="E162" s="274" t="s">
        <v>670</v>
      </c>
      <c r="F162" s="194" t="s">
        <v>342</v>
      </c>
      <c r="G162" s="147" t="s">
        <v>534</v>
      </c>
      <c r="H162" s="147">
        <v>967898</v>
      </c>
      <c r="I162" s="118"/>
      <c r="J162" s="194" t="s">
        <v>192</v>
      </c>
      <c r="K162" s="566"/>
      <c r="L162" s="80">
        <v>19.084</v>
      </c>
      <c r="M162" s="567"/>
      <c r="N162" s="568"/>
    </row>
    <row r="163" spans="1:14">
      <c r="A163" s="274" t="s">
        <v>694</v>
      </c>
      <c r="B163" s="274" t="s">
        <v>335</v>
      </c>
      <c r="C163" s="124">
        <v>44593</v>
      </c>
      <c r="D163" s="194">
        <v>525</v>
      </c>
      <c r="E163" s="274" t="s">
        <v>670</v>
      </c>
      <c r="F163" s="194" t="s">
        <v>342</v>
      </c>
      <c r="G163" s="147" t="s">
        <v>548</v>
      </c>
      <c r="H163" s="147">
        <v>969352</v>
      </c>
      <c r="I163" s="118"/>
      <c r="J163" s="194" t="s">
        <v>192</v>
      </c>
      <c r="K163" s="561"/>
      <c r="L163" s="80"/>
      <c r="M163" s="563"/>
      <c r="N163" s="565"/>
    </row>
    <row r="164" spans="1:14">
      <c r="A164" s="274" t="s">
        <v>691</v>
      </c>
      <c r="B164" s="194" t="s">
        <v>331</v>
      </c>
      <c r="C164" s="124">
        <v>44621</v>
      </c>
      <c r="D164" s="147">
        <v>527</v>
      </c>
      <c r="E164" s="274" t="s">
        <v>670</v>
      </c>
      <c r="F164" s="194" t="s">
        <v>342</v>
      </c>
      <c r="G164" s="194" t="s">
        <v>617</v>
      </c>
      <c r="H164" s="147">
        <v>958253</v>
      </c>
      <c r="I164" s="118"/>
      <c r="J164" s="194" t="s">
        <v>191</v>
      </c>
      <c r="K164" s="108">
        <v>44</v>
      </c>
      <c r="L164" s="82">
        <v>85.965999999999994</v>
      </c>
      <c r="M164" s="195">
        <f t="shared" ref="M164:M201" si="10">K164-L164</f>
        <v>-41.965999999999994</v>
      </c>
      <c r="N164" s="196">
        <f t="shared" ref="N164:N201" si="11">L164/K164</f>
        <v>1.9537727272727272</v>
      </c>
    </row>
    <row r="165" spans="1:14">
      <c r="A165" s="274" t="s">
        <v>691</v>
      </c>
      <c r="B165" s="194" t="s">
        <v>331</v>
      </c>
      <c r="C165" s="124">
        <v>44621</v>
      </c>
      <c r="D165" s="194">
        <v>527</v>
      </c>
      <c r="E165" s="274" t="s">
        <v>670</v>
      </c>
      <c r="F165" s="194" t="s">
        <v>342</v>
      </c>
      <c r="G165" s="147" t="s">
        <v>617</v>
      </c>
      <c r="H165" s="147">
        <v>958253</v>
      </c>
      <c r="I165" s="118"/>
      <c r="J165" s="194" t="s">
        <v>192</v>
      </c>
      <c r="K165" s="195">
        <v>78</v>
      </c>
      <c r="L165" s="82">
        <v>36.033999999999999</v>
      </c>
      <c r="M165" s="149">
        <f t="shared" si="10"/>
        <v>41.966000000000001</v>
      </c>
      <c r="N165" s="148">
        <f t="shared" si="11"/>
        <v>0.46197435897435896</v>
      </c>
    </row>
    <row r="166" spans="1:14">
      <c r="A166" s="274" t="s">
        <v>691</v>
      </c>
      <c r="B166" s="194" t="s">
        <v>331</v>
      </c>
      <c r="C166" s="124">
        <v>44621</v>
      </c>
      <c r="D166" s="194">
        <v>527</v>
      </c>
      <c r="E166" s="274" t="s">
        <v>670</v>
      </c>
      <c r="F166" s="194" t="s">
        <v>342</v>
      </c>
      <c r="G166" s="283" t="s">
        <v>699</v>
      </c>
      <c r="H166" s="147">
        <v>697388</v>
      </c>
      <c r="I166" s="118"/>
      <c r="J166" s="194" t="s">
        <v>191</v>
      </c>
      <c r="K166" s="108">
        <v>72</v>
      </c>
      <c r="L166" s="82">
        <v>79.186000000000007</v>
      </c>
      <c r="M166" s="195">
        <f t="shared" si="10"/>
        <v>-7.186000000000007</v>
      </c>
      <c r="N166" s="196">
        <f t="shared" si="11"/>
        <v>1.0998055555555557</v>
      </c>
    </row>
    <row r="167" spans="1:14">
      <c r="A167" s="274" t="s">
        <v>691</v>
      </c>
      <c r="B167" s="194" t="s">
        <v>331</v>
      </c>
      <c r="C167" s="124">
        <v>44621</v>
      </c>
      <c r="D167" s="194">
        <v>527</v>
      </c>
      <c r="E167" s="274" t="s">
        <v>670</v>
      </c>
      <c r="F167" s="194" t="s">
        <v>342</v>
      </c>
      <c r="G167" s="283" t="s">
        <v>699</v>
      </c>
      <c r="H167" s="147">
        <v>697388</v>
      </c>
      <c r="I167" s="118"/>
      <c r="J167" s="194" t="s">
        <v>192</v>
      </c>
      <c r="K167" s="195">
        <v>128</v>
      </c>
      <c r="L167" s="82">
        <v>120.81399999999999</v>
      </c>
      <c r="M167" s="149">
        <f t="shared" si="10"/>
        <v>7.186000000000007</v>
      </c>
      <c r="N167" s="148">
        <f t="shared" si="11"/>
        <v>0.94385937499999994</v>
      </c>
    </row>
    <row r="168" spans="1:14">
      <c r="A168" s="274" t="s">
        <v>691</v>
      </c>
      <c r="B168" s="194" t="s">
        <v>331</v>
      </c>
      <c r="C168" s="124">
        <v>44621</v>
      </c>
      <c r="D168" s="194">
        <v>527</v>
      </c>
      <c r="E168" s="274" t="s">
        <v>670</v>
      </c>
      <c r="F168" s="194" t="s">
        <v>342</v>
      </c>
      <c r="G168" s="194" t="s">
        <v>618</v>
      </c>
      <c r="H168" s="147">
        <v>951093</v>
      </c>
      <c r="I168" s="118"/>
      <c r="J168" s="194" t="s">
        <v>191</v>
      </c>
      <c r="K168" s="108">
        <v>36</v>
      </c>
      <c r="L168" s="82">
        <v>24.279</v>
      </c>
      <c r="M168" s="195">
        <f t="shared" si="10"/>
        <v>11.721</v>
      </c>
      <c r="N168" s="196">
        <f t="shared" si="11"/>
        <v>0.67441666666666666</v>
      </c>
    </row>
    <row r="169" spans="1:14">
      <c r="A169" s="274" t="s">
        <v>691</v>
      </c>
      <c r="B169" s="194" t="s">
        <v>331</v>
      </c>
      <c r="C169" s="124">
        <v>44621</v>
      </c>
      <c r="D169" s="194">
        <v>527</v>
      </c>
      <c r="E169" s="274" t="s">
        <v>670</v>
      </c>
      <c r="F169" s="194" t="s">
        <v>342</v>
      </c>
      <c r="G169" s="147" t="s">
        <v>618</v>
      </c>
      <c r="H169" s="147">
        <v>951093</v>
      </c>
      <c r="I169" s="118"/>
      <c r="J169" s="194" t="s">
        <v>192</v>
      </c>
      <c r="K169" s="108">
        <v>64</v>
      </c>
      <c r="L169" s="82">
        <v>3.3109999999999999</v>
      </c>
      <c r="M169" s="149">
        <f t="shared" si="10"/>
        <v>60.689</v>
      </c>
      <c r="N169" s="148">
        <f t="shared" si="11"/>
        <v>5.1734374999999999E-2</v>
      </c>
    </row>
    <row r="170" spans="1:14">
      <c r="A170" s="274" t="s">
        <v>691</v>
      </c>
      <c r="B170" s="194" t="s">
        <v>331</v>
      </c>
      <c r="C170" s="124">
        <v>44621</v>
      </c>
      <c r="D170" s="194">
        <v>527</v>
      </c>
      <c r="E170" s="274" t="s">
        <v>670</v>
      </c>
      <c r="F170" s="194" t="s">
        <v>342</v>
      </c>
      <c r="G170" s="194" t="s">
        <v>619</v>
      </c>
      <c r="H170" s="147">
        <v>955189</v>
      </c>
      <c r="I170" s="118"/>
      <c r="J170" s="194" t="s">
        <v>191</v>
      </c>
      <c r="K170" s="108">
        <v>72</v>
      </c>
      <c r="L170" s="82">
        <v>73.478999999999999</v>
      </c>
      <c r="M170" s="195">
        <f t="shared" si="10"/>
        <v>-1.4789999999999992</v>
      </c>
      <c r="N170" s="196">
        <f t="shared" si="11"/>
        <v>1.0205416666666667</v>
      </c>
    </row>
    <row r="171" spans="1:14">
      <c r="A171" s="274" t="s">
        <v>691</v>
      </c>
      <c r="B171" s="194" t="s">
        <v>331</v>
      </c>
      <c r="C171" s="124">
        <v>44621</v>
      </c>
      <c r="D171" s="194">
        <v>527</v>
      </c>
      <c r="E171" s="274" t="s">
        <v>670</v>
      </c>
      <c r="F171" s="194" t="s">
        <v>342</v>
      </c>
      <c r="G171" s="147" t="s">
        <v>619</v>
      </c>
      <c r="H171" s="147">
        <v>955189</v>
      </c>
      <c r="I171" s="118"/>
      <c r="J171" s="194" t="s">
        <v>192</v>
      </c>
      <c r="K171" s="108">
        <v>128</v>
      </c>
      <c r="L171" s="82">
        <v>126.521</v>
      </c>
      <c r="M171" s="149">
        <f t="shared" si="10"/>
        <v>1.4789999999999992</v>
      </c>
      <c r="N171" s="148">
        <f t="shared" si="11"/>
        <v>0.98844531250000001</v>
      </c>
    </row>
    <row r="172" spans="1:14">
      <c r="A172" s="274" t="s">
        <v>691</v>
      </c>
      <c r="B172" s="194" t="s">
        <v>331</v>
      </c>
      <c r="C172" s="124">
        <v>44621</v>
      </c>
      <c r="D172" s="194">
        <v>527</v>
      </c>
      <c r="E172" s="274" t="s">
        <v>670</v>
      </c>
      <c r="F172" s="194" t="s">
        <v>342</v>
      </c>
      <c r="G172" s="194" t="s">
        <v>392</v>
      </c>
      <c r="H172" s="147">
        <v>955517</v>
      </c>
      <c r="I172" s="118"/>
      <c r="J172" s="194" t="s">
        <v>191</v>
      </c>
      <c r="K172" s="108">
        <v>81</v>
      </c>
      <c r="L172" s="82">
        <v>97.382999999999996</v>
      </c>
      <c r="M172" s="195">
        <f t="shared" si="10"/>
        <v>-16.382999999999996</v>
      </c>
      <c r="N172" s="196">
        <f t="shared" si="11"/>
        <v>1.2022592592592591</v>
      </c>
    </row>
    <row r="173" spans="1:14">
      <c r="A173" s="274" t="s">
        <v>691</v>
      </c>
      <c r="B173" s="194" t="s">
        <v>331</v>
      </c>
      <c r="C173" s="124">
        <v>44621</v>
      </c>
      <c r="D173" s="194">
        <v>527</v>
      </c>
      <c r="E173" s="274" t="s">
        <v>670</v>
      </c>
      <c r="F173" s="194" t="s">
        <v>342</v>
      </c>
      <c r="G173" s="147" t="s">
        <v>392</v>
      </c>
      <c r="H173" s="147">
        <v>955517</v>
      </c>
      <c r="I173" s="118"/>
      <c r="J173" s="194" t="s">
        <v>192</v>
      </c>
      <c r="K173" s="108">
        <v>144</v>
      </c>
      <c r="L173" s="82">
        <v>127.617</v>
      </c>
      <c r="M173" s="149">
        <f t="shared" si="10"/>
        <v>16.382999999999996</v>
      </c>
      <c r="N173" s="148">
        <f t="shared" si="11"/>
        <v>0.88622916666666673</v>
      </c>
    </row>
    <row r="174" spans="1:14">
      <c r="A174" s="274" t="s">
        <v>691</v>
      </c>
      <c r="B174" s="194" t="s">
        <v>331</v>
      </c>
      <c r="C174" s="124">
        <v>44621</v>
      </c>
      <c r="D174" s="194">
        <v>527</v>
      </c>
      <c r="E174" s="274" t="s">
        <v>670</v>
      </c>
      <c r="F174" s="194" t="s">
        <v>342</v>
      </c>
      <c r="G174" s="194" t="s">
        <v>620</v>
      </c>
      <c r="H174" s="147">
        <v>968725</v>
      </c>
      <c r="I174" s="118"/>
      <c r="J174" s="194" t="s">
        <v>191</v>
      </c>
      <c r="K174" s="108">
        <v>49</v>
      </c>
      <c r="L174" s="82">
        <v>56.564999999999998</v>
      </c>
      <c r="M174" s="195">
        <f t="shared" si="10"/>
        <v>-7.5649999999999977</v>
      </c>
      <c r="N174" s="196">
        <f t="shared" si="11"/>
        <v>1.1543877551020407</v>
      </c>
    </row>
    <row r="175" spans="1:14">
      <c r="A175" s="274" t="s">
        <v>691</v>
      </c>
      <c r="B175" s="194" t="s">
        <v>331</v>
      </c>
      <c r="C175" s="124">
        <v>44621</v>
      </c>
      <c r="D175" s="194">
        <v>527</v>
      </c>
      <c r="E175" s="274" t="s">
        <v>670</v>
      </c>
      <c r="F175" s="194" t="s">
        <v>342</v>
      </c>
      <c r="G175" s="147" t="s">
        <v>620</v>
      </c>
      <c r="H175" s="147">
        <v>968725</v>
      </c>
      <c r="I175" s="118"/>
      <c r="J175" s="194" t="s">
        <v>192</v>
      </c>
      <c r="K175" s="108">
        <v>86</v>
      </c>
      <c r="L175" s="82">
        <v>78.435000000000002</v>
      </c>
      <c r="M175" s="149">
        <f t="shared" si="10"/>
        <v>7.5649999999999977</v>
      </c>
      <c r="N175" s="148">
        <f t="shared" si="11"/>
        <v>0.91203488372093022</v>
      </c>
    </row>
    <row r="176" spans="1:14">
      <c r="A176" s="274" t="s">
        <v>691</v>
      </c>
      <c r="B176" s="194" t="s">
        <v>331</v>
      </c>
      <c r="C176" s="124">
        <v>44621</v>
      </c>
      <c r="D176" s="194">
        <v>527</v>
      </c>
      <c r="E176" s="274" t="s">
        <v>670</v>
      </c>
      <c r="F176" s="194" t="s">
        <v>342</v>
      </c>
      <c r="G176" s="194" t="s">
        <v>621</v>
      </c>
      <c r="H176" s="147">
        <v>961872</v>
      </c>
      <c r="I176" s="118"/>
      <c r="J176" s="194" t="s">
        <v>191</v>
      </c>
      <c r="K176" s="108">
        <v>45</v>
      </c>
      <c r="L176" s="82">
        <v>26.5</v>
      </c>
      <c r="M176" s="195">
        <f t="shared" si="10"/>
        <v>18.5</v>
      </c>
      <c r="N176" s="196">
        <f t="shared" si="11"/>
        <v>0.58888888888888891</v>
      </c>
    </row>
    <row r="177" spans="1:14">
      <c r="A177" s="274" t="s">
        <v>691</v>
      </c>
      <c r="B177" s="194" t="s">
        <v>331</v>
      </c>
      <c r="C177" s="124">
        <v>44621</v>
      </c>
      <c r="D177" s="194">
        <v>527</v>
      </c>
      <c r="E177" s="274" t="s">
        <v>670</v>
      </c>
      <c r="F177" s="194" t="s">
        <v>342</v>
      </c>
      <c r="G177" s="147" t="s">
        <v>621</v>
      </c>
      <c r="H177" s="147">
        <v>961872</v>
      </c>
      <c r="I177" s="118"/>
      <c r="J177" s="194" t="s">
        <v>192</v>
      </c>
      <c r="K177" s="108">
        <v>80</v>
      </c>
      <c r="L177" s="82">
        <v>2.0830000000000002</v>
      </c>
      <c r="M177" s="149">
        <f t="shared" si="10"/>
        <v>77.917000000000002</v>
      </c>
      <c r="N177" s="148">
        <f t="shared" si="11"/>
        <v>2.6037500000000002E-2</v>
      </c>
    </row>
    <row r="178" spans="1:14">
      <c r="A178" s="274" t="s">
        <v>691</v>
      </c>
      <c r="B178" s="194" t="s">
        <v>331</v>
      </c>
      <c r="C178" s="124">
        <v>44621</v>
      </c>
      <c r="D178" s="194">
        <v>527</v>
      </c>
      <c r="E178" s="274" t="s">
        <v>670</v>
      </c>
      <c r="F178" s="194" t="s">
        <v>342</v>
      </c>
      <c r="G178" s="194" t="s">
        <v>622</v>
      </c>
      <c r="H178" s="147">
        <v>968494</v>
      </c>
      <c r="I178" s="118"/>
      <c r="J178" s="194" t="s">
        <v>191</v>
      </c>
      <c r="K178" s="108">
        <v>44</v>
      </c>
      <c r="L178" s="82">
        <f>24.503+62.452</f>
        <v>86.954999999999998</v>
      </c>
      <c r="M178" s="195">
        <f t="shared" si="10"/>
        <v>-42.954999999999998</v>
      </c>
      <c r="N178" s="196">
        <f t="shared" si="11"/>
        <v>1.9762500000000001</v>
      </c>
    </row>
    <row r="179" spans="1:14">
      <c r="A179" s="274" t="s">
        <v>691</v>
      </c>
      <c r="B179" s="194" t="s">
        <v>331</v>
      </c>
      <c r="C179" s="124">
        <v>44621</v>
      </c>
      <c r="D179" s="194">
        <v>527</v>
      </c>
      <c r="E179" s="274" t="s">
        <v>670</v>
      </c>
      <c r="F179" s="194" t="s">
        <v>342</v>
      </c>
      <c r="G179" s="147" t="s">
        <v>622</v>
      </c>
      <c r="H179" s="147">
        <v>968494</v>
      </c>
      <c r="I179" s="118"/>
      <c r="J179" s="194" t="s">
        <v>192</v>
      </c>
      <c r="K179" s="108">
        <v>77</v>
      </c>
      <c r="L179" s="82">
        <f>19.223+14.822</f>
        <v>34.045000000000002</v>
      </c>
      <c r="M179" s="149">
        <f t="shared" si="10"/>
        <v>42.954999999999998</v>
      </c>
      <c r="N179" s="148">
        <f t="shared" si="11"/>
        <v>0.44214285714285717</v>
      </c>
    </row>
    <row r="180" spans="1:14">
      <c r="A180" s="274" t="s">
        <v>691</v>
      </c>
      <c r="B180" s="194" t="s">
        <v>331</v>
      </c>
      <c r="C180" s="124">
        <v>44621</v>
      </c>
      <c r="D180" s="194">
        <v>527</v>
      </c>
      <c r="E180" s="274" t="s">
        <v>670</v>
      </c>
      <c r="F180" s="194" t="s">
        <v>342</v>
      </c>
      <c r="G180" s="194" t="s">
        <v>623</v>
      </c>
      <c r="H180" s="147">
        <v>956236</v>
      </c>
      <c r="I180" s="118"/>
      <c r="J180" s="194" t="s">
        <v>191</v>
      </c>
      <c r="K180" s="108">
        <v>72</v>
      </c>
      <c r="L180" s="82">
        <v>77.900999999999996</v>
      </c>
      <c r="M180" s="195">
        <f t="shared" si="10"/>
        <v>-5.9009999999999962</v>
      </c>
      <c r="N180" s="196">
        <f t="shared" si="11"/>
        <v>1.0819583333333334</v>
      </c>
    </row>
    <row r="181" spans="1:14">
      <c r="A181" s="274" t="s">
        <v>691</v>
      </c>
      <c r="B181" s="194" t="s">
        <v>331</v>
      </c>
      <c r="C181" s="124">
        <v>44621</v>
      </c>
      <c r="D181" s="194">
        <v>527</v>
      </c>
      <c r="E181" s="274" t="s">
        <v>670</v>
      </c>
      <c r="F181" s="194" t="s">
        <v>342</v>
      </c>
      <c r="G181" s="147" t="s">
        <v>623</v>
      </c>
      <c r="H181" s="147">
        <v>956236</v>
      </c>
      <c r="I181" s="118"/>
      <c r="J181" s="194" t="s">
        <v>192</v>
      </c>
      <c r="K181" s="108">
        <v>128</v>
      </c>
      <c r="L181" s="82">
        <v>47.591000000000001</v>
      </c>
      <c r="M181" s="149">
        <f t="shared" si="10"/>
        <v>80.408999999999992</v>
      </c>
      <c r="N181" s="148">
        <f t="shared" si="11"/>
        <v>0.37180468750000001</v>
      </c>
    </row>
    <row r="182" spans="1:14">
      <c r="A182" s="274" t="s">
        <v>691</v>
      </c>
      <c r="B182" s="194" t="s">
        <v>331</v>
      </c>
      <c r="C182" s="124">
        <v>44621</v>
      </c>
      <c r="D182" s="194">
        <v>527</v>
      </c>
      <c r="E182" s="274" t="s">
        <v>670</v>
      </c>
      <c r="F182" s="194" t="s">
        <v>342</v>
      </c>
      <c r="G182" s="194" t="s">
        <v>624</v>
      </c>
      <c r="H182" s="147">
        <v>954645</v>
      </c>
      <c r="I182" s="118"/>
      <c r="J182" s="194" t="s">
        <v>191</v>
      </c>
      <c r="K182" s="108">
        <v>14</v>
      </c>
      <c r="L182" s="82">
        <v>11.576000000000001</v>
      </c>
      <c r="M182" s="195">
        <f t="shared" si="10"/>
        <v>2.4239999999999995</v>
      </c>
      <c r="N182" s="196">
        <f t="shared" si="11"/>
        <v>0.82685714285714285</v>
      </c>
    </row>
    <row r="183" spans="1:14">
      <c r="A183" s="274" t="s">
        <v>691</v>
      </c>
      <c r="B183" s="194" t="s">
        <v>331</v>
      </c>
      <c r="C183" s="124">
        <v>44621</v>
      </c>
      <c r="D183" s="194">
        <v>527</v>
      </c>
      <c r="E183" s="274" t="s">
        <v>670</v>
      </c>
      <c r="F183" s="194" t="s">
        <v>342</v>
      </c>
      <c r="G183" s="147" t="s">
        <v>624</v>
      </c>
      <c r="H183" s="147">
        <v>954645</v>
      </c>
      <c r="I183" s="118"/>
      <c r="J183" s="194" t="s">
        <v>192</v>
      </c>
      <c r="K183" s="108">
        <v>26</v>
      </c>
      <c r="L183" s="82">
        <v>28.423999999999999</v>
      </c>
      <c r="M183" s="149">
        <f t="shared" si="10"/>
        <v>-2.4239999999999995</v>
      </c>
      <c r="N183" s="148">
        <f t="shared" si="11"/>
        <v>1.0932307692307692</v>
      </c>
    </row>
    <row r="184" spans="1:14">
      <c r="A184" s="274" t="s">
        <v>691</v>
      </c>
      <c r="B184" s="194" t="s">
        <v>331</v>
      </c>
      <c r="C184" s="124">
        <v>44621</v>
      </c>
      <c r="D184" s="194">
        <v>527</v>
      </c>
      <c r="E184" s="274" t="s">
        <v>670</v>
      </c>
      <c r="F184" s="194" t="s">
        <v>342</v>
      </c>
      <c r="G184" s="194" t="s">
        <v>625</v>
      </c>
      <c r="H184" s="147">
        <v>967983</v>
      </c>
      <c r="I184" s="118"/>
      <c r="J184" s="194" t="s">
        <v>191</v>
      </c>
      <c r="K184" s="108">
        <v>32</v>
      </c>
      <c r="L184" s="82">
        <v>19.382999999999999</v>
      </c>
      <c r="M184" s="195">
        <f t="shared" si="10"/>
        <v>12.617000000000001</v>
      </c>
      <c r="N184" s="196">
        <f t="shared" si="11"/>
        <v>0.60571874999999997</v>
      </c>
    </row>
    <row r="185" spans="1:14">
      <c r="A185" s="274" t="s">
        <v>691</v>
      </c>
      <c r="B185" s="194" t="s">
        <v>331</v>
      </c>
      <c r="C185" s="124">
        <v>44621</v>
      </c>
      <c r="D185" s="194">
        <v>527</v>
      </c>
      <c r="E185" s="274" t="s">
        <v>670</v>
      </c>
      <c r="F185" s="194" t="s">
        <v>342</v>
      </c>
      <c r="G185" s="147" t="s">
        <v>625</v>
      </c>
      <c r="H185" s="147">
        <v>967983</v>
      </c>
      <c r="I185" s="118"/>
      <c r="J185" s="194" t="s">
        <v>192</v>
      </c>
      <c r="K185" s="108">
        <v>58</v>
      </c>
      <c r="L185" s="82">
        <v>42.908000000000001</v>
      </c>
      <c r="M185" s="149">
        <f t="shared" si="10"/>
        <v>15.091999999999999</v>
      </c>
      <c r="N185" s="148">
        <f t="shared" si="11"/>
        <v>0.73979310344827587</v>
      </c>
    </row>
    <row r="186" spans="1:14">
      <c r="A186" s="274" t="s">
        <v>691</v>
      </c>
      <c r="B186" s="194" t="s">
        <v>331</v>
      </c>
      <c r="C186" s="124">
        <v>44621</v>
      </c>
      <c r="D186" s="194">
        <v>527</v>
      </c>
      <c r="E186" s="274" t="s">
        <v>670</v>
      </c>
      <c r="F186" s="194" t="s">
        <v>342</v>
      </c>
      <c r="G186" s="194" t="s">
        <v>626</v>
      </c>
      <c r="H186" s="147">
        <v>955250</v>
      </c>
      <c r="I186" s="118"/>
      <c r="J186" s="194" t="s">
        <v>191</v>
      </c>
      <c r="K186" s="108">
        <v>72</v>
      </c>
      <c r="L186" s="82">
        <v>39.723999999999997</v>
      </c>
      <c r="M186" s="195">
        <f t="shared" si="10"/>
        <v>32.276000000000003</v>
      </c>
      <c r="N186" s="196">
        <f t="shared" si="11"/>
        <v>0.55172222222222222</v>
      </c>
    </row>
    <row r="187" spans="1:14">
      <c r="A187" s="274" t="s">
        <v>691</v>
      </c>
      <c r="B187" s="194" t="s">
        <v>331</v>
      </c>
      <c r="C187" s="124">
        <v>44621</v>
      </c>
      <c r="D187" s="194">
        <v>527</v>
      </c>
      <c r="E187" s="274" t="s">
        <v>670</v>
      </c>
      <c r="F187" s="194" t="s">
        <v>342</v>
      </c>
      <c r="G187" s="147" t="s">
        <v>626</v>
      </c>
      <c r="H187" s="147">
        <v>955250</v>
      </c>
      <c r="I187" s="118"/>
      <c r="J187" s="194" t="s">
        <v>192</v>
      </c>
      <c r="K187" s="108">
        <v>128</v>
      </c>
      <c r="L187" s="82">
        <v>160.27600000000001</v>
      </c>
      <c r="M187" s="149">
        <f t="shared" si="10"/>
        <v>-32.27600000000001</v>
      </c>
      <c r="N187" s="148">
        <f t="shared" si="11"/>
        <v>1.2521562500000001</v>
      </c>
    </row>
    <row r="188" spans="1:14">
      <c r="A188" s="274" t="s">
        <v>691</v>
      </c>
      <c r="B188" s="194" t="s">
        <v>331</v>
      </c>
      <c r="C188" s="124">
        <v>44621</v>
      </c>
      <c r="D188" s="194">
        <v>527</v>
      </c>
      <c r="E188" s="274" t="s">
        <v>670</v>
      </c>
      <c r="F188" s="194" t="s">
        <v>342</v>
      </c>
      <c r="G188" s="194" t="s">
        <v>627</v>
      </c>
      <c r="H188" s="147">
        <v>697356</v>
      </c>
      <c r="I188" s="118"/>
      <c r="J188" s="194" t="s">
        <v>191</v>
      </c>
      <c r="K188" s="108">
        <v>68</v>
      </c>
      <c r="L188" s="82">
        <v>57.292000000000002</v>
      </c>
      <c r="M188" s="195">
        <f t="shared" si="10"/>
        <v>10.707999999999998</v>
      </c>
      <c r="N188" s="196">
        <f t="shared" si="11"/>
        <v>0.84252941176470586</v>
      </c>
    </row>
    <row r="189" spans="1:14">
      <c r="A189" s="274" t="s">
        <v>691</v>
      </c>
      <c r="B189" s="194" t="s">
        <v>331</v>
      </c>
      <c r="C189" s="124">
        <v>44621</v>
      </c>
      <c r="D189" s="194">
        <v>527</v>
      </c>
      <c r="E189" s="274" t="s">
        <v>670</v>
      </c>
      <c r="F189" s="194" t="s">
        <v>342</v>
      </c>
      <c r="G189" s="147" t="s">
        <v>627</v>
      </c>
      <c r="H189" s="147">
        <v>697356</v>
      </c>
      <c r="I189" s="118"/>
      <c r="J189" s="194" t="s">
        <v>192</v>
      </c>
      <c r="K189" s="108">
        <v>120</v>
      </c>
      <c r="L189" s="82">
        <v>130.708</v>
      </c>
      <c r="M189" s="149">
        <f t="shared" si="10"/>
        <v>-10.707999999999998</v>
      </c>
      <c r="N189" s="148">
        <f t="shared" si="11"/>
        <v>1.0892333333333333</v>
      </c>
    </row>
    <row r="190" spans="1:14">
      <c r="A190" s="274" t="s">
        <v>691</v>
      </c>
      <c r="B190" s="194" t="s">
        <v>331</v>
      </c>
      <c r="C190" s="124">
        <v>44621</v>
      </c>
      <c r="D190" s="194">
        <v>527</v>
      </c>
      <c r="E190" s="274" t="s">
        <v>670</v>
      </c>
      <c r="F190" s="194" t="s">
        <v>342</v>
      </c>
      <c r="G190" s="194" t="s">
        <v>460</v>
      </c>
      <c r="H190" s="147">
        <v>966763</v>
      </c>
      <c r="I190" s="118"/>
      <c r="J190" s="194" t="s">
        <v>191</v>
      </c>
      <c r="K190" s="108">
        <v>65</v>
      </c>
      <c r="L190" s="82">
        <v>2.4140000000000001</v>
      </c>
      <c r="M190" s="195">
        <f t="shared" si="10"/>
        <v>62.585999999999999</v>
      </c>
      <c r="N190" s="196">
        <f t="shared" si="11"/>
        <v>3.7138461538461544E-2</v>
      </c>
    </row>
    <row r="191" spans="1:14">
      <c r="A191" s="274" t="s">
        <v>691</v>
      </c>
      <c r="B191" s="194" t="s">
        <v>331</v>
      </c>
      <c r="C191" s="124">
        <v>44621</v>
      </c>
      <c r="D191" s="194">
        <v>527</v>
      </c>
      <c r="E191" s="274" t="s">
        <v>670</v>
      </c>
      <c r="F191" s="194" t="s">
        <v>342</v>
      </c>
      <c r="G191" s="147" t="s">
        <v>460</v>
      </c>
      <c r="H191" s="147">
        <v>966763</v>
      </c>
      <c r="I191" s="118"/>
      <c r="J191" s="194" t="s">
        <v>192</v>
      </c>
      <c r="K191" s="108">
        <v>115</v>
      </c>
      <c r="L191" s="82">
        <v>5.3559999999999999</v>
      </c>
      <c r="M191" s="149">
        <f t="shared" si="10"/>
        <v>109.64400000000001</v>
      </c>
      <c r="N191" s="148">
        <f t="shared" si="11"/>
        <v>4.6573913043478257E-2</v>
      </c>
    </row>
    <row r="192" spans="1:14">
      <c r="A192" s="274" t="s">
        <v>691</v>
      </c>
      <c r="B192" s="194" t="s">
        <v>331</v>
      </c>
      <c r="C192" s="124">
        <v>44621</v>
      </c>
      <c r="D192" s="194">
        <v>527</v>
      </c>
      <c r="E192" s="274" t="s">
        <v>670</v>
      </c>
      <c r="F192" s="194" t="s">
        <v>342</v>
      </c>
      <c r="G192" s="194" t="s">
        <v>628</v>
      </c>
      <c r="H192" s="147">
        <v>958067</v>
      </c>
      <c r="I192" s="118"/>
      <c r="J192" s="194" t="s">
        <v>191</v>
      </c>
      <c r="K192" s="108">
        <v>54</v>
      </c>
      <c r="L192" s="82">
        <v>42.58</v>
      </c>
      <c r="M192" s="195">
        <f t="shared" si="10"/>
        <v>11.420000000000002</v>
      </c>
      <c r="N192" s="196">
        <f t="shared" si="11"/>
        <v>0.78851851851851851</v>
      </c>
    </row>
    <row r="193" spans="1:14">
      <c r="A193" s="274" t="s">
        <v>691</v>
      </c>
      <c r="B193" s="194" t="s">
        <v>331</v>
      </c>
      <c r="C193" s="124">
        <v>44621</v>
      </c>
      <c r="D193" s="194">
        <v>527</v>
      </c>
      <c r="E193" s="274" t="s">
        <v>670</v>
      </c>
      <c r="F193" s="194" t="s">
        <v>342</v>
      </c>
      <c r="G193" s="147" t="s">
        <v>628</v>
      </c>
      <c r="H193" s="147">
        <v>958067</v>
      </c>
      <c r="I193" s="118"/>
      <c r="J193" s="194" t="s">
        <v>192</v>
      </c>
      <c r="K193" s="108">
        <v>96</v>
      </c>
      <c r="L193" s="82">
        <v>107.42</v>
      </c>
      <c r="M193" s="149">
        <f t="shared" si="10"/>
        <v>-11.420000000000002</v>
      </c>
      <c r="N193" s="148">
        <f t="shared" si="11"/>
        <v>1.1189583333333333</v>
      </c>
    </row>
    <row r="194" spans="1:14">
      <c r="A194" s="274" t="s">
        <v>691</v>
      </c>
      <c r="B194" s="194" t="s">
        <v>331</v>
      </c>
      <c r="C194" s="124">
        <v>44621</v>
      </c>
      <c r="D194" s="194">
        <v>527</v>
      </c>
      <c r="E194" s="274" t="s">
        <v>670</v>
      </c>
      <c r="F194" s="194" t="s">
        <v>342</v>
      </c>
      <c r="G194" s="194" t="s">
        <v>629</v>
      </c>
      <c r="H194" s="147">
        <v>968764</v>
      </c>
      <c r="I194" s="118"/>
      <c r="J194" s="194" t="s">
        <v>191</v>
      </c>
      <c r="K194" s="108">
        <v>224</v>
      </c>
      <c r="L194" s="82">
        <v>293.61700000000002</v>
      </c>
      <c r="M194" s="195">
        <f t="shared" si="10"/>
        <v>-69.617000000000019</v>
      </c>
      <c r="N194" s="196">
        <f t="shared" si="11"/>
        <v>1.3107901785714287</v>
      </c>
    </row>
    <row r="195" spans="1:14">
      <c r="A195" s="274" t="s">
        <v>691</v>
      </c>
      <c r="B195" s="194" t="s">
        <v>331</v>
      </c>
      <c r="C195" s="124">
        <v>44621</v>
      </c>
      <c r="D195" s="194">
        <v>527</v>
      </c>
      <c r="E195" s="274" t="s">
        <v>670</v>
      </c>
      <c r="F195" s="194" t="s">
        <v>342</v>
      </c>
      <c r="G195" s="147" t="s">
        <v>629</v>
      </c>
      <c r="H195" s="147">
        <v>968764</v>
      </c>
      <c r="I195" s="118"/>
      <c r="J195" s="194" t="s">
        <v>192</v>
      </c>
      <c r="K195" s="108">
        <v>398</v>
      </c>
      <c r="L195" s="82">
        <v>328.38299999999998</v>
      </c>
      <c r="M195" s="149">
        <f t="shared" si="10"/>
        <v>69.617000000000019</v>
      </c>
      <c r="N195" s="148">
        <f t="shared" si="11"/>
        <v>0.82508291457286431</v>
      </c>
    </row>
    <row r="196" spans="1:14">
      <c r="A196" s="274" t="s">
        <v>691</v>
      </c>
      <c r="B196" s="194" t="s">
        <v>331</v>
      </c>
      <c r="C196" s="124">
        <v>44621</v>
      </c>
      <c r="D196" s="194">
        <v>527</v>
      </c>
      <c r="E196" s="274" t="s">
        <v>670</v>
      </c>
      <c r="F196" s="194" t="s">
        <v>342</v>
      </c>
      <c r="G196" s="194" t="s">
        <v>355</v>
      </c>
      <c r="H196" s="147">
        <v>959347</v>
      </c>
      <c r="I196" s="118"/>
      <c r="J196" s="194" t="s">
        <v>191</v>
      </c>
      <c r="K196" s="108">
        <v>72</v>
      </c>
      <c r="L196" s="82">
        <v>64.350999999999999</v>
      </c>
      <c r="M196" s="195">
        <f t="shared" si="10"/>
        <v>7.6490000000000009</v>
      </c>
      <c r="N196" s="196">
        <f t="shared" si="11"/>
        <v>0.89376388888888891</v>
      </c>
    </row>
    <row r="197" spans="1:14">
      <c r="A197" s="274" t="s">
        <v>691</v>
      </c>
      <c r="B197" s="194" t="s">
        <v>331</v>
      </c>
      <c r="C197" s="124">
        <v>44621</v>
      </c>
      <c r="D197" s="194">
        <v>527</v>
      </c>
      <c r="E197" s="274" t="s">
        <v>670</v>
      </c>
      <c r="F197" s="194" t="s">
        <v>342</v>
      </c>
      <c r="G197" s="147" t="s">
        <v>355</v>
      </c>
      <c r="H197" s="147">
        <v>959347</v>
      </c>
      <c r="I197" s="118"/>
      <c r="J197" s="194" t="s">
        <v>192</v>
      </c>
      <c r="K197" s="108">
        <v>128</v>
      </c>
      <c r="L197" s="82">
        <v>135.649</v>
      </c>
      <c r="M197" s="149">
        <f t="shared" si="10"/>
        <v>-7.6490000000000009</v>
      </c>
      <c r="N197" s="148">
        <f t="shared" si="11"/>
        <v>1.0597578125</v>
      </c>
    </row>
    <row r="198" spans="1:14">
      <c r="A198" s="274" t="s">
        <v>691</v>
      </c>
      <c r="B198" s="194" t="s">
        <v>331</v>
      </c>
      <c r="C198" s="124">
        <v>44621</v>
      </c>
      <c r="D198" s="194">
        <v>527</v>
      </c>
      <c r="E198" s="274" t="s">
        <v>670</v>
      </c>
      <c r="F198" s="194" t="s">
        <v>342</v>
      </c>
      <c r="G198" s="194" t="s">
        <v>630</v>
      </c>
      <c r="H198" s="147">
        <v>968606</v>
      </c>
      <c r="I198" s="118"/>
      <c r="J198" s="194" t="s">
        <v>191</v>
      </c>
      <c r="K198" s="108">
        <v>36</v>
      </c>
      <c r="L198" s="82">
        <v>59.627000000000002</v>
      </c>
      <c r="M198" s="195">
        <f t="shared" si="10"/>
        <v>-23.627000000000002</v>
      </c>
      <c r="N198" s="196">
        <f t="shared" si="11"/>
        <v>1.6563055555555557</v>
      </c>
    </row>
    <row r="199" spans="1:14">
      <c r="A199" s="274" t="s">
        <v>691</v>
      </c>
      <c r="B199" s="194" t="s">
        <v>331</v>
      </c>
      <c r="C199" s="124">
        <v>44621</v>
      </c>
      <c r="D199" s="194">
        <v>527</v>
      </c>
      <c r="E199" s="274" t="s">
        <v>670</v>
      </c>
      <c r="F199" s="194" t="s">
        <v>342</v>
      </c>
      <c r="G199" s="147" t="s">
        <v>630</v>
      </c>
      <c r="H199" s="147">
        <v>968606</v>
      </c>
      <c r="I199" s="118"/>
      <c r="J199" s="194" t="s">
        <v>192</v>
      </c>
      <c r="K199" s="108">
        <v>64</v>
      </c>
      <c r="L199" s="82">
        <v>40.372999999999998</v>
      </c>
      <c r="M199" s="149">
        <f t="shared" si="10"/>
        <v>23.627000000000002</v>
      </c>
      <c r="N199" s="148">
        <f t="shared" si="11"/>
        <v>0.63082812499999996</v>
      </c>
    </row>
    <row r="200" spans="1:14">
      <c r="A200" s="197" t="s">
        <v>631</v>
      </c>
      <c r="B200" s="197" t="s">
        <v>331</v>
      </c>
      <c r="C200" s="124">
        <v>44621</v>
      </c>
      <c r="D200" s="147">
        <v>12</v>
      </c>
      <c r="E200" s="197" t="s">
        <v>332</v>
      </c>
      <c r="F200" s="197" t="s">
        <v>333</v>
      </c>
      <c r="G200" s="197" t="s">
        <v>632</v>
      </c>
      <c r="H200" s="147">
        <v>968435</v>
      </c>
      <c r="I200" s="118"/>
      <c r="J200" s="197" t="s">
        <v>191</v>
      </c>
      <c r="K200" s="108">
        <v>35</v>
      </c>
      <c r="L200" s="82"/>
      <c r="M200" s="149">
        <f t="shared" si="10"/>
        <v>35</v>
      </c>
      <c r="N200" s="148">
        <f t="shared" si="11"/>
        <v>0</v>
      </c>
    </row>
    <row r="201" spans="1:14">
      <c r="A201" s="197" t="s">
        <v>631</v>
      </c>
      <c r="B201" s="197" t="s">
        <v>331</v>
      </c>
      <c r="C201" s="124">
        <v>44621</v>
      </c>
      <c r="D201" s="197">
        <v>12</v>
      </c>
      <c r="E201" s="197" t="s">
        <v>332</v>
      </c>
      <c r="F201" s="197" t="s">
        <v>333</v>
      </c>
      <c r="G201" s="197" t="s">
        <v>632</v>
      </c>
      <c r="H201" s="197">
        <v>968435</v>
      </c>
      <c r="I201" s="118"/>
      <c r="J201" s="197" t="s">
        <v>192</v>
      </c>
      <c r="K201" s="108">
        <v>65</v>
      </c>
      <c r="L201" s="82"/>
      <c r="M201" s="149">
        <f t="shared" si="10"/>
        <v>65</v>
      </c>
      <c r="N201" s="148">
        <f t="shared" si="11"/>
        <v>0</v>
      </c>
    </row>
    <row r="202" spans="1:14">
      <c r="A202" s="197" t="s">
        <v>633</v>
      </c>
      <c r="B202" s="197" t="s">
        <v>335</v>
      </c>
      <c r="C202" s="124">
        <v>44621</v>
      </c>
      <c r="D202" s="147">
        <v>13</v>
      </c>
      <c r="E202" s="197" t="s">
        <v>332</v>
      </c>
      <c r="F202" s="197" t="s">
        <v>333</v>
      </c>
      <c r="G202" s="197" t="s">
        <v>634</v>
      </c>
      <c r="H202" s="147">
        <v>968700</v>
      </c>
      <c r="I202" s="118"/>
      <c r="J202" s="197" t="s">
        <v>192</v>
      </c>
      <c r="K202" s="560">
        <v>2</v>
      </c>
      <c r="L202" s="82"/>
      <c r="M202" s="562">
        <f>K202-(L202+L203)</f>
        <v>2</v>
      </c>
      <c r="N202" s="564">
        <f>(L202+L203)/K202</f>
        <v>0</v>
      </c>
    </row>
    <row r="203" spans="1:14">
      <c r="A203" s="197" t="s">
        <v>633</v>
      </c>
      <c r="B203" s="198" t="s">
        <v>335</v>
      </c>
      <c r="C203" s="124">
        <v>44621</v>
      </c>
      <c r="D203" s="197">
        <v>13</v>
      </c>
      <c r="E203" s="197" t="s">
        <v>332</v>
      </c>
      <c r="F203" s="197" t="s">
        <v>333</v>
      </c>
      <c r="G203" s="197" t="s">
        <v>635</v>
      </c>
      <c r="H203" s="147">
        <v>699098</v>
      </c>
      <c r="I203" s="118"/>
      <c r="J203" s="197" t="s">
        <v>192</v>
      </c>
      <c r="K203" s="561"/>
      <c r="L203" s="82"/>
      <c r="M203" s="563"/>
      <c r="N203" s="565"/>
    </row>
    <row r="204" spans="1:14">
      <c r="A204" s="274" t="s">
        <v>692</v>
      </c>
      <c r="B204" s="198" t="s">
        <v>335</v>
      </c>
      <c r="C204" s="124">
        <v>44622</v>
      </c>
      <c r="D204" s="147">
        <v>539</v>
      </c>
      <c r="E204" s="274" t="s">
        <v>670</v>
      </c>
      <c r="F204" s="198" t="s">
        <v>342</v>
      </c>
      <c r="G204" s="198" t="s">
        <v>515</v>
      </c>
      <c r="H204" s="147">
        <v>31015</v>
      </c>
      <c r="I204" s="118"/>
      <c r="J204" s="198" t="s">
        <v>191</v>
      </c>
      <c r="K204" s="560">
        <v>835.04300000000001</v>
      </c>
      <c r="L204" s="82">
        <v>197.64500000000001</v>
      </c>
      <c r="M204" s="562">
        <f>K204-(L204+L205+L206+L207)</f>
        <v>-408.70999999999992</v>
      </c>
      <c r="N204" s="564">
        <f>(L204+L205+L206+L207)/K204</f>
        <v>1.4894478487934153</v>
      </c>
    </row>
    <row r="205" spans="1:14">
      <c r="A205" s="274" t="s">
        <v>692</v>
      </c>
      <c r="B205" s="198" t="s">
        <v>335</v>
      </c>
      <c r="C205" s="124">
        <v>44622</v>
      </c>
      <c r="D205" s="147">
        <v>539</v>
      </c>
      <c r="E205" s="274" t="s">
        <v>670</v>
      </c>
      <c r="F205" s="198" t="s">
        <v>342</v>
      </c>
      <c r="G205" s="198" t="s">
        <v>400</v>
      </c>
      <c r="H205" s="147">
        <v>968938</v>
      </c>
      <c r="I205" s="118"/>
      <c r="J205" s="198" t="s">
        <v>191</v>
      </c>
      <c r="K205" s="566"/>
      <c r="L205" s="82">
        <v>493.57299999999998</v>
      </c>
      <c r="M205" s="567"/>
      <c r="N205" s="568"/>
    </row>
    <row r="206" spans="1:14">
      <c r="A206" s="274" t="s">
        <v>692</v>
      </c>
      <c r="B206" s="198" t="s">
        <v>335</v>
      </c>
      <c r="C206" s="124">
        <v>44622</v>
      </c>
      <c r="D206" s="147">
        <v>539</v>
      </c>
      <c r="E206" s="274" t="s">
        <v>670</v>
      </c>
      <c r="F206" s="198" t="s">
        <v>342</v>
      </c>
      <c r="G206" s="198" t="s">
        <v>489</v>
      </c>
      <c r="H206" s="147">
        <v>966410</v>
      </c>
      <c r="I206" s="118"/>
      <c r="J206" s="198" t="s">
        <v>191</v>
      </c>
      <c r="K206" s="566"/>
      <c r="L206" s="82">
        <v>409.53199999999998</v>
      </c>
      <c r="M206" s="567"/>
      <c r="N206" s="568"/>
    </row>
    <row r="207" spans="1:14">
      <c r="A207" s="274" t="s">
        <v>692</v>
      </c>
      <c r="B207" s="198" t="s">
        <v>335</v>
      </c>
      <c r="C207" s="124">
        <v>44622</v>
      </c>
      <c r="D207" s="147">
        <v>539</v>
      </c>
      <c r="E207" s="274" t="s">
        <v>670</v>
      </c>
      <c r="F207" s="198" t="s">
        <v>342</v>
      </c>
      <c r="G207" s="198" t="s">
        <v>600</v>
      </c>
      <c r="H207" s="147">
        <v>922492</v>
      </c>
      <c r="I207" s="118"/>
      <c r="J207" s="198" t="s">
        <v>191</v>
      </c>
      <c r="K207" s="561"/>
      <c r="L207" s="82">
        <v>143.00299999999999</v>
      </c>
      <c r="M207" s="563"/>
      <c r="N207" s="565"/>
    </row>
    <row r="208" spans="1:14">
      <c r="A208" s="274" t="s">
        <v>692</v>
      </c>
      <c r="B208" s="198" t="s">
        <v>335</v>
      </c>
      <c r="C208" s="124">
        <v>44622</v>
      </c>
      <c r="D208" s="147">
        <v>539</v>
      </c>
      <c r="E208" s="274" t="s">
        <v>670</v>
      </c>
      <c r="F208" s="198" t="s">
        <v>342</v>
      </c>
      <c r="G208" s="147" t="s">
        <v>515</v>
      </c>
      <c r="H208" s="147">
        <v>31015</v>
      </c>
      <c r="I208" s="118"/>
      <c r="J208" s="198" t="s">
        <v>192</v>
      </c>
      <c r="K208" s="560">
        <v>768.49099999999999</v>
      </c>
      <c r="L208" s="82">
        <v>30.574999999999999</v>
      </c>
      <c r="M208" s="562">
        <f>K208-(L208+L209+L210+L211)</f>
        <v>415.74099999999999</v>
      </c>
      <c r="N208" s="564">
        <f>(L208+L209+L210+L211)/K208</f>
        <v>0.45901643610660375</v>
      </c>
    </row>
    <row r="209" spans="1:14">
      <c r="A209" s="274" t="s">
        <v>692</v>
      </c>
      <c r="B209" s="198" t="s">
        <v>335</v>
      </c>
      <c r="C209" s="124">
        <v>44622</v>
      </c>
      <c r="D209" s="147">
        <v>539</v>
      </c>
      <c r="E209" s="274" t="s">
        <v>670</v>
      </c>
      <c r="F209" s="198" t="s">
        <v>342</v>
      </c>
      <c r="G209" s="147" t="s">
        <v>400</v>
      </c>
      <c r="H209" s="147">
        <v>968938</v>
      </c>
      <c r="I209" s="118"/>
      <c r="J209" s="198" t="s">
        <v>192</v>
      </c>
      <c r="K209" s="566"/>
      <c r="L209" s="82">
        <v>158.55699999999999</v>
      </c>
      <c r="M209" s="567"/>
      <c r="N209" s="568"/>
    </row>
    <row r="210" spans="1:14">
      <c r="A210" s="274" t="s">
        <v>692</v>
      </c>
      <c r="B210" s="198" t="s">
        <v>335</v>
      </c>
      <c r="C210" s="124">
        <v>44622</v>
      </c>
      <c r="D210" s="147">
        <v>539</v>
      </c>
      <c r="E210" s="274" t="s">
        <v>670</v>
      </c>
      <c r="F210" s="198" t="s">
        <v>342</v>
      </c>
      <c r="G210" s="147" t="s">
        <v>489</v>
      </c>
      <c r="H210" s="147">
        <v>966410</v>
      </c>
      <c r="I210" s="118"/>
      <c r="J210" s="198" t="s">
        <v>192</v>
      </c>
      <c r="K210" s="566"/>
      <c r="L210" s="82">
        <v>151.80099999999999</v>
      </c>
      <c r="M210" s="567"/>
      <c r="N210" s="568"/>
    </row>
    <row r="211" spans="1:14">
      <c r="A211" s="274" t="s">
        <v>692</v>
      </c>
      <c r="B211" s="198" t="s">
        <v>335</v>
      </c>
      <c r="C211" s="124">
        <v>44622</v>
      </c>
      <c r="D211" s="147">
        <v>539</v>
      </c>
      <c r="E211" s="274" t="s">
        <v>670</v>
      </c>
      <c r="F211" s="198" t="s">
        <v>342</v>
      </c>
      <c r="G211" s="147" t="s">
        <v>600</v>
      </c>
      <c r="H211" s="147">
        <v>922492</v>
      </c>
      <c r="I211" s="118"/>
      <c r="J211" s="198" t="s">
        <v>192</v>
      </c>
      <c r="K211" s="561"/>
      <c r="L211" s="82">
        <v>11.817</v>
      </c>
      <c r="M211" s="563"/>
      <c r="N211" s="565"/>
    </row>
    <row r="212" spans="1:14">
      <c r="A212" s="274" t="s">
        <v>689</v>
      </c>
      <c r="B212" s="198" t="s">
        <v>331</v>
      </c>
      <c r="C212" s="124">
        <v>44622</v>
      </c>
      <c r="D212" s="198">
        <v>544</v>
      </c>
      <c r="E212" s="274" t="s">
        <v>670</v>
      </c>
      <c r="F212" s="198" t="s">
        <v>342</v>
      </c>
      <c r="G212" s="198" t="s">
        <v>374</v>
      </c>
      <c r="H212" s="147">
        <v>955511</v>
      </c>
      <c r="I212" s="118"/>
      <c r="J212" s="198" t="s">
        <v>191</v>
      </c>
      <c r="K212" s="108">
        <v>30</v>
      </c>
      <c r="L212" s="82">
        <v>17.748999999999999</v>
      </c>
      <c r="M212" s="200">
        <f t="shared" ref="M212:M241" si="12">K212-L212</f>
        <v>12.251000000000001</v>
      </c>
      <c r="N212" s="199">
        <f t="shared" ref="N212:N241" si="13">L212/K212</f>
        <v>0.59163333333333334</v>
      </c>
    </row>
    <row r="213" spans="1:14">
      <c r="A213" s="274" t="s">
        <v>689</v>
      </c>
      <c r="B213" s="198" t="s">
        <v>331</v>
      </c>
      <c r="C213" s="124">
        <v>44622</v>
      </c>
      <c r="D213" s="284">
        <v>544</v>
      </c>
      <c r="E213" s="274" t="s">
        <v>670</v>
      </c>
      <c r="F213" s="198" t="s">
        <v>342</v>
      </c>
      <c r="G213" s="147" t="s">
        <v>374</v>
      </c>
      <c r="H213" s="147">
        <v>955511</v>
      </c>
      <c r="I213" s="118"/>
      <c r="J213" s="198" t="s">
        <v>192</v>
      </c>
      <c r="K213" s="108">
        <v>70</v>
      </c>
      <c r="L213" s="82">
        <v>82.251000000000005</v>
      </c>
      <c r="M213" s="200">
        <f t="shared" si="12"/>
        <v>-12.251000000000005</v>
      </c>
      <c r="N213" s="199">
        <f t="shared" si="13"/>
        <v>1.1750142857142858</v>
      </c>
    </row>
    <row r="214" spans="1:14">
      <c r="A214" s="274" t="s">
        <v>689</v>
      </c>
      <c r="B214" s="198" t="s">
        <v>331</v>
      </c>
      <c r="C214" s="124">
        <v>44622</v>
      </c>
      <c r="D214" s="284">
        <v>544</v>
      </c>
      <c r="E214" s="274" t="s">
        <v>670</v>
      </c>
      <c r="F214" s="198" t="s">
        <v>342</v>
      </c>
      <c r="G214" s="198" t="s">
        <v>637</v>
      </c>
      <c r="H214" s="147">
        <v>698801</v>
      </c>
      <c r="I214" s="118"/>
      <c r="J214" s="198" t="s">
        <v>191</v>
      </c>
      <c r="K214" s="108">
        <v>30</v>
      </c>
      <c r="L214" s="82">
        <v>8.3789999999999996</v>
      </c>
      <c r="M214" s="200">
        <f t="shared" si="12"/>
        <v>21.621000000000002</v>
      </c>
      <c r="N214" s="199">
        <f t="shared" si="13"/>
        <v>0.27929999999999999</v>
      </c>
    </row>
    <row r="215" spans="1:14">
      <c r="A215" s="274" t="s">
        <v>689</v>
      </c>
      <c r="B215" s="198" t="s">
        <v>331</v>
      </c>
      <c r="C215" s="124">
        <v>44622</v>
      </c>
      <c r="D215" s="284">
        <v>544</v>
      </c>
      <c r="E215" s="274" t="s">
        <v>670</v>
      </c>
      <c r="F215" s="198" t="s">
        <v>342</v>
      </c>
      <c r="G215" s="147" t="s">
        <v>637</v>
      </c>
      <c r="H215" s="147">
        <v>698801</v>
      </c>
      <c r="I215" s="118"/>
      <c r="J215" s="198" t="s">
        <v>192</v>
      </c>
      <c r="K215" s="108">
        <v>70</v>
      </c>
      <c r="L215" s="82">
        <v>2.7930000000000001</v>
      </c>
      <c r="M215" s="200">
        <f t="shared" si="12"/>
        <v>67.206999999999994</v>
      </c>
      <c r="N215" s="199">
        <f t="shared" si="13"/>
        <v>3.9900000000000005E-2</v>
      </c>
    </row>
    <row r="216" spans="1:14">
      <c r="A216" s="274" t="s">
        <v>689</v>
      </c>
      <c r="B216" s="198" t="s">
        <v>331</v>
      </c>
      <c r="C216" s="124">
        <v>44622</v>
      </c>
      <c r="D216" s="284">
        <v>544</v>
      </c>
      <c r="E216" s="274" t="s">
        <v>670</v>
      </c>
      <c r="F216" s="198" t="s">
        <v>342</v>
      </c>
      <c r="G216" s="198" t="s">
        <v>638</v>
      </c>
      <c r="H216" s="147">
        <v>966049</v>
      </c>
      <c r="I216" s="118"/>
      <c r="J216" s="198" t="s">
        <v>191</v>
      </c>
      <c r="K216" s="108">
        <v>30</v>
      </c>
      <c r="L216" s="82">
        <v>33.661999999999999</v>
      </c>
      <c r="M216" s="200">
        <f t="shared" si="12"/>
        <v>-3.661999999999999</v>
      </c>
      <c r="N216" s="199">
        <f t="shared" si="13"/>
        <v>1.1220666666666665</v>
      </c>
    </row>
    <row r="217" spans="1:14">
      <c r="A217" s="274" t="s">
        <v>689</v>
      </c>
      <c r="B217" s="198" t="s">
        <v>331</v>
      </c>
      <c r="C217" s="124">
        <v>44622</v>
      </c>
      <c r="D217" s="284">
        <v>544</v>
      </c>
      <c r="E217" s="274" t="s">
        <v>670</v>
      </c>
      <c r="F217" s="198" t="s">
        <v>342</v>
      </c>
      <c r="G217" s="147" t="s">
        <v>638</v>
      </c>
      <c r="H217" s="147">
        <v>966049</v>
      </c>
      <c r="I217" s="118"/>
      <c r="J217" s="198" t="s">
        <v>192</v>
      </c>
      <c r="K217" s="108">
        <v>70</v>
      </c>
      <c r="L217" s="82">
        <v>66.335999999999999</v>
      </c>
      <c r="M217" s="200">
        <f t="shared" si="12"/>
        <v>3.6640000000000015</v>
      </c>
      <c r="N217" s="199">
        <f t="shared" si="13"/>
        <v>0.94765714285714286</v>
      </c>
    </row>
    <row r="218" spans="1:14">
      <c r="A218" s="274" t="s">
        <v>689</v>
      </c>
      <c r="B218" s="198" t="s">
        <v>331</v>
      </c>
      <c r="C218" s="124">
        <v>44622</v>
      </c>
      <c r="D218" s="284">
        <v>544</v>
      </c>
      <c r="E218" s="274" t="s">
        <v>670</v>
      </c>
      <c r="F218" s="198" t="s">
        <v>342</v>
      </c>
      <c r="G218" s="198" t="s">
        <v>440</v>
      </c>
      <c r="H218" s="147">
        <v>967659</v>
      </c>
      <c r="I218" s="118"/>
      <c r="J218" s="198" t="s">
        <v>191</v>
      </c>
      <c r="K218" s="108">
        <v>30</v>
      </c>
      <c r="L218" s="82"/>
      <c r="M218" s="200">
        <f t="shared" si="12"/>
        <v>30</v>
      </c>
      <c r="N218" s="199">
        <f t="shared" si="13"/>
        <v>0</v>
      </c>
    </row>
    <row r="219" spans="1:14">
      <c r="A219" s="274" t="s">
        <v>689</v>
      </c>
      <c r="B219" s="198" t="s">
        <v>331</v>
      </c>
      <c r="C219" s="124">
        <v>44622</v>
      </c>
      <c r="D219" s="284">
        <v>544</v>
      </c>
      <c r="E219" s="274" t="s">
        <v>670</v>
      </c>
      <c r="F219" s="198" t="s">
        <v>342</v>
      </c>
      <c r="G219" s="147" t="s">
        <v>440</v>
      </c>
      <c r="H219" s="147">
        <v>967659</v>
      </c>
      <c r="I219" s="118"/>
      <c r="J219" s="198" t="s">
        <v>192</v>
      </c>
      <c r="K219" s="108">
        <v>70</v>
      </c>
      <c r="L219" s="82">
        <v>24.56</v>
      </c>
      <c r="M219" s="200">
        <f t="shared" si="12"/>
        <v>45.44</v>
      </c>
      <c r="N219" s="199">
        <f t="shared" si="13"/>
        <v>0.35085714285714281</v>
      </c>
    </row>
    <row r="220" spans="1:14">
      <c r="A220" s="274" t="s">
        <v>689</v>
      </c>
      <c r="B220" s="198" t="s">
        <v>331</v>
      </c>
      <c r="C220" s="124">
        <v>44622</v>
      </c>
      <c r="D220" s="284">
        <v>544</v>
      </c>
      <c r="E220" s="274" t="s">
        <v>670</v>
      </c>
      <c r="F220" s="198" t="s">
        <v>342</v>
      </c>
      <c r="G220" s="198" t="s">
        <v>639</v>
      </c>
      <c r="H220" s="147">
        <v>968400</v>
      </c>
      <c r="I220" s="118"/>
      <c r="J220" s="198" t="s">
        <v>191</v>
      </c>
      <c r="K220" s="108">
        <v>30</v>
      </c>
      <c r="L220" s="82">
        <v>19.733000000000001</v>
      </c>
      <c r="M220" s="200">
        <f t="shared" si="12"/>
        <v>10.266999999999999</v>
      </c>
      <c r="N220" s="199">
        <f t="shared" si="13"/>
        <v>0.65776666666666672</v>
      </c>
    </row>
    <row r="221" spans="1:14">
      <c r="A221" s="274" t="s">
        <v>689</v>
      </c>
      <c r="B221" s="198" t="s">
        <v>331</v>
      </c>
      <c r="C221" s="124">
        <v>44622</v>
      </c>
      <c r="D221" s="284">
        <v>544</v>
      </c>
      <c r="E221" s="274" t="s">
        <v>670</v>
      </c>
      <c r="F221" s="198" t="s">
        <v>342</v>
      </c>
      <c r="G221" s="147" t="s">
        <v>639</v>
      </c>
      <c r="H221" s="147">
        <v>968400</v>
      </c>
      <c r="I221" s="118"/>
      <c r="J221" s="198" t="s">
        <v>192</v>
      </c>
      <c r="K221" s="108">
        <v>70</v>
      </c>
      <c r="L221" s="82">
        <v>8.0570000000000004</v>
      </c>
      <c r="M221" s="200">
        <f t="shared" si="12"/>
        <v>61.942999999999998</v>
      </c>
      <c r="N221" s="199">
        <f t="shared" si="13"/>
        <v>0.11510000000000001</v>
      </c>
    </row>
    <row r="222" spans="1:14">
      <c r="A222" s="274" t="s">
        <v>689</v>
      </c>
      <c r="B222" s="198" t="s">
        <v>331</v>
      </c>
      <c r="C222" s="124">
        <v>44622</v>
      </c>
      <c r="D222" s="284">
        <v>544</v>
      </c>
      <c r="E222" s="274" t="s">
        <v>670</v>
      </c>
      <c r="F222" s="198" t="s">
        <v>342</v>
      </c>
      <c r="G222" s="198" t="s">
        <v>509</v>
      </c>
      <c r="H222" s="147">
        <v>967851</v>
      </c>
      <c r="I222" s="118"/>
      <c r="J222" s="198" t="s">
        <v>191</v>
      </c>
      <c r="K222" s="108">
        <v>30</v>
      </c>
      <c r="L222" s="82">
        <v>77.866</v>
      </c>
      <c r="M222" s="200">
        <f t="shared" si="12"/>
        <v>-47.866</v>
      </c>
      <c r="N222" s="199">
        <f t="shared" si="13"/>
        <v>2.5955333333333335</v>
      </c>
    </row>
    <row r="223" spans="1:14">
      <c r="A223" s="274" t="s">
        <v>689</v>
      </c>
      <c r="B223" s="198" t="s">
        <v>331</v>
      </c>
      <c r="C223" s="124">
        <v>44622</v>
      </c>
      <c r="D223" s="284">
        <v>544</v>
      </c>
      <c r="E223" s="274" t="s">
        <v>670</v>
      </c>
      <c r="F223" s="198" t="s">
        <v>342</v>
      </c>
      <c r="G223" s="147" t="s">
        <v>509</v>
      </c>
      <c r="H223" s="147">
        <v>967851</v>
      </c>
      <c r="I223" s="118"/>
      <c r="J223" s="198" t="s">
        <v>192</v>
      </c>
      <c r="K223" s="108">
        <v>70</v>
      </c>
      <c r="L223" s="82">
        <v>14.326000000000001</v>
      </c>
      <c r="M223" s="200">
        <f t="shared" si="12"/>
        <v>55.673999999999999</v>
      </c>
      <c r="N223" s="199">
        <f t="shared" si="13"/>
        <v>0.20465714285714287</v>
      </c>
    </row>
    <row r="224" spans="1:14">
      <c r="A224" s="274" t="s">
        <v>689</v>
      </c>
      <c r="B224" s="198" t="s">
        <v>331</v>
      </c>
      <c r="C224" s="124">
        <v>44622</v>
      </c>
      <c r="D224" s="284">
        <v>544</v>
      </c>
      <c r="E224" s="274" t="s">
        <v>670</v>
      </c>
      <c r="F224" s="198" t="s">
        <v>342</v>
      </c>
      <c r="G224" s="274" t="s">
        <v>429</v>
      </c>
      <c r="H224" s="147">
        <v>968290</v>
      </c>
      <c r="I224" s="118"/>
      <c r="J224" s="198" t="s">
        <v>191</v>
      </c>
      <c r="K224" s="108">
        <v>30</v>
      </c>
      <c r="L224" s="82">
        <v>21.928000000000001</v>
      </c>
      <c r="M224" s="200">
        <f t="shared" si="12"/>
        <v>8.0719999999999992</v>
      </c>
      <c r="N224" s="199">
        <f t="shared" si="13"/>
        <v>0.73093333333333332</v>
      </c>
    </row>
    <row r="225" spans="1:14">
      <c r="A225" s="274" t="s">
        <v>689</v>
      </c>
      <c r="B225" s="198" t="s">
        <v>331</v>
      </c>
      <c r="C225" s="124">
        <v>44622</v>
      </c>
      <c r="D225" s="284">
        <v>544</v>
      </c>
      <c r="E225" s="274" t="s">
        <v>670</v>
      </c>
      <c r="F225" s="198" t="s">
        <v>342</v>
      </c>
      <c r="G225" s="274" t="s">
        <v>429</v>
      </c>
      <c r="H225" s="147">
        <v>968290</v>
      </c>
      <c r="I225" s="118"/>
      <c r="J225" s="198" t="s">
        <v>192</v>
      </c>
      <c r="K225" s="108">
        <v>70</v>
      </c>
      <c r="L225" s="82">
        <v>78.072000000000003</v>
      </c>
      <c r="M225" s="200">
        <f t="shared" si="12"/>
        <v>-8.0720000000000027</v>
      </c>
      <c r="N225" s="199">
        <f t="shared" si="13"/>
        <v>1.1153142857142857</v>
      </c>
    </row>
    <row r="226" spans="1:14">
      <c r="A226" s="274" t="s">
        <v>689</v>
      </c>
      <c r="B226" s="198" t="s">
        <v>331</v>
      </c>
      <c r="C226" s="124">
        <v>44622</v>
      </c>
      <c r="D226" s="284">
        <v>544</v>
      </c>
      <c r="E226" s="274" t="s">
        <v>670</v>
      </c>
      <c r="F226" s="198" t="s">
        <v>342</v>
      </c>
      <c r="G226" s="198" t="s">
        <v>640</v>
      </c>
      <c r="H226" s="147">
        <v>967650</v>
      </c>
      <c r="I226" s="118"/>
      <c r="J226" s="198" t="s">
        <v>191</v>
      </c>
      <c r="K226" s="108">
        <v>30</v>
      </c>
      <c r="L226" s="82">
        <v>69.962000000000003</v>
      </c>
      <c r="M226" s="200">
        <f t="shared" si="12"/>
        <v>-39.962000000000003</v>
      </c>
      <c r="N226" s="199">
        <f t="shared" si="13"/>
        <v>2.332066666666667</v>
      </c>
    </row>
    <row r="227" spans="1:14">
      <c r="A227" s="274" t="s">
        <v>689</v>
      </c>
      <c r="B227" s="198" t="s">
        <v>331</v>
      </c>
      <c r="C227" s="124">
        <v>44622</v>
      </c>
      <c r="D227" s="284">
        <v>544</v>
      </c>
      <c r="E227" s="274" t="s">
        <v>670</v>
      </c>
      <c r="F227" s="198" t="s">
        <v>342</v>
      </c>
      <c r="G227" s="147" t="s">
        <v>640</v>
      </c>
      <c r="H227" s="147">
        <v>967650</v>
      </c>
      <c r="I227" s="118"/>
      <c r="J227" s="198" t="s">
        <v>192</v>
      </c>
      <c r="K227" s="108">
        <v>70</v>
      </c>
      <c r="L227" s="82">
        <v>29.196000000000002</v>
      </c>
      <c r="M227" s="200">
        <f t="shared" si="12"/>
        <v>40.804000000000002</v>
      </c>
      <c r="N227" s="199">
        <f t="shared" si="13"/>
        <v>0.41708571428571428</v>
      </c>
    </row>
    <row r="228" spans="1:14">
      <c r="A228" s="274" t="s">
        <v>689</v>
      </c>
      <c r="B228" s="198" t="s">
        <v>331</v>
      </c>
      <c r="C228" s="124">
        <v>44622</v>
      </c>
      <c r="D228" s="284">
        <v>544</v>
      </c>
      <c r="E228" s="274" t="s">
        <v>670</v>
      </c>
      <c r="F228" s="198" t="s">
        <v>342</v>
      </c>
      <c r="G228" s="198" t="s">
        <v>641</v>
      </c>
      <c r="H228" s="147">
        <v>968869</v>
      </c>
      <c r="I228" s="118"/>
      <c r="J228" s="198" t="s">
        <v>191</v>
      </c>
      <c r="K228" s="108">
        <v>30</v>
      </c>
      <c r="L228" s="82">
        <v>92.382999999999996</v>
      </c>
      <c r="M228" s="200">
        <f t="shared" si="12"/>
        <v>-62.382999999999996</v>
      </c>
      <c r="N228" s="199">
        <f t="shared" si="13"/>
        <v>3.0794333333333332</v>
      </c>
    </row>
    <row r="229" spans="1:14">
      <c r="A229" s="274" t="s">
        <v>689</v>
      </c>
      <c r="B229" s="198" t="s">
        <v>331</v>
      </c>
      <c r="C229" s="124">
        <v>44622</v>
      </c>
      <c r="D229" s="284">
        <v>544</v>
      </c>
      <c r="E229" s="274" t="s">
        <v>670</v>
      </c>
      <c r="F229" s="198" t="s">
        <v>342</v>
      </c>
      <c r="G229" s="147" t="s">
        <v>641</v>
      </c>
      <c r="H229" s="147">
        <v>968869</v>
      </c>
      <c r="I229" s="118"/>
      <c r="J229" s="198" t="s">
        <v>192</v>
      </c>
      <c r="K229" s="108">
        <v>70</v>
      </c>
      <c r="L229" s="82">
        <v>7.617</v>
      </c>
      <c r="M229" s="200">
        <f t="shared" si="12"/>
        <v>62.383000000000003</v>
      </c>
      <c r="N229" s="199">
        <f t="shared" si="13"/>
        <v>0.10881428571428571</v>
      </c>
    </row>
    <row r="230" spans="1:14">
      <c r="A230" s="274" t="s">
        <v>689</v>
      </c>
      <c r="B230" s="198" t="s">
        <v>331</v>
      </c>
      <c r="C230" s="124">
        <v>44622</v>
      </c>
      <c r="D230" s="284">
        <v>544</v>
      </c>
      <c r="E230" s="274" t="s">
        <v>670</v>
      </c>
      <c r="F230" s="198" t="s">
        <v>342</v>
      </c>
      <c r="G230" s="198" t="s">
        <v>642</v>
      </c>
      <c r="H230" s="147">
        <v>964994</v>
      </c>
      <c r="I230" s="118"/>
      <c r="J230" s="198" t="s">
        <v>191</v>
      </c>
      <c r="K230" s="108">
        <v>30</v>
      </c>
      <c r="L230" s="82"/>
      <c r="M230" s="200">
        <f t="shared" si="12"/>
        <v>30</v>
      </c>
      <c r="N230" s="199">
        <f t="shared" si="13"/>
        <v>0</v>
      </c>
    </row>
    <row r="231" spans="1:14">
      <c r="A231" s="274" t="s">
        <v>689</v>
      </c>
      <c r="B231" s="198" t="s">
        <v>331</v>
      </c>
      <c r="C231" s="124">
        <v>44622</v>
      </c>
      <c r="D231" s="284">
        <v>544</v>
      </c>
      <c r="E231" s="274" t="s">
        <v>670</v>
      </c>
      <c r="F231" s="198" t="s">
        <v>342</v>
      </c>
      <c r="G231" s="147" t="s">
        <v>642</v>
      </c>
      <c r="H231" s="147">
        <v>964994</v>
      </c>
      <c r="I231" s="118"/>
      <c r="J231" s="198" t="s">
        <v>192</v>
      </c>
      <c r="K231" s="108">
        <v>70</v>
      </c>
      <c r="L231" s="82"/>
      <c r="M231" s="200">
        <f t="shared" si="12"/>
        <v>70</v>
      </c>
      <c r="N231" s="199">
        <f t="shared" si="13"/>
        <v>0</v>
      </c>
    </row>
    <row r="232" spans="1:14">
      <c r="A232" s="274" t="s">
        <v>689</v>
      </c>
      <c r="B232" s="198" t="s">
        <v>331</v>
      </c>
      <c r="C232" s="124">
        <v>44622</v>
      </c>
      <c r="D232" s="284">
        <v>544</v>
      </c>
      <c r="E232" s="274" t="s">
        <v>670</v>
      </c>
      <c r="F232" s="198" t="s">
        <v>342</v>
      </c>
      <c r="G232" s="198" t="s">
        <v>643</v>
      </c>
      <c r="H232" s="147">
        <v>962295</v>
      </c>
      <c r="I232" s="118"/>
      <c r="J232" s="198" t="s">
        <v>191</v>
      </c>
      <c r="K232" s="108">
        <v>30</v>
      </c>
      <c r="L232" s="82">
        <v>65.191000000000003</v>
      </c>
      <c r="M232" s="200">
        <f t="shared" si="12"/>
        <v>-35.191000000000003</v>
      </c>
      <c r="N232" s="199">
        <f t="shared" si="13"/>
        <v>2.1730333333333336</v>
      </c>
    </row>
    <row r="233" spans="1:14">
      <c r="A233" s="274" t="s">
        <v>689</v>
      </c>
      <c r="B233" s="198" t="s">
        <v>331</v>
      </c>
      <c r="C233" s="124">
        <v>44622</v>
      </c>
      <c r="D233" s="284">
        <v>544</v>
      </c>
      <c r="E233" s="274" t="s">
        <v>670</v>
      </c>
      <c r="F233" s="198" t="s">
        <v>342</v>
      </c>
      <c r="G233" s="147" t="s">
        <v>643</v>
      </c>
      <c r="H233" s="147">
        <v>962295</v>
      </c>
      <c r="I233" s="118"/>
      <c r="J233" s="198" t="s">
        <v>192</v>
      </c>
      <c r="K233" s="108">
        <v>70</v>
      </c>
      <c r="L233" s="82">
        <v>34.808999999999997</v>
      </c>
      <c r="M233" s="200">
        <f t="shared" si="12"/>
        <v>35.191000000000003</v>
      </c>
      <c r="N233" s="199">
        <f t="shared" si="13"/>
        <v>0.49727142857142853</v>
      </c>
    </row>
    <row r="234" spans="1:14">
      <c r="A234" s="274" t="s">
        <v>689</v>
      </c>
      <c r="B234" s="198" t="s">
        <v>331</v>
      </c>
      <c r="C234" s="124">
        <v>44622</v>
      </c>
      <c r="D234" s="284">
        <v>544</v>
      </c>
      <c r="E234" s="274" t="s">
        <v>670</v>
      </c>
      <c r="F234" s="198" t="s">
        <v>342</v>
      </c>
      <c r="G234" s="198" t="s">
        <v>644</v>
      </c>
      <c r="H234" s="147">
        <v>960106</v>
      </c>
      <c r="I234" s="118"/>
      <c r="J234" s="198" t="s">
        <v>191</v>
      </c>
      <c r="K234" s="108">
        <v>30</v>
      </c>
      <c r="L234" s="82">
        <v>74.762</v>
      </c>
      <c r="M234" s="200">
        <f t="shared" si="12"/>
        <v>-44.762</v>
      </c>
      <c r="N234" s="199">
        <f t="shared" si="13"/>
        <v>2.4920666666666667</v>
      </c>
    </row>
    <row r="235" spans="1:14">
      <c r="A235" s="274" t="s">
        <v>689</v>
      </c>
      <c r="B235" s="198" t="s">
        <v>331</v>
      </c>
      <c r="C235" s="124">
        <v>44622</v>
      </c>
      <c r="D235" s="284">
        <v>544</v>
      </c>
      <c r="E235" s="274" t="s">
        <v>670</v>
      </c>
      <c r="F235" s="198" t="s">
        <v>342</v>
      </c>
      <c r="G235" s="147" t="s">
        <v>644</v>
      </c>
      <c r="H235" s="147">
        <v>960106</v>
      </c>
      <c r="I235" s="118"/>
      <c r="J235" s="198" t="s">
        <v>192</v>
      </c>
      <c r="K235" s="108">
        <v>70</v>
      </c>
      <c r="L235" s="82">
        <v>7.7690000000000001</v>
      </c>
      <c r="M235" s="200">
        <f t="shared" si="12"/>
        <v>62.231000000000002</v>
      </c>
      <c r="N235" s="199">
        <f t="shared" si="13"/>
        <v>0.11098571428571428</v>
      </c>
    </row>
    <row r="236" spans="1:14">
      <c r="A236" s="274" t="s">
        <v>689</v>
      </c>
      <c r="B236" s="198" t="s">
        <v>331</v>
      </c>
      <c r="C236" s="124">
        <v>44622</v>
      </c>
      <c r="D236" s="284">
        <v>544</v>
      </c>
      <c r="E236" s="274" t="s">
        <v>670</v>
      </c>
      <c r="F236" s="198" t="s">
        <v>342</v>
      </c>
      <c r="G236" s="198" t="s">
        <v>645</v>
      </c>
      <c r="H236" s="147">
        <v>965263</v>
      </c>
      <c r="I236" s="118"/>
      <c r="J236" s="198" t="s">
        <v>191</v>
      </c>
      <c r="K236" s="108">
        <v>30</v>
      </c>
      <c r="L236" s="82">
        <v>73.228999999999999</v>
      </c>
      <c r="M236" s="200">
        <f t="shared" si="12"/>
        <v>-43.228999999999999</v>
      </c>
      <c r="N236" s="199">
        <f t="shared" si="13"/>
        <v>2.4409666666666667</v>
      </c>
    </row>
    <row r="237" spans="1:14">
      <c r="A237" s="274" t="s">
        <v>689</v>
      </c>
      <c r="B237" s="198" t="s">
        <v>331</v>
      </c>
      <c r="C237" s="124">
        <v>44622</v>
      </c>
      <c r="D237" s="284">
        <v>544</v>
      </c>
      <c r="E237" s="274" t="s">
        <v>670</v>
      </c>
      <c r="F237" s="198" t="s">
        <v>342</v>
      </c>
      <c r="G237" s="147" t="s">
        <v>645</v>
      </c>
      <c r="H237" s="147">
        <v>965263</v>
      </c>
      <c r="I237" s="118"/>
      <c r="J237" s="198" t="s">
        <v>192</v>
      </c>
      <c r="K237" s="108">
        <v>70</v>
      </c>
      <c r="L237" s="82">
        <v>1.591</v>
      </c>
      <c r="M237" s="200">
        <f t="shared" si="12"/>
        <v>68.409000000000006</v>
      </c>
      <c r="N237" s="199">
        <f t="shared" si="13"/>
        <v>2.2728571428571428E-2</v>
      </c>
    </row>
    <row r="238" spans="1:14">
      <c r="A238" s="274" t="s">
        <v>689</v>
      </c>
      <c r="B238" s="198" t="s">
        <v>331</v>
      </c>
      <c r="C238" s="124">
        <v>44622</v>
      </c>
      <c r="D238" s="284">
        <v>544</v>
      </c>
      <c r="E238" s="274" t="s">
        <v>670</v>
      </c>
      <c r="F238" s="198" t="s">
        <v>342</v>
      </c>
      <c r="G238" s="198" t="s">
        <v>646</v>
      </c>
      <c r="H238" s="147">
        <v>961061</v>
      </c>
      <c r="I238" s="118"/>
      <c r="J238" s="198" t="s">
        <v>191</v>
      </c>
      <c r="K238" s="108">
        <v>30</v>
      </c>
      <c r="L238" s="82">
        <v>58.093000000000004</v>
      </c>
      <c r="M238" s="200">
        <f t="shared" si="12"/>
        <v>-28.093000000000004</v>
      </c>
      <c r="N238" s="199">
        <f t="shared" si="13"/>
        <v>1.9364333333333335</v>
      </c>
    </row>
    <row r="239" spans="1:14">
      <c r="A239" s="274" t="s">
        <v>689</v>
      </c>
      <c r="B239" s="198" t="s">
        <v>331</v>
      </c>
      <c r="C239" s="124">
        <v>44622</v>
      </c>
      <c r="D239" s="284">
        <v>544</v>
      </c>
      <c r="E239" s="274" t="s">
        <v>670</v>
      </c>
      <c r="F239" s="198" t="s">
        <v>342</v>
      </c>
      <c r="G239" s="147" t="s">
        <v>646</v>
      </c>
      <c r="H239" s="147">
        <v>961061</v>
      </c>
      <c r="I239" s="118"/>
      <c r="J239" s="198" t="s">
        <v>192</v>
      </c>
      <c r="K239" s="108">
        <v>70</v>
      </c>
      <c r="L239" s="82">
        <v>41.472999999999999</v>
      </c>
      <c r="M239" s="200">
        <f t="shared" si="12"/>
        <v>28.527000000000001</v>
      </c>
      <c r="N239" s="199">
        <f t="shared" si="13"/>
        <v>0.59247142857142854</v>
      </c>
    </row>
    <row r="240" spans="1:14">
      <c r="A240" s="274" t="s">
        <v>689</v>
      </c>
      <c r="B240" s="198" t="s">
        <v>331</v>
      </c>
      <c r="C240" s="124">
        <v>44622</v>
      </c>
      <c r="D240" s="284">
        <v>544</v>
      </c>
      <c r="E240" s="274" t="s">
        <v>670</v>
      </c>
      <c r="F240" s="198" t="s">
        <v>342</v>
      </c>
      <c r="G240" s="198" t="s">
        <v>379</v>
      </c>
      <c r="H240" s="147">
        <v>955079</v>
      </c>
      <c r="I240" s="118"/>
      <c r="J240" s="198" t="s">
        <v>191</v>
      </c>
      <c r="K240" s="108">
        <v>30</v>
      </c>
      <c r="L240" s="82">
        <v>80.352000000000004</v>
      </c>
      <c r="M240" s="200">
        <f t="shared" si="12"/>
        <v>-50.352000000000004</v>
      </c>
      <c r="N240" s="199">
        <f t="shared" si="13"/>
        <v>2.6784000000000003</v>
      </c>
    </row>
    <row r="241" spans="1:14">
      <c r="A241" s="274" t="s">
        <v>689</v>
      </c>
      <c r="B241" s="198" t="s">
        <v>331</v>
      </c>
      <c r="C241" s="124">
        <v>44622</v>
      </c>
      <c r="D241" s="284">
        <v>544</v>
      </c>
      <c r="E241" s="274" t="s">
        <v>670</v>
      </c>
      <c r="F241" s="198" t="s">
        <v>342</v>
      </c>
      <c r="G241" s="147" t="s">
        <v>379</v>
      </c>
      <c r="H241" s="147">
        <v>955079</v>
      </c>
      <c r="I241" s="118"/>
      <c r="J241" s="198" t="s">
        <v>192</v>
      </c>
      <c r="K241" s="108">
        <v>70</v>
      </c>
      <c r="L241" s="82">
        <v>14.156000000000001</v>
      </c>
      <c r="M241" s="200">
        <f t="shared" si="12"/>
        <v>55.844000000000001</v>
      </c>
      <c r="N241" s="199">
        <f t="shared" si="13"/>
        <v>0.20222857142857142</v>
      </c>
    </row>
    <row r="242" spans="1:14">
      <c r="A242" s="198" t="s">
        <v>647</v>
      </c>
      <c r="B242" s="198" t="s">
        <v>335</v>
      </c>
      <c r="C242" s="124">
        <v>44622</v>
      </c>
      <c r="D242" s="147">
        <v>545</v>
      </c>
      <c r="E242" s="274" t="s">
        <v>670</v>
      </c>
      <c r="F242" s="198" t="s">
        <v>333</v>
      </c>
      <c r="G242" s="198" t="s">
        <v>648</v>
      </c>
      <c r="H242" s="147">
        <v>968933</v>
      </c>
      <c r="I242" s="118"/>
      <c r="J242" s="198" t="s">
        <v>191</v>
      </c>
      <c r="K242" s="560">
        <v>23.89</v>
      </c>
      <c r="L242" s="82">
        <v>16.898</v>
      </c>
      <c r="M242" s="562">
        <f>K242-(L242+L243)</f>
        <v>6.9920000000000009</v>
      </c>
      <c r="N242" s="564">
        <f>(L242+L243)/K242</f>
        <v>0.70732524068647962</v>
      </c>
    </row>
    <row r="243" spans="1:14">
      <c r="A243" s="198" t="s">
        <v>647</v>
      </c>
      <c r="B243" s="198" t="s">
        <v>335</v>
      </c>
      <c r="C243" s="124">
        <v>44622</v>
      </c>
      <c r="D243" s="368">
        <v>545</v>
      </c>
      <c r="E243" s="274" t="s">
        <v>670</v>
      </c>
      <c r="F243" s="198" t="s">
        <v>333</v>
      </c>
      <c r="G243" s="198" t="s">
        <v>649</v>
      </c>
      <c r="H243" s="147">
        <v>968249</v>
      </c>
      <c r="I243" s="118"/>
      <c r="J243" s="198" t="s">
        <v>191</v>
      </c>
      <c r="K243" s="561"/>
      <c r="L243" s="82"/>
      <c r="M243" s="563"/>
      <c r="N243" s="565"/>
    </row>
    <row r="244" spans="1:14">
      <c r="A244" s="198" t="s">
        <v>647</v>
      </c>
      <c r="B244" s="198" t="s">
        <v>335</v>
      </c>
      <c r="C244" s="124">
        <v>44622</v>
      </c>
      <c r="D244" s="368">
        <v>545</v>
      </c>
      <c r="E244" s="274" t="s">
        <v>670</v>
      </c>
      <c r="F244" s="198" t="s">
        <v>333</v>
      </c>
      <c r="G244" s="198" t="s">
        <v>648</v>
      </c>
      <c r="H244" s="198">
        <v>968933</v>
      </c>
      <c r="I244" s="118"/>
      <c r="J244" s="198" t="s">
        <v>192</v>
      </c>
      <c r="K244" s="560">
        <v>26.11</v>
      </c>
      <c r="L244" s="82">
        <v>18.988</v>
      </c>
      <c r="M244" s="562">
        <f>K244-(L244+L245)</f>
        <v>7.1219999999999999</v>
      </c>
      <c r="N244" s="564">
        <f>(L244+L245)/K244</f>
        <v>0.72723094599770199</v>
      </c>
    </row>
    <row r="245" spans="1:14">
      <c r="A245" s="198" t="s">
        <v>647</v>
      </c>
      <c r="B245" s="198" t="s">
        <v>335</v>
      </c>
      <c r="C245" s="124">
        <v>44622</v>
      </c>
      <c r="D245" s="368">
        <v>545</v>
      </c>
      <c r="E245" s="274" t="s">
        <v>670</v>
      </c>
      <c r="F245" s="198" t="s">
        <v>333</v>
      </c>
      <c r="G245" s="198" t="s">
        <v>649</v>
      </c>
      <c r="H245" s="198">
        <v>968249</v>
      </c>
      <c r="I245" s="118"/>
      <c r="J245" s="198" t="s">
        <v>192</v>
      </c>
      <c r="K245" s="561"/>
      <c r="L245" s="82"/>
      <c r="M245" s="563"/>
      <c r="N245" s="565"/>
    </row>
    <row r="246" spans="1:14">
      <c r="A246" s="237" t="s">
        <v>652</v>
      </c>
      <c r="B246" s="237" t="s">
        <v>335</v>
      </c>
      <c r="C246" s="124">
        <v>44624</v>
      </c>
      <c r="D246" s="147">
        <v>15</v>
      </c>
      <c r="E246" s="237" t="s">
        <v>332</v>
      </c>
      <c r="F246" s="237" t="s">
        <v>333</v>
      </c>
      <c r="G246" s="237" t="s">
        <v>500</v>
      </c>
      <c r="H246" s="147">
        <v>966875</v>
      </c>
      <c r="I246" s="118"/>
      <c r="J246" s="274" t="s">
        <v>191</v>
      </c>
      <c r="K246" s="560">
        <v>100</v>
      </c>
      <c r="L246" s="82"/>
      <c r="M246" s="562">
        <f>K246-(L246+L247)</f>
        <v>100</v>
      </c>
      <c r="N246" s="564">
        <f>(L246+L247)/K246</f>
        <v>0</v>
      </c>
    </row>
    <row r="247" spans="1:14">
      <c r="A247" s="237" t="s">
        <v>652</v>
      </c>
      <c r="B247" s="237" t="s">
        <v>335</v>
      </c>
      <c r="C247" s="124">
        <v>44624</v>
      </c>
      <c r="D247" s="147">
        <v>15</v>
      </c>
      <c r="E247" s="237" t="s">
        <v>332</v>
      </c>
      <c r="F247" s="237" t="s">
        <v>333</v>
      </c>
      <c r="G247" s="237" t="s">
        <v>490</v>
      </c>
      <c r="H247" s="147">
        <v>958905</v>
      </c>
      <c r="I247" s="118"/>
      <c r="J247" s="274" t="s">
        <v>191</v>
      </c>
      <c r="K247" s="561"/>
      <c r="L247" s="82"/>
      <c r="M247" s="563"/>
      <c r="N247" s="565"/>
    </row>
    <row r="248" spans="1:14">
      <c r="A248" s="237" t="s">
        <v>652</v>
      </c>
      <c r="B248" s="237" t="s">
        <v>335</v>
      </c>
      <c r="C248" s="124">
        <v>44624</v>
      </c>
      <c r="D248" s="237">
        <v>15</v>
      </c>
      <c r="E248" s="237" t="s">
        <v>332</v>
      </c>
      <c r="F248" s="237" t="s">
        <v>333</v>
      </c>
      <c r="G248" s="237" t="s">
        <v>500</v>
      </c>
      <c r="H248" s="237">
        <v>966875</v>
      </c>
      <c r="I248" s="118"/>
      <c r="J248" s="274" t="s">
        <v>192</v>
      </c>
      <c r="K248" s="560">
        <v>205</v>
      </c>
      <c r="L248" s="82"/>
      <c r="M248" s="562">
        <f>K248-(L248+L249)</f>
        <v>205</v>
      </c>
      <c r="N248" s="564">
        <f>(L248+L249)/K248</f>
        <v>0</v>
      </c>
    </row>
    <row r="249" spans="1:14">
      <c r="A249" s="237" t="s">
        <v>652</v>
      </c>
      <c r="B249" s="237" t="s">
        <v>335</v>
      </c>
      <c r="C249" s="124">
        <v>44624</v>
      </c>
      <c r="D249" s="237">
        <v>15</v>
      </c>
      <c r="E249" s="237" t="s">
        <v>332</v>
      </c>
      <c r="F249" s="237" t="s">
        <v>333</v>
      </c>
      <c r="G249" s="237" t="s">
        <v>490</v>
      </c>
      <c r="H249" s="237">
        <v>958905</v>
      </c>
      <c r="I249" s="118"/>
      <c r="J249" s="274" t="s">
        <v>192</v>
      </c>
      <c r="K249" s="561"/>
      <c r="L249" s="82"/>
      <c r="M249" s="563"/>
      <c r="N249" s="565"/>
    </row>
    <row r="250" spans="1:14">
      <c r="A250" s="237" t="s">
        <v>653</v>
      </c>
      <c r="B250" s="237" t="s">
        <v>331</v>
      </c>
      <c r="C250" s="124">
        <v>44624</v>
      </c>
      <c r="D250" s="147">
        <v>17</v>
      </c>
      <c r="E250" s="237" t="s">
        <v>332</v>
      </c>
      <c r="F250" s="237" t="s">
        <v>333</v>
      </c>
      <c r="G250" s="283" t="s">
        <v>412</v>
      </c>
      <c r="H250" s="147">
        <v>968726</v>
      </c>
      <c r="I250" s="118"/>
      <c r="J250" s="237" t="s">
        <v>191</v>
      </c>
      <c r="K250" s="108">
        <v>26.8</v>
      </c>
      <c r="L250" s="82">
        <v>42.448</v>
      </c>
      <c r="M250" s="238">
        <f t="shared" ref="M250" si="14">K250-L250</f>
        <v>-15.648</v>
      </c>
      <c r="N250" s="239">
        <f t="shared" ref="N250" si="15">L250/K250</f>
        <v>1.5838805970149255</v>
      </c>
    </row>
    <row r="251" spans="1:14">
      <c r="A251" s="237" t="s">
        <v>653</v>
      </c>
      <c r="B251" s="237" t="s">
        <v>331</v>
      </c>
      <c r="C251" s="124">
        <v>44624</v>
      </c>
      <c r="D251" s="147">
        <v>17</v>
      </c>
      <c r="E251" s="237" t="s">
        <v>332</v>
      </c>
      <c r="F251" s="237" t="s">
        <v>333</v>
      </c>
      <c r="G251" s="283" t="s">
        <v>412</v>
      </c>
      <c r="H251" s="147">
        <v>968726</v>
      </c>
      <c r="I251" s="118"/>
      <c r="J251" s="237" t="s">
        <v>192</v>
      </c>
      <c r="K251" s="108">
        <v>50.2</v>
      </c>
      <c r="L251" s="82">
        <v>34.552</v>
      </c>
      <c r="M251" s="238">
        <f t="shared" ref="M251" si="16">K251-L251</f>
        <v>15.648000000000003</v>
      </c>
      <c r="N251" s="239">
        <f t="shared" ref="N251" si="17">L251/K251</f>
        <v>0.6882868525896414</v>
      </c>
    </row>
    <row r="252" spans="1:14">
      <c r="A252" s="240" t="s">
        <v>656</v>
      </c>
      <c r="B252" s="240" t="s">
        <v>331</v>
      </c>
      <c r="C252" s="124">
        <v>44628</v>
      </c>
      <c r="D252" s="147">
        <v>18</v>
      </c>
      <c r="E252" s="240" t="s">
        <v>332</v>
      </c>
      <c r="F252" s="240" t="s">
        <v>333</v>
      </c>
      <c r="G252" s="390" t="s">
        <v>657</v>
      </c>
      <c r="H252" s="147">
        <v>968886</v>
      </c>
      <c r="I252" s="118"/>
      <c r="J252" s="240" t="s">
        <v>191</v>
      </c>
      <c r="K252" s="108">
        <v>20</v>
      </c>
      <c r="L252" s="82">
        <v>13.917</v>
      </c>
      <c r="M252" s="241">
        <f t="shared" ref="M252:M271" si="18">K252-L252</f>
        <v>6.0830000000000002</v>
      </c>
      <c r="N252" s="242">
        <f t="shared" ref="N252:N271" si="19">L252/K252</f>
        <v>0.69584999999999997</v>
      </c>
    </row>
    <row r="253" spans="1:14">
      <c r="A253" s="240" t="s">
        <v>656</v>
      </c>
      <c r="B253" s="240" t="s">
        <v>331</v>
      </c>
      <c r="C253" s="124">
        <v>44628</v>
      </c>
      <c r="D253" s="147">
        <v>18</v>
      </c>
      <c r="E253" s="240" t="s">
        <v>332</v>
      </c>
      <c r="F253" s="240" t="s">
        <v>333</v>
      </c>
      <c r="G253" s="240" t="s">
        <v>657</v>
      </c>
      <c r="H253" s="147">
        <v>968886</v>
      </c>
      <c r="I253" s="118"/>
      <c r="J253" s="240" t="s">
        <v>192</v>
      </c>
      <c r="K253" s="108">
        <v>55</v>
      </c>
      <c r="L253" s="82">
        <v>23.850999999999999</v>
      </c>
      <c r="M253" s="241">
        <f t="shared" si="18"/>
        <v>31.149000000000001</v>
      </c>
      <c r="N253" s="242">
        <f t="shared" si="19"/>
        <v>0.43365454545454546</v>
      </c>
    </row>
    <row r="254" spans="1:14">
      <c r="A254" s="240" t="s">
        <v>658</v>
      </c>
      <c r="B254" s="240" t="s">
        <v>331</v>
      </c>
      <c r="C254" s="124">
        <v>44628</v>
      </c>
      <c r="D254" s="147">
        <v>19</v>
      </c>
      <c r="E254" s="240" t="s">
        <v>332</v>
      </c>
      <c r="F254" s="240" t="s">
        <v>333</v>
      </c>
      <c r="G254" s="240" t="s">
        <v>385</v>
      </c>
      <c r="H254" s="147">
        <v>698133</v>
      </c>
      <c r="I254" s="118"/>
      <c r="J254" s="240" t="s">
        <v>191</v>
      </c>
      <c r="K254" s="108">
        <v>100</v>
      </c>
      <c r="L254" s="82">
        <v>180.54900000000001</v>
      </c>
      <c r="M254" s="149">
        <f t="shared" si="18"/>
        <v>-80.549000000000007</v>
      </c>
      <c r="N254" s="148">
        <f t="shared" si="19"/>
        <v>1.80549</v>
      </c>
    </row>
    <row r="255" spans="1:14">
      <c r="A255" s="240" t="s">
        <v>658</v>
      </c>
      <c r="B255" s="240" t="s">
        <v>331</v>
      </c>
      <c r="C255" s="124">
        <v>44628</v>
      </c>
      <c r="D255" s="147">
        <v>19</v>
      </c>
      <c r="E255" s="240" t="s">
        <v>332</v>
      </c>
      <c r="F255" s="240" t="s">
        <v>333</v>
      </c>
      <c r="G255" s="240" t="s">
        <v>385</v>
      </c>
      <c r="H255" s="147">
        <v>698133</v>
      </c>
      <c r="I255" s="118"/>
      <c r="J255" s="240" t="s">
        <v>192</v>
      </c>
      <c r="K255" s="108">
        <v>400</v>
      </c>
      <c r="L255" s="82">
        <v>257.16300000000001</v>
      </c>
      <c r="M255" s="149">
        <f t="shared" si="18"/>
        <v>142.83699999999999</v>
      </c>
      <c r="N255" s="148">
        <f t="shared" si="19"/>
        <v>0.64290750000000008</v>
      </c>
    </row>
    <row r="256" spans="1:14">
      <c r="A256" s="274" t="s">
        <v>689</v>
      </c>
      <c r="B256" s="250" t="s">
        <v>331</v>
      </c>
      <c r="C256" s="124">
        <v>44628</v>
      </c>
      <c r="D256" s="147">
        <v>607</v>
      </c>
      <c r="E256" s="274" t="s">
        <v>670</v>
      </c>
      <c r="F256" s="250" t="s">
        <v>342</v>
      </c>
      <c r="G256" s="250" t="s">
        <v>659</v>
      </c>
      <c r="H256" s="250">
        <v>963562</v>
      </c>
      <c r="I256" s="118"/>
      <c r="J256" s="250" t="s">
        <v>191</v>
      </c>
      <c r="K256" s="108">
        <v>45</v>
      </c>
      <c r="L256" s="82"/>
      <c r="M256" s="149">
        <f t="shared" si="18"/>
        <v>45</v>
      </c>
      <c r="N256" s="148">
        <f t="shared" si="19"/>
        <v>0</v>
      </c>
    </row>
    <row r="257" spans="1:14">
      <c r="A257" s="274" t="s">
        <v>689</v>
      </c>
      <c r="B257" s="250" t="s">
        <v>331</v>
      </c>
      <c r="C257" s="124">
        <v>44628</v>
      </c>
      <c r="D257" s="250">
        <v>607</v>
      </c>
      <c r="E257" s="274" t="s">
        <v>670</v>
      </c>
      <c r="F257" s="250" t="s">
        <v>342</v>
      </c>
      <c r="G257" s="250" t="s">
        <v>659</v>
      </c>
      <c r="H257" s="250">
        <v>963562</v>
      </c>
      <c r="I257" s="118"/>
      <c r="J257" s="250" t="s">
        <v>192</v>
      </c>
      <c r="K257" s="108">
        <v>100</v>
      </c>
      <c r="L257" s="82"/>
      <c r="M257" s="149">
        <f>K257-L257</f>
        <v>100</v>
      </c>
      <c r="N257" s="148">
        <f>L257/K257</f>
        <v>0</v>
      </c>
    </row>
    <row r="258" spans="1:14">
      <c r="A258" s="274" t="s">
        <v>689</v>
      </c>
      <c r="B258" s="250" t="s">
        <v>331</v>
      </c>
      <c r="C258" s="124">
        <v>44628</v>
      </c>
      <c r="D258" s="250">
        <v>607</v>
      </c>
      <c r="E258" s="274" t="s">
        <v>670</v>
      </c>
      <c r="F258" s="250" t="s">
        <v>342</v>
      </c>
      <c r="G258" s="250" t="s">
        <v>485</v>
      </c>
      <c r="H258" s="147">
        <v>952345</v>
      </c>
      <c r="I258" s="118"/>
      <c r="J258" s="250" t="s">
        <v>191</v>
      </c>
      <c r="K258" s="108">
        <v>45</v>
      </c>
      <c r="L258" s="82">
        <f>61.227+37.08</f>
        <v>98.306999999999988</v>
      </c>
      <c r="M258" s="149">
        <f t="shared" si="18"/>
        <v>-53.306999999999988</v>
      </c>
      <c r="N258" s="148">
        <f t="shared" si="19"/>
        <v>2.1845999999999997</v>
      </c>
    </row>
    <row r="259" spans="1:14">
      <c r="A259" s="274" t="s">
        <v>689</v>
      </c>
      <c r="B259" s="250" t="s">
        <v>331</v>
      </c>
      <c r="C259" s="124">
        <v>44628</v>
      </c>
      <c r="D259" s="250">
        <v>607</v>
      </c>
      <c r="E259" s="274" t="s">
        <v>670</v>
      </c>
      <c r="F259" s="250" t="s">
        <v>342</v>
      </c>
      <c r="G259" s="250" t="s">
        <v>485</v>
      </c>
      <c r="H259" s="250">
        <v>952345</v>
      </c>
      <c r="I259" s="118"/>
      <c r="J259" s="250" t="s">
        <v>192</v>
      </c>
      <c r="K259" s="108">
        <v>100</v>
      </c>
      <c r="L259" s="82">
        <v>11.257</v>
      </c>
      <c r="M259" s="149">
        <f>K259-L259</f>
        <v>88.742999999999995</v>
      </c>
      <c r="N259" s="148">
        <f>L259/K259</f>
        <v>0.11257</v>
      </c>
    </row>
    <row r="260" spans="1:14">
      <c r="A260" s="274" t="s">
        <v>689</v>
      </c>
      <c r="B260" s="250" t="s">
        <v>331</v>
      </c>
      <c r="C260" s="124">
        <v>44628</v>
      </c>
      <c r="D260" s="250">
        <v>607</v>
      </c>
      <c r="E260" s="274" t="s">
        <v>670</v>
      </c>
      <c r="F260" s="250" t="s">
        <v>342</v>
      </c>
      <c r="G260" s="250" t="s">
        <v>404</v>
      </c>
      <c r="H260" s="147">
        <v>967906</v>
      </c>
      <c r="I260" s="118"/>
      <c r="J260" s="250" t="s">
        <v>191</v>
      </c>
      <c r="K260" s="108">
        <v>50</v>
      </c>
      <c r="L260" s="82">
        <f>36.115+46.778</f>
        <v>82.893000000000001</v>
      </c>
      <c r="M260" s="149">
        <f t="shared" si="18"/>
        <v>-32.893000000000001</v>
      </c>
      <c r="N260" s="148">
        <f t="shared" si="19"/>
        <v>1.6578600000000001</v>
      </c>
    </row>
    <row r="261" spans="1:14">
      <c r="A261" s="274" t="s">
        <v>689</v>
      </c>
      <c r="B261" s="250" t="s">
        <v>331</v>
      </c>
      <c r="C261" s="124">
        <v>44628</v>
      </c>
      <c r="D261" s="250">
        <v>607</v>
      </c>
      <c r="E261" s="274" t="s">
        <v>670</v>
      </c>
      <c r="F261" s="250" t="s">
        <v>342</v>
      </c>
      <c r="G261" s="250" t="s">
        <v>404</v>
      </c>
      <c r="H261" s="250">
        <v>967906</v>
      </c>
      <c r="I261" s="118"/>
      <c r="J261" s="250" t="s">
        <v>192</v>
      </c>
      <c r="K261" s="108">
        <v>90</v>
      </c>
      <c r="L261" s="82">
        <v>57.098999999999997</v>
      </c>
      <c r="M261" s="149">
        <f>K261-L261</f>
        <v>32.901000000000003</v>
      </c>
      <c r="N261" s="148">
        <f>L261/K261</f>
        <v>0.63443333333333329</v>
      </c>
    </row>
    <row r="262" spans="1:14">
      <c r="A262" s="274" t="s">
        <v>689</v>
      </c>
      <c r="B262" s="250" t="s">
        <v>331</v>
      </c>
      <c r="C262" s="124">
        <v>44628</v>
      </c>
      <c r="D262" s="250">
        <v>607</v>
      </c>
      <c r="E262" s="274" t="s">
        <v>670</v>
      </c>
      <c r="F262" s="250" t="s">
        <v>342</v>
      </c>
      <c r="G262" s="250" t="s">
        <v>660</v>
      </c>
      <c r="H262" s="147">
        <v>968435</v>
      </c>
      <c r="I262" s="118"/>
      <c r="J262" s="250" t="s">
        <v>191</v>
      </c>
      <c r="K262" s="108">
        <v>50</v>
      </c>
      <c r="L262" s="82">
        <f>19.141+52.005</f>
        <v>71.146000000000001</v>
      </c>
      <c r="M262" s="149">
        <f t="shared" si="18"/>
        <v>-21.146000000000001</v>
      </c>
      <c r="N262" s="148">
        <f t="shared" si="19"/>
        <v>1.42292</v>
      </c>
    </row>
    <row r="263" spans="1:14">
      <c r="A263" s="274" t="s">
        <v>689</v>
      </c>
      <c r="B263" s="250" t="s">
        <v>331</v>
      </c>
      <c r="C263" s="124">
        <v>44628</v>
      </c>
      <c r="D263" s="250">
        <v>607</v>
      </c>
      <c r="E263" s="274" t="s">
        <v>670</v>
      </c>
      <c r="F263" s="250" t="s">
        <v>342</v>
      </c>
      <c r="G263" s="250" t="s">
        <v>660</v>
      </c>
      <c r="H263" s="250">
        <v>968435</v>
      </c>
      <c r="I263" s="118"/>
      <c r="J263" s="250" t="s">
        <v>192</v>
      </c>
      <c r="K263" s="108">
        <v>90</v>
      </c>
      <c r="L263" s="82">
        <v>68.853999999999999</v>
      </c>
      <c r="M263" s="149">
        <f>K263-L263</f>
        <v>21.146000000000001</v>
      </c>
      <c r="N263" s="148">
        <f>L263/K263</f>
        <v>0.76504444444444442</v>
      </c>
    </row>
    <row r="264" spans="1:14">
      <c r="A264" s="274" t="s">
        <v>689</v>
      </c>
      <c r="B264" s="250" t="s">
        <v>331</v>
      </c>
      <c r="C264" s="124">
        <v>44628</v>
      </c>
      <c r="D264" s="250">
        <v>607</v>
      </c>
      <c r="E264" s="274" t="s">
        <v>670</v>
      </c>
      <c r="F264" s="250" t="s">
        <v>342</v>
      </c>
      <c r="G264" s="283" t="s">
        <v>442</v>
      </c>
      <c r="H264" s="147">
        <v>952321</v>
      </c>
      <c r="I264" s="118"/>
      <c r="J264" s="250" t="s">
        <v>191</v>
      </c>
      <c r="K264" s="108">
        <v>45</v>
      </c>
      <c r="L264" s="82">
        <f>7.083+92.844</f>
        <v>99.926999999999992</v>
      </c>
      <c r="M264" s="149">
        <f t="shared" si="18"/>
        <v>-54.926999999999992</v>
      </c>
      <c r="N264" s="148">
        <f t="shared" si="19"/>
        <v>2.2205999999999997</v>
      </c>
    </row>
    <row r="265" spans="1:14">
      <c r="A265" s="274" t="s">
        <v>689</v>
      </c>
      <c r="B265" s="250" t="s">
        <v>331</v>
      </c>
      <c r="C265" s="124">
        <v>44628</v>
      </c>
      <c r="D265" s="250">
        <v>607</v>
      </c>
      <c r="E265" s="274" t="s">
        <v>670</v>
      </c>
      <c r="F265" s="250" t="s">
        <v>342</v>
      </c>
      <c r="G265" s="283" t="s">
        <v>442</v>
      </c>
      <c r="H265" s="250">
        <v>952321</v>
      </c>
      <c r="I265" s="118"/>
      <c r="J265" s="250" t="s">
        <v>192</v>
      </c>
      <c r="K265" s="108">
        <v>100</v>
      </c>
      <c r="L265" s="82">
        <v>43.98</v>
      </c>
      <c r="M265" s="149">
        <f>K265-L265</f>
        <v>56.02</v>
      </c>
      <c r="N265" s="148">
        <f>L265/K265</f>
        <v>0.43979999999999997</v>
      </c>
    </row>
    <row r="266" spans="1:14">
      <c r="A266" s="274" t="s">
        <v>689</v>
      </c>
      <c r="B266" s="250" t="s">
        <v>331</v>
      </c>
      <c r="C266" s="124">
        <v>44628</v>
      </c>
      <c r="D266" s="250">
        <v>607</v>
      </c>
      <c r="E266" s="274" t="s">
        <v>670</v>
      </c>
      <c r="F266" s="250" t="s">
        <v>342</v>
      </c>
      <c r="G266" s="250" t="s">
        <v>508</v>
      </c>
      <c r="H266" s="147">
        <v>697362</v>
      </c>
      <c r="I266" s="118"/>
      <c r="J266" s="250" t="s">
        <v>191</v>
      </c>
      <c r="K266" s="108">
        <v>50</v>
      </c>
      <c r="L266" s="82">
        <f>68.332+25.006</f>
        <v>93.337999999999994</v>
      </c>
      <c r="M266" s="149">
        <f t="shared" si="18"/>
        <v>-43.337999999999994</v>
      </c>
      <c r="N266" s="148">
        <f t="shared" si="19"/>
        <v>1.86676</v>
      </c>
    </row>
    <row r="267" spans="1:14">
      <c r="A267" s="274" t="s">
        <v>689</v>
      </c>
      <c r="B267" s="250" t="s">
        <v>331</v>
      </c>
      <c r="C267" s="124">
        <v>44628</v>
      </c>
      <c r="D267" s="250">
        <v>607</v>
      </c>
      <c r="E267" s="274" t="s">
        <v>670</v>
      </c>
      <c r="F267" s="250" t="s">
        <v>342</v>
      </c>
      <c r="G267" s="250" t="s">
        <v>508</v>
      </c>
      <c r="H267" s="250">
        <v>697362</v>
      </c>
      <c r="I267" s="118"/>
      <c r="J267" s="250" t="s">
        <v>192</v>
      </c>
      <c r="K267" s="108">
        <v>90</v>
      </c>
      <c r="L267" s="82">
        <v>42.584000000000003</v>
      </c>
      <c r="M267" s="149">
        <f>K267-L267</f>
        <v>47.415999999999997</v>
      </c>
      <c r="N267" s="148">
        <f>L267/K267</f>
        <v>0.47315555555555561</v>
      </c>
    </row>
    <row r="268" spans="1:14">
      <c r="A268" s="274" t="s">
        <v>689</v>
      </c>
      <c r="B268" s="250" t="s">
        <v>331</v>
      </c>
      <c r="C268" s="124">
        <v>44628</v>
      </c>
      <c r="D268" s="250">
        <v>607</v>
      </c>
      <c r="E268" s="274" t="s">
        <v>670</v>
      </c>
      <c r="F268" s="250" t="s">
        <v>342</v>
      </c>
      <c r="G268" s="250" t="s">
        <v>510</v>
      </c>
      <c r="H268" s="147">
        <v>951498</v>
      </c>
      <c r="I268" s="118"/>
      <c r="J268" s="250" t="s">
        <v>191</v>
      </c>
      <c r="K268" s="108">
        <v>45</v>
      </c>
      <c r="L268" s="82"/>
      <c r="M268" s="149">
        <f t="shared" si="18"/>
        <v>45</v>
      </c>
      <c r="N268" s="148">
        <f t="shared" si="19"/>
        <v>0</v>
      </c>
    </row>
    <row r="269" spans="1:14">
      <c r="A269" s="274" t="s">
        <v>689</v>
      </c>
      <c r="B269" s="250" t="s">
        <v>331</v>
      </c>
      <c r="C269" s="124">
        <v>44628</v>
      </c>
      <c r="D269" s="250">
        <v>607</v>
      </c>
      <c r="E269" s="274" t="s">
        <v>670</v>
      </c>
      <c r="F269" s="250" t="s">
        <v>342</v>
      </c>
      <c r="G269" s="250" t="s">
        <v>510</v>
      </c>
      <c r="H269" s="250">
        <v>951498</v>
      </c>
      <c r="I269" s="118"/>
      <c r="J269" s="250" t="s">
        <v>192</v>
      </c>
      <c r="K269" s="108">
        <v>100</v>
      </c>
      <c r="L269" s="82"/>
      <c r="M269" s="149">
        <f>K269-L269</f>
        <v>100</v>
      </c>
      <c r="N269" s="148">
        <f>L269/K269</f>
        <v>0</v>
      </c>
    </row>
    <row r="270" spans="1:14">
      <c r="A270" s="274" t="s">
        <v>689</v>
      </c>
      <c r="B270" s="250" t="s">
        <v>331</v>
      </c>
      <c r="C270" s="124">
        <v>44628</v>
      </c>
      <c r="D270" s="250">
        <v>607</v>
      </c>
      <c r="E270" s="274" t="s">
        <v>670</v>
      </c>
      <c r="F270" s="250" t="s">
        <v>342</v>
      </c>
      <c r="G270" s="283" t="s">
        <v>700</v>
      </c>
      <c r="H270" s="147">
        <v>953555</v>
      </c>
      <c r="I270" s="118"/>
      <c r="J270" s="250" t="s">
        <v>191</v>
      </c>
      <c r="K270" s="108">
        <v>45</v>
      </c>
      <c r="L270" s="82">
        <f>26.898+89.062</f>
        <v>115.96</v>
      </c>
      <c r="M270" s="149">
        <f t="shared" si="18"/>
        <v>-70.959999999999994</v>
      </c>
      <c r="N270" s="148">
        <f t="shared" si="19"/>
        <v>2.5768888888888886</v>
      </c>
    </row>
    <row r="271" spans="1:14">
      <c r="A271" s="274" t="s">
        <v>689</v>
      </c>
      <c r="B271" s="250" t="s">
        <v>331</v>
      </c>
      <c r="C271" s="124">
        <v>44628</v>
      </c>
      <c r="D271" s="250">
        <v>607</v>
      </c>
      <c r="E271" s="274" t="s">
        <v>670</v>
      </c>
      <c r="F271" s="250" t="s">
        <v>342</v>
      </c>
      <c r="G271" s="283" t="s">
        <v>700</v>
      </c>
      <c r="H271" s="250">
        <v>953555</v>
      </c>
      <c r="I271" s="118"/>
      <c r="J271" s="250" t="s">
        <v>192</v>
      </c>
      <c r="K271" s="108">
        <v>100</v>
      </c>
      <c r="L271" s="82">
        <v>28.940999999999999</v>
      </c>
      <c r="M271" s="149">
        <f t="shared" si="18"/>
        <v>71.058999999999997</v>
      </c>
      <c r="N271" s="148">
        <f t="shared" si="19"/>
        <v>0.28941</v>
      </c>
    </row>
    <row r="272" spans="1:14">
      <c r="A272" s="274" t="s">
        <v>689</v>
      </c>
      <c r="B272" s="250" t="s">
        <v>335</v>
      </c>
      <c r="C272" s="124">
        <v>44628</v>
      </c>
      <c r="D272" s="147">
        <v>608</v>
      </c>
      <c r="E272" s="274" t="s">
        <v>670</v>
      </c>
      <c r="F272" s="250" t="s">
        <v>342</v>
      </c>
      <c r="G272" s="118" t="s">
        <v>543</v>
      </c>
      <c r="H272" s="147">
        <v>959209</v>
      </c>
      <c r="I272" s="118"/>
      <c r="J272" s="274" t="s">
        <v>191</v>
      </c>
      <c r="K272" s="560">
        <v>273</v>
      </c>
      <c r="L272" s="82">
        <v>123.59099999999999</v>
      </c>
      <c r="M272" s="562">
        <f>K272-(L272+L273+L274+L275)</f>
        <v>-292.96100000000001</v>
      </c>
      <c r="N272" s="564">
        <f>(L272+L273+L274+L275)/K272</f>
        <v>2.073117216117216</v>
      </c>
    </row>
    <row r="273" spans="1:14">
      <c r="A273" s="274" t="s">
        <v>689</v>
      </c>
      <c r="B273" s="250" t="s">
        <v>335</v>
      </c>
      <c r="C273" s="124">
        <v>44628</v>
      </c>
      <c r="D273" s="147">
        <v>608</v>
      </c>
      <c r="E273" s="274" t="s">
        <v>670</v>
      </c>
      <c r="F273" s="250" t="s">
        <v>342</v>
      </c>
      <c r="G273" s="118" t="s">
        <v>544</v>
      </c>
      <c r="H273" s="147">
        <v>968857</v>
      </c>
      <c r="I273" s="118"/>
      <c r="J273" s="274" t="s">
        <v>191</v>
      </c>
      <c r="K273" s="566"/>
      <c r="L273" s="82">
        <v>155.71199999999999</v>
      </c>
      <c r="M273" s="567"/>
      <c r="N273" s="568"/>
    </row>
    <row r="274" spans="1:14">
      <c r="A274" s="274" t="s">
        <v>689</v>
      </c>
      <c r="B274" s="250" t="s">
        <v>335</v>
      </c>
      <c r="C274" s="124">
        <v>44628</v>
      </c>
      <c r="D274" s="250">
        <v>608</v>
      </c>
      <c r="E274" s="274" t="s">
        <v>670</v>
      </c>
      <c r="F274" s="250" t="s">
        <v>342</v>
      </c>
      <c r="G274" s="118" t="s">
        <v>545</v>
      </c>
      <c r="H274" s="147">
        <v>967454</v>
      </c>
      <c r="I274" s="118"/>
      <c r="J274" s="274" t="s">
        <v>191</v>
      </c>
      <c r="K274" s="566"/>
      <c r="L274" s="82">
        <v>149.30500000000001</v>
      </c>
      <c r="M274" s="567"/>
      <c r="N274" s="568"/>
    </row>
    <row r="275" spans="1:14">
      <c r="A275" s="274" t="s">
        <v>689</v>
      </c>
      <c r="B275" s="250" t="s">
        <v>335</v>
      </c>
      <c r="C275" s="124">
        <v>44628</v>
      </c>
      <c r="D275" s="250">
        <v>608</v>
      </c>
      <c r="E275" s="274" t="s">
        <v>670</v>
      </c>
      <c r="F275" s="250" t="s">
        <v>342</v>
      </c>
      <c r="G275" s="118" t="s">
        <v>546</v>
      </c>
      <c r="H275" s="147">
        <v>957536</v>
      </c>
      <c r="I275" s="118"/>
      <c r="J275" s="274" t="s">
        <v>191</v>
      </c>
      <c r="K275" s="561"/>
      <c r="L275" s="82">
        <v>137.35300000000001</v>
      </c>
      <c r="M275" s="563"/>
      <c r="N275" s="565"/>
    </row>
    <row r="276" spans="1:14">
      <c r="A276" s="274" t="s">
        <v>689</v>
      </c>
      <c r="B276" s="250" t="s">
        <v>335</v>
      </c>
      <c r="C276" s="124">
        <v>44628</v>
      </c>
      <c r="D276" s="250">
        <v>608</v>
      </c>
      <c r="E276" s="274" t="s">
        <v>670</v>
      </c>
      <c r="F276" s="250" t="s">
        <v>342</v>
      </c>
      <c r="G276" s="118" t="s">
        <v>543</v>
      </c>
      <c r="H276" s="250">
        <v>959209</v>
      </c>
      <c r="I276" s="118"/>
      <c r="J276" s="274" t="s">
        <v>192</v>
      </c>
      <c r="K276" s="560">
        <v>542</v>
      </c>
      <c r="L276" s="82">
        <v>81.409000000000006</v>
      </c>
      <c r="M276" s="562">
        <f>K276-(L276+L277+L278+L279)</f>
        <v>296.75800000000004</v>
      </c>
      <c r="N276" s="564">
        <f>(L276+L277+L278+L279)/K276</f>
        <v>0.45247601476014759</v>
      </c>
    </row>
    <row r="277" spans="1:14">
      <c r="A277" s="274" t="s">
        <v>689</v>
      </c>
      <c r="B277" s="250" t="s">
        <v>335</v>
      </c>
      <c r="C277" s="124">
        <v>44628</v>
      </c>
      <c r="D277" s="250">
        <v>608</v>
      </c>
      <c r="E277" s="274" t="s">
        <v>670</v>
      </c>
      <c r="F277" s="250" t="s">
        <v>342</v>
      </c>
      <c r="G277" s="118" t="s">
        <v>544</v>
      </c>
      <c r="H277" s="250">
        <v>968857</v>
      </c>
      <c r="I277" s="118"/>
      <c r="J277" s="274" t="s">
        <v>192</v>
      </c>
      <c r="K277" s="566"/>
      <c r="L277" s="82">
        <v>47.287999999999997</v>
      </c>
      <c r="M277" s="567"/>
      <c r="N277" s="568"/>
    </row>
    <row r="278" spans="1:14">
      <c r="A278" s="274" t="s">
        <v>689</v>
      </c>
      <c r="B278" s="250" t="s">
        <v>335</v>
      </c>
      <c r="C278" s="124">
        <v>44628</v>
      </c>
      <c r="D278" s="250">
        <v>608</v>
      </c>
      <c r="E278" s="274" t="s">
        <v>670</v>
      </c>
      <c r="F278" s="250" t="s">
        <v>342</v>
      </c>
      <c r="G278" s="118" t="s">
        <v>545</v>
      </c>
      <c r="H278" s="250">
        <v>967454</v>
      </c>
      <c r="I278" s="118"/>
      <c r="J278" s="274" t="s">
        <v>192</v>
      </c>
      <c r="K278" s="566"/>
      <c r="L278" s="82">
        <v>53.695</v>
      </c>
      <c r="M278" s="567"/>
      <c r="N278" s="568"/>
    </row>
    <row r="279" spans="1:14">
      <c r="A279" s="274" t="s">
        <v>689</v>
      </c>
      <c r="B279" s="250" t="s">
        <v>335</v>
      </c>
      <c r="C279" s="124">
        <v>44628</v>
      </c>
      <c r="D279" s="250">
        <v>608</v>
      </c>
      <c r="E279" s="274" t="s">
        <v>670</v>
      </c>
      <c r="F279" s="250" t="s">
        <v>342</v>
      </c>
      <c r="G279" s="118" t="s">
        <v>546</v>
      </c>
      <c r="H279" s="250">
        <v>957536</v>
      </c>
      <c r="I279" s="118"/>
      <c r="J279" s="274" t="s">
        <v>192</v>
      </c>
      <c r="K279" s="561"/>
      <c r="L279" s="82">
        <v>62.85</v>
      </c>
      <c r="M279" s="563"/>
      <c r="N279" s="565"/>
    </row>
    <row r="280" spans="1:14">
      <c r="A280" s="274" t="s">
        <v>689</v>
      </c>
      <c r="B280" s="251" t="s">
        <v>335</v>
      </c>
      <c r="C280" s="124">
        <v>44628</v>
      </c>
      <c r="D280" s="147">
        <v>614</v>
      </c>
      <c r="E280" s="274" t="s">
        <v>670</v>
      </c>
      <c r="F280" s="251" t="s">
        <v>342</v>
      </c>
      <c r="G280" s="118" t="s">
        <v>634</v>
      </c>
      <c r="H280" s="147">
        <v>968700</v>
      </c>
      <c r="I280" s="118"/>
      <c r="J280" s="274" t="s">
        <v>191</v>
      </c>
      <c r="K280" s="560">
        <v>2</v>
      </c>
      <c r="L280" s="82"/>
      <c r="M280" s="562">
        <f>K280-(L280+L281)</f>
        <v>2</v>
      </c>
      <c r="N280" s="564">
        <f>(L280+L281)/K280</f>
        <v>0</v>
      </c>
    </row>
    <row r="281" spans="1:14">
      <c r="A281" s="274" t="s">
        <v>689</v>
      </c>
      <c r="B281" s="251" t="s">
        <v>335</v>
      </c>
      <c r="C281" s="124">
        <v>44628</v>
      </c>
      <c r="D281" s="147">
        <v>614</v>
      </c>
      <c r="E281" s="274" t="s">
        <v>670</v>
      </c>
      <c r="F281" s="251" t="s">
        <v>342</v>
      </c>
      <c r="G281" s="118" t="s">
        <v>635</v>
      </c>
      <c r="H281" s="147">
        <v>699098</v>
      </c>
      <c r="I281" s="118"/>
      <c r="J281" s="274" t="s">
        <v>191</v>
      </c>
      <c r="K281" s="561"/>
      <c r="L281" s="82"/>
      <c r="M281" s="563"/>
      <c r="N281" s="565"/>
    </row>
    <row r="282" spans="1:14">
      <c r="A282" s="274" t="s">
        <v>689</v>
      </c>
      <c r="B282" s="251" t="s">
        <v>335</v>
      </c>
      <c r="C282" s="124">
        <v>44628</v>
      </c>
      <c r="D282" s="147">
        <v>614</v>
      </c>
      <c r="E282" s="274" t="s">
        <v>670</v>
      </c>
      <c r="F282" s="251" t="s">
        <v>342</v>
      </c>
      <c r="G282" s="118" t="s">
        <v>634</v>
      </c>
      <c r="H282" s="251">
        <v>968700</v>
      </c>
      <c r="I282" s="118"/>
      <c r="J282" s="274" t="s">
        <v>192</v>
      </c>
      <c r="K282" s="560">
        <v>320</v>
      </c>
      <c r="L282" s="82">
        <v>95.861000000000004</v>
      </c>
      <c r="M282" s="562">
        <f>K282-(L282+L283)</f>
        <v>224.13900000000001</v>
      </c>
      <c r="N282" s="564">
        <f>(L282+L283)/K282</f>
        <v>0.299565625</v>
      </c>
    </row>
    <row r="283" spans="1:14">
      <c r="A283" s="274" t="s">
        <v>689</v>
      </c>
      <c r="B283" s="251" t="s">
        <v>335</v>
      </c>
      <c r="C283" s="124">
        <v>44628</v>
      </c>
      <c r="D283" s="147">
        <v>614</v>
      </c>
      <c r="E283" s="274" t="s">
        <v>670</v>
      </c>
      <c r="F283" s="251" t="s">
        <v>342</v>
      </c>
      <c r="G283" s="118" t="s">
        <v>635</v>
      </c>
      <c r="H283" s="251">
        <v>699098</v>
      </c>
      <c r="I283" s="118"/>
      <c r="J283" s="274" t="s">
        <v>192</v>
      </c>
      <c r="K283" s="561"/>
      <c r="L283" s="82"/>
      <c r="M283" s="563"/>
      <c r="N283" s="565"/>
    </row>
    <row r="284" spans="1:14">
      <c r="A284" s="251" t="s">
        <v>661</v>
      </c>
      <c r="B284" s="251" t="s">
        <v>331</v>
      </c>
      <c r="C284" s="124">
        <v>44628</v>
      </c>
      <c r="D284" s="147">
        <v>613</v>
      </c>
      <c r="E284" s="274" t="s">
        <v>670</v>
      </c>
      <c r="F284" s="251" t="s">
        <v>333</v>
      </c>
      <c r="G284" s="251" t="s">
        <v>662</v>
      </c>
      <c r="H284" s="147">
        <v>697261</v>
      </c>
      <c r="I284" s="118"/>
      <c r="J284" s="251" t="s">
        <v>191</v>
      </c>
      <c r="K284" s="108">
        <v>150</v>
      </c>
      <c r="L284" s="82">
        <v>59.427999999999997</v>
      </c>
      <c r="M284" s="253">
        <f t="shared" ref="M284" si="20">K284-L284</f>
        <v>90.572000000000003</v>
      </c>
      <c r="N284" s="252">
        <f t="shared" ref="N284" si="21">L284/K284</f>
        <v>0.39618666666666663</v>
      </c>
    </row>
    <row r="285" spans="1:14">
      <c r="A285" s="251" t="s">
        <v>661</v>
      </c>
      <c r="B285" s="251" t="s">
        <v>331</v>
      </c>
      <c r="C285" s="124">
        <v>44628</v>
      </c>
      <c r="D285" s="147">
        <v>613</v>
      </c>
      <c r="E285" s="274" t="s">
        <v>670</v>
      </c>
      <c r="F285" s="251" t="s">
        <v>333</v>
      </c>
      <c r="G285" s="251" t="s">
        <v>662</v>
      </c>
      <c r="H285" s="251">
        <v>697261</v>
      </c>
      <c r="I285" s="118"/>
      <c r="J285" s="251" t="s">
        <v>192</v>
      </c>
      <c r="K285" s="108">
        <v>50</v>
      </c>
      <c r="L285" s="82">
        <v>140.572</v>
      </c>
      <c r="M285" s="253">
        <f>K285-L285</f>
        <v>-90.572000000000003</v>
      </c>
      <c r="N285" s="252">
        <f>L285/K285</f>
        <v>2.8114400000000002</v>
      </c>
    </row>
    <row r="286" spans="1:14">
      <c r="A286" s="251" t="s">
        <v>661</v>
      </c>
      <c r="B286" s="251" t="s">
        <v>331</v>
      </c>
      <c r="C286" s="124">
        <v>44628</v>
      </c>
      <c r="D286" s="251">
        <v>613</v>
      </c>
      <c r="E286" s="274" t="s">
        <v>670</v>
      </c>
      <c r="F286" s="251" t="s">
        <v>333</v>
      </c>
      <c r="G286" s="283" t="s">
        <v>593</v>
      </c>
      <c r="H286" s="147">
        <v>966342</v>
      </c>
      <c r="I286" s="118"/>
      <c r="J286" s="251" t="s">
        <v>191</v>
      </c>
      <c r="K286" s="108">
        <v>150</v>
      </c>
      <c r="L286" s="82">
        <v>38.610999999999997</v>
      </c>
      <c r="M286" s="253">
        <f>K286-L286</f>
        <v>111.38900000000001</v>
      </c>
      <c r="N286" s="252">
        <f>L286/K286</f>
        <v>0.25740666666666667</v>
      </c>
    </row>
    <row r="287" spans="1:14">
      <c r="A287" s="251" t="s">
        <v>661</v>
      </c>
      <c r="B287" s="251" t="s">
        <v>331</v>
      </c>
      <c r="C287" s="124">
        <v>44628</v>
      </c>
      <c r="D287" s="251">
        <v>613</v>
      </c>
      <c r="E287" s="274" t="s">
        <v>670</v>
      </c>
      <c r="F287" s="251" t="s">
        <v>333</v>
      </c>
      <c r="G287" s="283" t="s">
        <v>593</v>
      </c>
      <c r="H287" s="251">
        <v>966342</v>
      </c>
      <c r="I287" s="118"/>
      <c r="J287" s="251" t="s">
        <v>192</v>
      </c>
      <c r="K287" s="108">
        <v>50</v>
      </c>
      <c r="L287" s="82">
        <v>161.38900000000001</v>
      </c>
      <c r="M287" s="253">
        <f>K287-L287</f>
        <v>-111.38900000000001</v>
      </c>
      <c r="N287" s="252">
        <f>L287/K287</f>
        <v>3.2277800000000001</v>
      </c>
    </row>
    <row r="288" spans="1:14">
      <c r="A288" s="257" t="s">
        <v>665</v>
      </c>
      <c r="B288" s="257" t="s">
        <v>331</v>
      </c>
      <c r="C288" s="124">
        <v>44629</v>
      </c>
      <c r="D288" s="147">
        <v>21</v>
      </c>
      <c r="E288" s="257" t="s">
        <v>332</v>
      </c>
      <c r="F288" s="257" t="s">
        <v>333</v>
      </c>
      <c r="G288" s="257" t="s">
        <v>666</v>
      </c>
      <c r="H288" s="147">
        <v>698133</v>
      </c>
      <c r="I288" s="118"/>
      <c r="J288" s="257" t="s">
        <v>191</v>
      </c>
      <c r="K288" s="108">
        <v>21</v>
      </c>
      <c r="L288" s="82">
        <v>14.36</v>
      </c>
      <c r="M288" s="149">
        <f>K288-L288</f>
        <v>6.6400000000000006</v>
      </c>
      <c r="N288" s="148">
        <f>L288/K288</f>
        <v>0.68380952380952376</v>
      </c>
    </row>
    <row r="289" spans="1:14">
      <c r="A289" s="257" t="s">
        <v>665</v>
      </c>
      <c r="B289" s="257" t="s">
        <v>331</v>
      </c>
      <c r="C289" s="124">
        <v>44629</v>
      </c>
      <c r="D289" s="147">
        <v>21</v>
      </c>
      <c r="E289" s="257" t="s">
        <v>332</v>
      </c>
      <c r="F289" s="257" t="s">
        <v>333</v>
      </c>
      <c r="G289" s="257" t="s">
        <v>666</v>
      </c>
      <c r="H289" s="257">
        <v>698133</v>
      </c>
      <c r="I289" s="118"/>
      <c r="J289" s="257" t="s">
        <v>192</v>
      </c>
      <c r="K289" s="108">
        <v>38</v>
      </c>
      <c r="L289" s="82">
        <v>40.485999999999997</v>
      </c>
      <c r="M289" s="149">
        <f>K289-L289</f>
        <v>-2.4859999999999971</v>
      </c>
      <c r="N289" s="148">
        <f>L289/K289</f>
        <v>1.0654210526315788</v>
      </c>
    </row>
    <row r="290" spans="1:14">
      <c r="A290" s="274" t="s">
        <v>689</v>
      </c>
      <c r="B290" s="257" t="s">
        <v>335</v>
      </c>
      <c r="C290" s="124">
        <v>44628</v>
      </c>
      <c r="D290" s="147">
        <v>618</v>
      </c>
      <c r="E290" s="274" t="s">
        <v>670</v>
      </c>
      <c r="F290" s="257" t="s">
        <v>342</v>
      </c>
      <c r="G290" s="118" t="s">
        <v>549</v>
      </c>
      <c r="H290" s="147">
        <v>964980</v>
      </c>
      <c r="I290" s="118"/>
      <c r="J290" s="274" t="s">
        <v>191</v>
      </c>
      <c r="K290" s="560">
        <v>144</v>
      </c>
      <c r="L290" s="82"/>
      <c r="M290" s="562">
        <f>K290-(L290+L291)</f>
        <v>111.255</v>
      </c>
      <c r="N290" s="564">
        <f>(L290+L291)/K290</f>
        <v>0.22739583333333332</v>
      </c>
    </row>
    <row r="291" spans="1:14">
      <c r="A291" s="274" t="s">
        <v>689</v>
      </c>
      <c r="B291" s="257" t="s">
        <v>335</v>
      </c>
      <c r="C291" s="124">
        <v>44628</v>
      </c>
      <c r="D291" s="147">
        <v>618</v>
      </c>
      <c r="E291" s="274" t="s">
        <v>670</v>
      </c>
      <c r="F291" s="257" t="s">
        <v>342</v>
      </c>
      <c r="G291" s="118" t="s">
        <v>550</v>
      </c>
      <c r="H291" s="147">
        <v>698447</v>
      </c>
      <c r="I291" s="118"/>
      <c r="J291" s="274" t="s">
        <v>191</v>
      </c>
      <c r="K291" s="561"/>
      <c r="L291" s="82">
        <v>32.744999999999997</v>
      </c>
      <c r="M291" s="563"/>
      <c r="N291" s="565"/>
    </row>
    <row r="292" spans="1:14">
      <c r="A292" s="274" t="s">
        <v>689</v>
      </c>
      <c r="B292" s="257" t="s">
        <v>335</v>
      </c>
      <c r="C292" s="124">
        <v>44628</v>
      </c>
      <c r="D292" s="257">
        <v>618</v>
      </c>
      <c r="E292" s="274" t="s">
        <v>670</v>
      </c>
      <c r="F292" s="257" t="s">
        <v>342</v>
      </c>
      <c r="G292" s="118" t="s">
        <v>549</v>
      </c>
      <c r="H292" s="257">
        <v>964980</v>
      </c>
      <c r="I292" s="118"/>
      <c r="J292" s="274" t="s">
        <v>192</v>
      </c>
      <c r="K292" s="560">
        <v>287</v>
      </c>
      <c r="L292" s="82"/>
      <c r="M292" s="562">
        <f>K292-(L292+L293)</f>
        <v>182.94</v>
      </c>
      <c r="N292" s="564">
        <f>(L292+L293)/K292</f>
        <v>0.36257839721254354</v>
      </c>
    </row>
    <row r="293" spans="1:14">
      <c r="A293" s="274" t="s">
        <v>689</v>
      </c>
      <c r="B293" s="257" t="s">
        <v>335</v>
      </c>
      <c r="C293" s="124">
        <v>44628</v>
      </c>
      <c r="D293" s="257">
        <v>618</v>
      </c>
      <c r="E293" s="274" t="s">
        <v>670</v>
      </c>
      <c r="F293" s="257" t="s">
        <v>342</v>
      </c>
      <c r="G293" s="118" t="s">
        <v>550</v>
      </c>
      <c r="H293" s="257">
        <v>698447</v>
      </c>
      <c r="I293" s="118"/>
      <c r="J293" s="274" t="s">
        <v>192</v>
      </c>
      <c r="K293" s="561"/>
      <c r="L293" s="82">
        <v>104.06</v>
      </c>
      <c r="M293" s="563"/>
      <c r="N293" s="565"/>
    </row>
    <row r="294" spans="1:14">
      <c r="A294" s="274" t="s">
        <v>692</v>
      </c>
      <c r="B294" s="257" t="s">
        <v>331</v>
      </c>
      <c r="C294" s="124">
        <v>44628</v>
      </c>
      <c r="D294" s="147">
        <v>619</v>
      </c>
      <c r="E294" s="274" t="s">
        <v>670</v>
      </c>
      <c r="F294" s="257" t="s">
        <v>342</v>
      </c>
      <c r="G294" s="257" t="s">
        <v>667</v>
      </c>
      <c r="H294" s="147">
        <v>925749</v>
      </c>
      <c r="I294" s="118"/>
      <c r="J294" s="257" t="s">
        <v>191</v>
      </c>
      <c r="K294" s="108">
        <v>100</v>
      </c>
      <c r="L294" s="82">
        <v>145.25700000000001</v>
      </c>
      <c r="M294" s="258">
        <f t="shared" ref="M294:M295" si="22">K294-L294</f>
        <v>-45.257000000000005</v>
      </c>
      <c r="N294" s="259">
        <f t="shared" ref="N294:N295" si="23">L294/K294</f>
        <v>1.4525700000000001</v>
      </c>
    </row>
    <row r="295" spans="1:14">
      <c r="A295" s="274" t="s">
        <v>692</v>
      </c>
      <c r="B295" s="257" t="s">
        <v>331</v>
      </c>
      <c r="C295" s="124">
        <v>44628</v>
      </c>
      <c r="D295" s="147">
        <v>619</v>
      </c>
      <c r="E295" s="274" t="s">
        <v>670</v>
      </c>
      <c r="F295" s="257" t="s">
        <v>342</v>
      </c>
      <c r="G295" s="257" t="s">
        <v>667</v>
      </c>
      <c r="H295" s="257">
        <v>925749</v>
      </c>
      <c r="I295" s="118"/>
      <c r="J295" s="257" t="s">
        <v>192</v>
      </c>
      <c r="K295" s="108">
        <v>100</v>
      </c>
      <c r="L295" s="82">
        <v>54.743000000000002</v>
      </c>
      <c r="M295" s="258">
        <f t="shared" si="22"/>
        <v>45.256999999999998</v>
      </c>
      <c r="N295" s="259">
        <f t="shared" si="23"/>
        <v>0.54742999999999997</v>
      </c>
    </row>
    <row r="296" spans="1:14">
      <c r="A296" s="274" t="s">
        <v>689</v>
      </c>
      <c r="B296" s="257" t="s">
        <v>331</v>
      </c>
      <c r="C296" s="124">
        <v>44628</v>
      </c>
      <c r="D296" s="257">
        <v>623</v>
      </c>
      <c r="E296" s="274" t="s">
        <v>670</v>
      </c>
      <c r="F296" s="257" t="s">
        <v>342</v>
      </c>
      <c r="G296" s="257" t="s">
        <v>398</v>
      </c>
      <c r="H296" s="147">
        <v>958069</v>
      </c>
      <c r="I296" s="118"/>
      <c r="J296" s="257" t="s">
        <v>191</v>
      </c>
      <c r="K296" s="108">
        <v>45</v>
      </c>
      <c r="L296" s="80">
        <v>32.755000000000003</v>
      </c>
      <c r="M296" s="258">
        <f t="shared" ref="M296:M303" si="24">K296-L296</f>
        <v>12.244999999999997</v>
      </c>
      <c r="N296" s="259">
        <f t="shared" ref="N296:N303" si="25">L296/K296</f>
        <v>0.72788888888888892</v>
      </c>
    </row>
    <row r="297" spans="1:14">
      <c r="A297" s="274" t="s">
        <v>689</v>
      </c>
      <c r="B297" s="257" t="s">
        <v>331</v>
      </c>
      <c r="C297" s="124">
        <v>44628</v>
      </c>
      <c r="D297" s="257">
        <v>623</v>
      </c>
      <c r="E297" s="274" t="s">
        <v>670</v>
      </c>
      <c r="F297" s="257" t="s">
        <v>342</v>
      </c>
      <c r="G297" s="257" t="s">
        <v>398</v>
      </c>
      <c r="H297" s="257">
        <v>958069</v>
      </c>
      <c r="I297" s="118"/>
      <c r="J297" s="257" t="s">
        <v>192</v>
      </c>
      <c r="K297" s="108">
        <v>100</v>
      </c>
      <c r="L297" s="82">
        <v>112.2</v>
      </c>
      <c r="M297" s="258">
        <f t="shared" si="24"/>
        <v>-12.200000000000003</v>
      </c>
      <c r="N297" s="259">
        <f t="shared" si="25"/>
        <v>1.1220000000000001</v>
      </c>
    </row>
    <row r="298" spans="1:14">
      <c r="A298" s="274" t="s">
        <v>689</v>
      </c>
      <c r="B298" s="257" t="s">
        <v>331</v>
      </c>
      <c r="C298" s="124">
        <v>44628</v>
      </c>
      <c r="D298" s="257">
        <v>623</v>
      </c>
      <c r="E298" s="274" t="s">
        <v>670</v>
      </c>
      <c r="F298" s="257" t="s">
        <v>342</v>
      </c>
      <c r="G298" s="257" t="s">
        <v>668</v>
      </c>
      <c r="H298" s="147">
        <v>955397</v>
      </c>
      <c r="I298" s="118"/>
      <c r="J298" s="257" t="s">
        <v>191</v>
      </c>
      <c r="K298" s="108">
        <v>30</v>
      </c>
      <c r="L298" s="82">
        <v>34.575000000000003</v>
      </c>
      <c r="M298" s="258">
        <f t="shared" si="24"/>
        <v>-4.5750000000000028</v>
      </c>
      <c r="N298" s="259">
        <f t="shared" si="25"/>
        <v>1.1525000000000001</v>
      </c>
    </row>
    <row r="299" spans="1:14">
      <c r="A299" s="274" t="s">
        <v>689</v>
      </c>
      <c r="B299" s="257" t="s">
        <v>331</v>
      </c>
      <c r="C299" s="124">
        <v>44628</v>
      </c>
      <c r="D299" s="257">
        <v>623</v>
      </c>
      <c r="E299" s="274" t="s">
        <v>670</v>
      </c>
      <c r="F299" s="257" t="s">
        <v>342</v>
      </c>
      <c r="G299" s="257" t="s">
        <v>668</v>
      </c>
      <c r="H299" s="257">
        <v>955397</v>
      </c>
      <c r="I299" s="118"/>
      <c r="J299" s="257" t="s">
        <v>192</v>
      </c>
      <c r="K299" s="108">
        <v>70</v>
      </c>
      <c r="L299" s="82">
        <v>11.244999999999999</v>
      </c>
      <c r="M299" s="258">
        <f t="shared" si="24"/>
        <v>58.755000000000003</v>
      </c>
      <c r="N299" s="259">
        <f t="shared" si="25"/>
        <v>0.16064285714285714</v>
      </c>
    </row>
    <row r="300" spans="1:14">
      <c r="A300" s="274" t="s">
        <v>689</v>
      </c>
      <c r="B300" s="257" t="s">
        <v>331</v>
      </c>
      <c r="C300" s="124">
        <v>44628</v>
      </c>
      <c r="D300" s="257">
        <v>623</v>
      </c>
      <c r="E300" s="274" t="s">
        <v>670</v>
      </c>
      <c r="F300" s="257" t="s">
        <v>342</v>
      </c>
      <c r="G300" s="257" t="s">
        <v>669</v>
      </c>
      <c r="H300" s="147">
        <v>957479</v>
      </c>
      <c r="I300" s="118"/>
      <c r="J300" s="257" t="s">
        <v>191</v>
      </c>
      <c r="K300" s="108">
        <v>30</v>
      </c>
      <c r="L300" s="82"/>
      <c r="M300" s="258">
        <f t="shared" si="24"/>
        <v>30</v>
      </c>
      <c r="N300" s="259">
        <f t="shared" si="25"/>
        <v>0</v>
      </c>
    </row>
    <row r="301" spans="1:14">
      <c r="A301" s="274" t="s">
        <v>689</v>
      </c>
      <c r="B301" s="257" t="s">
        <v>331</v>
      </c>
      <c r="C301" s="124">
        <v>44628</v>
      </c>
      <c r="D301" s="257">
        <v>623</v>
      </c>
      <c r="E301" s="274" t="s">
        <v>670</v>
      </c>
      <c r="F301" s="257" t="s">
        <v>342</v>
      </c>
      <c r="G301" s="257" t="s">
        <v>669</v>
      </c>
      <c r="H301" s="257">
        <v>957479</v>
      </c>
      <c r="I301" s="118"/>
      <c r="J301" s="257" t="s">
        <v>192</v>
      </c>
      <c r="K301" s="108">
        <v>70</v>
      </c>
      <c r="L301" s="82"/>
      <c r="M301" s="258">
        <f t="shared" si="24"/>
        <v>70</v>
      </c>
      <c r="N301" s="259">
        <f t="shared" si="25"/>
        <v>0</v>
      </c>
    </row>
    <row r="302" spans="1:14">
      <c r="A302" s="267" t="s">
        <v>661</v>
      </c>
      <c r="B302" s="267" t="s">
        <v>331</v>
      </c>
      <c r="C302" s="124">
        <v>44629</v>
      </c>
      <c r="D302" s="267">
        <v>626</v>
      </c>
      <c r="E302" s="267" t="s">
        <v>670</v>
      </c>
      <c r="F302" s="267" t="s">
        <v>333</v>
      </c>
      <c r="G302" s="267" t="s">
        <v>393</v>
      </c>
      <c r="H302" s="267">
        <v>962795</v>
      </c>
      <c r="I302" s="118"/>
      <c r="J302" s="267" t="s">
        <v>191</v>
      </c>
      <c r="K302" s="108">
        <v>700</v>
      </c>
      <c r="L302" s="82">
        <v>114.25</v>
      </c>
      <c r="M302" s="269">
        <f t="shared" si="24"/>
        <v>585.75</v>
      </c>
      <c r="N302" s="268">
        <f t="shared" si="25"/>
        <v>0.1632142857142857</v>
      </c>
    </row>
    <row r="303" spans="1:14">
      <c r="A303" s="267" t="s">
        <v>661</v>
      </c>
      <c r="B303" s="267" t="s">
        <v>331</v>
      </c>
      <c r="C303" s="124">
        <v>44629</v>
      </c>
      <c r="D303" s="267">
        <v>626</v>
      </c>
      <c r="E303" s="267" t="s">
        <v>670</v>
      </c>
      <c r="F303" s="267" t="s">
        <v>333</v>
      </c>
      <c r="G303" s="267" t="s">
        <v>393</v>
      </c>
      <c r="H303" s="267">
        <v>962795</v>
      </c>
      <c r="I303" s="118"/>
      <c r="J303" s="267" t="s">
        <v>192</v>
      </c>
      <c r="K303" s="108">
        <v>250</v>
      </c>
      <c r="L303" s="82">
        <v>87.704999999999998</v>
      </c>
      <c r="M303" s="269">
        <f t="shared" si="24"/>
        <v>162.29500000000002</v>
      </c>
      <c r="N303" s="268">
        <f t="shared" si="25"/>
        <v>0.35082000000000002</v>
      </c>
    </row>
    <row r="304" spans="1:14">
      <c r="A304" s="267" t="s">
        <v>661</v>
      </c>
      <c r="B304" s="267" t="s">
        <v>335</v>
      </c>
      <c r="C304" s="124">
        <v>44629</v>
      </c>
      <c r="D304" s="147">
        <v>627</v>
      </c>
      <c r="E304" s="267" t="s">
        <v>670</v>
      </c>
      <c r="F304" s="267" t="s">
        <v>333</v>
      </c>
      <c r="G304" s="118" t="s">
        <v>671</v>
      </c>
      <c r="H304" s="147">
        <v>968817</v>
      </c>
      <c r="I304" s="118"/>
      <c r="J304" s="267" t="s">
        <v>191</v>
      </c>
      <c r="K304" s="560">
        <v>587.5</v>
      </c>
      <c r="L304" s="82">
        <v>176.71899999999999</v>
      </c>
      <c r="M304" s="562">
        <f>K304-(L304+L305+L306)</f>
        <v>199.42200000000003</v>
      </c>
      <c r="N304" s="564">
        <f>(L304+L305+L306)/K304</f>
        <v>0.66055829787234033</v>
      </c>
    </row>
    <row r="305" spans="1:14">
      <c r="A305" s="267" t="s">
        <v>661</v>
      </c>
      <c r="B305" s="267" t="s">
        <v>335</v>
      </c>
      <c r="C305" s="124">
        <v>44629</v>
      </c>
      <c r="D305" s="267">
        <v>627</v>
      </c>
      <c r="E305" s="267" t="s">
        <v>670</v>
      </c>
      <c r="F305" s="267" t="s">
        <v>333</v>
      </c>
      <c r="G305" s="118" t="s">
        <v>520</v>
      </c>
      <c r="H305" s="147">
        <v>697864</v>
      </c>
      <c r="I305" s="118"/>
      <c r="J305" s="267" t="s">
        <v>191</v>
      </c>
      <c r="K305" s="566"/>
      <c r="L305" s="82">
        <v>115.212</v>
      </c>
      <c r="M305" s="567"/>
      <c r="N305" s="568"/>
    </row>
    <row r="306" spans="1:14">
      <c r="A306" s="267" t="s">
        <v>661</v>
      </c>
      <c r="B306" s="267" t="s">
        <v>335</v>
      </c>
      <c r="C306" s="124">
        <v>44629</v>
      </c>
      <c r="D306" s="267">
        <v>627</v>
      </c>
      <c r="E306" s="267" t="s">
        <v>670</v>
      </c>
      <c r="F306" s="267" t="s">
        <v>333</v>
      </c>
      <c r="G306" s="118" t="s">
        <v>672</v>
      </c>
      <c r="H306" s="147">
        <v>697885</v>
      </c>
      <c r="I306" s="118"/>
      <c r="J306" s="267" t="s">
        <v>191</v>
      </c>
      <c r="K306" s="561"/>
      <c r="L306" s="82">
        <v>96.147000000000006</v>
      </c>
      <c r="M306" s="563"/>
      <c r="N306" s="565"/>
    </row>
    <row r="307" spans="1:14">
      <c r="A307" s="267" t="s">
        <v>661</v>
      </c>
      <c r="B307" s="267" t="s">
        <v>335</v>
      </c>
      <c r="C307" s="124">
        <v>44629</v>
      </c>
      <c r="D307" s="267">
        <v>627</v>
      </c>
      <c r="E307" s="267" t="s">
        <v>670</v>
      </c>
      <c r="F307" s="267" t="s">
        <v>333</v>
      </c>
      <c r="G307" s="118" t="s">
        <v>671</v>
      </c>
      <c r="H307" s="267">
        <v>968817</v>
      </c>
      <c r="I307" s="118"/>
      <c r="J307" s="267" t="s">
        <v>192</v>
      </c>
      <c r="K307" s="560">
        <v>162.5</v>
      </c>
      <c r="L307" s="82">
        <v>69.296000000000006</v>
      </c>
      <c r="M307" s="562">
        <f>K307-(L307+L308+L309)</f>
        <v>-199.42200000000003</v>
      </c>
      <c r="N307" s="564">
        <f>(L307+L308+L309)/K307</f>
        <v>2.2272123076923078</v>
      </c>
    </row>
    <row r="308" spans="1:14">
      <c r="A308" s="267" t="s">
        <v>661</v>
      </c>
      <c r="B308" s="267" t="s">
        <v>335</v>
      </c>
      <c r="C308" s="124">
        <v>44629</v>
      </c>
      <c r="D308" s="302">
        <v>627</v>
      </c>
      <c r="E308" s="267" t="s">
        <v>670</v>
      </c>
      <c r="F308" s="267" t="s">
        <v>333</v>
      </c>
      <c r="G308" s="267" t="s">
        <v>520</v>
      </c>
      <c r="H308" s="302">
        <v>697864</v>
      </c>
      <c r="I308" s="118"/>
      <c r="J308" s="267" t="s">
        <v>192</v>
      </c>
      <c r="K308" s="566"/>
      <c r="L308" s="82">
        <v>147.20699999999999</v>
      </c>
      <c r="M308" s="567"/>
      <c r="N308" s="568"/>
    </row>
    <row r="309" spans="1:14">
      <c r="A309" s="267" t="s">
        <v>661</v>
      </c>
      <c r="B309" s="267" t="s">
        <v>335</v>
      </c>
      <c r="C309" s="124">
        <v>44629</v>
      </c>
      <c r="D309" s="267">
        <v>627</v>
      </c>
      <c r="E309" s="267" t="s">
        <v>670</v>
      </c>
      <c r="F309" s="267" t="s">
        <v>333</v>
      </c>
      <c r="G309" s="267" t="s">
        <v>672</v>
      </c>
      <c r="H309" s="267">
        <v>697885</v>
      </c>
      <c r="I309" s="118"/>
      <c r="J309" s="267" t="s">
        <v>192</v>
      </c>
      <c r="K309" s="561"/>
      <c r="L309" s="82">
        <v>145.41900000000001</v>
      </c>
      <c r="M309" s="563"/>
      <c r="N309" s="565"/>
    </row>
    <row r="310" spans="1:14">
      <c r="A310" s="270" t="s">
        <v>673</v>
      </c>
      <c r="B310" s="270" t="s">
        <v>331</v>
      </c>
      <c r="C310" s="124">
        <v>44629</v>
      </c>
      <c r="D310" s="147">
        <v>632</v>
      </c>
      <c r="E310" s="270" t="s">
        <v>670</v>
      </c>
      <c r="F310" s="270" t="s">
        <v>342</v>
      </c>
      <c r="G310" s="270" t="s">
        <v>356</v>
      </c>
      <c r="H310" s="147">
        <v>966146</v>
      </c>
      <c r="I310" s="118"/>
      <c r="J310" s="270" t="s">
        <v>191</v>
      </c>
      <c r="K310" s="108">
        <v>98</v>
      </c>
      <c r="L310" s="82">
        <v>147.35300000000001</v>
      </c>
      <c r="M310" s="271">
        <f t="shared" ref="M310:M311" si="26">K310-L310</f>
        <v>-49.353000000000009</v>
      </c>
      <c r="N310" s="272">
        <f t="shared" ref="N310:N311" si="27">L310/K310</f>
        <v>1.5036020408163266</v>
      </c>
    </row>
    <row r="311" spans="1:14">
      <c r="A311" s="270" t="s">
        <v>673</v>
      </c>
      <c r="B311" s="270" t="s">
        <v>331</v>
      </c>
      <c r="C311" s="124">
        <v>44629</v>
      </c>
      <c r="D311" s="270">
        <v>632</v>
      </c>
      <c r="E311" s="270" t="s">
        <v>670</v>
      </c>
      <c r="F311" s="270" t="s">
        <v>342</v>
      </c>
      <c r="G311" s="270" t="s">
        <v>356</v>
      </c>
      <c r="H311" s="270">
        <v>966146</v>
      </c>
      <c r="I311" s="118"/>
      <c r="J311" s="270" t="s">
        <v>192</v>
      </c>
      <c r="K311" s="108">
        <v>182</v>
      </c>
      <c r="L311" s="82">
        <v>132.64699999999999</v>
      </c>
      <c r="M311" s="271">
        <f t="shared" si="26"/>
        <v>49.353000000000009</v>
      </c>
      <c r="N311" s="272">
        <f t="shared" si="27"/>
        <v>0.72882967032967028</v>
      </c>
    </row>
    <row r="312" spans="1:14">
      <c r="A312" s="270" t="s">
        <v>673</v>
      </c>
      <c r="B312" s="270" t="s">
        <v>331</v>
      </c>
      <c r="C312" s="124">
        <v>44629</v>
      </c>
      <c r="D312" s="270">
        <v>632</v>
      </c>
      <c r="E312" s="270" t="s">
        <v>670</v>
      </c>
      <c r="F312" s="270" t="s">
        <v>342</v>
      </c>
      <c r="G312" s="270" t="s">
        <v>674</v>
      </c>
      <c r="H312" s="147">
        <v>958563</v>
      </c>
      <c r="I312" s="118"/>
      <c r="J312" s="270" t="s">
        <v>191</v>
      </c>
      <c r="K312" s="108">
        <v>70</v>
      </c>
      <c r="L312" s="82">
        <v>65.588999999999999</v>
      </c>
      <c r="M312" s="271">
        <f t="shared" ref="M312:M339" si="28">K312-L312</f>
        <v>4.4110000000000014</v>
      </c>
      <c r="N312" s="272">
        <f t="shared" ref="N312:N339" si="29">L312/K312</f>
        <v>0.93698571428571431</v>
      </c>
    </row>
    <row r="313" spans="1:14">
      <c r="A313" s="270" t="s">
        <v>673</v>
      </c>
      <c r="B313" s="270" t="s">
        <v>331</v>
      </c>
      <c r="C313" s="124">
        <v>44629</v>
      </c>
      <c r="D313" s="270">
        <v>632</v>
      </c>
      <c r="E313" s="270" t="s">
        <v>670</v>
      </c>
      <c r="F313" s="270" t="s">
        <v>342</v>
      </c>
      <c r="G313" s="270" t="s">
        <v>674</v>
      </c>
      <c r="H313" s="270">
        <v>958563</v>
      </c>
      <c r="I313" s="118"/>
      <c r="J313" s="270" t="s">
        <v>192</v>
      </c>
      <c r="K313" s="108">
        <v>130</v>
      </c>
      <c r="L313" s="82">
        <v>130.821</v>
      </c>
      <c r="M313" s="271">
        <f t="shared" si="28"/>
        <v>-0.82099999999999795</v>
      </c>
      <c r="N313" s="272">
        <f t="shared" si="29"/>
        <v>1.0063153846153845</v>
      </c>
    </row>
    <row r="314" spans="1:14">
      <c r="A314" s="270" t="s">
        <v>673</v>
      </c>
      <c r="B314" s="270" t="s">
        <v>331</v>
      </c>
      <c r="C314" s="124">
        <v>44629</v>
      </c>
      <c r="D314" s="270">
        <v>632</v>
      </c>
      <c r="E314" s="270" t="s">
        <v>670</v>
      </c>
      <c r="F314" s="270" t="s">
        <v>342</v>
      </c>
      <c r="G314" s="270" t="s">
        <v>350</v>
      </c>
      <c r="H314" s="147">
        <v>697484</v>
      </c>
      <c r="I314" s="118"/>
      <c r="J314" s="270" t="s">
        <v>191</v>
      </c>
      <c r="K314" s="108">
        <v>98</v>
      </c>
      <c r="L314" s="82">
        <v>150.083</v>
      </c>
      <c r="M314" s="271">
        <f t="shared" si="28"/>
        <v>-52.082999999999998</v>
      </c>
      <c r="N314" s="272">
        <f t="shared" si="29"/>
        <v>1.5314591836734694</v>
      </c>
    </row>
    <row r="315" spans="1:14">
      <c r="A315" s="270" t="s">
        <v>673</v>
      </c>
      <c r="B315" s="270" t="s">
        <v>331</v>
      </c>
      <c r="C315" s="124">
        <v>44629</v>
      </c>
      <c r="D315" s="270">
        <v>632</v>
      </c>
      <c r="E315" s="270" t="s">
        <v>670</v>
      </c>
      <c r="F315" s="270" t="s">
        <v>342</v>
      </c>
      <c r="G315" s="270" t="s">
        <v>350</v>
      </c>
      <c r="H315" s="270">
        <v>697484</v>
      </c>
      <c r="I315" s="118"/>
      <c r="J315" s="270" t="s">
        <v>192</v>
      </c>
      <c r="K315" s="108">
        <v>182</v>
      </c>
      <c r="L315" s="82">
        <v>129.917</v>
      </c>
      <c r="M315" s="271">
        <f t="shared" si="28"/>
        <v>52.082999999999998</v>
      </c>
      <c r="N315" s="272">
        <f t="shared" si="29"/>
        <v>0.71382967032967037</v>
      </c>
    </row>
    <row r="316" spans="1:14">
      <c r="A316" s="270" t="s">
        <v>673</v>
      </c>
      <c r="B316" s="270" t="s">
        <v>331</v>
      </c>
      <c r="C316" s="124">
        <v>44629</v>
      </c>
      <c r="D316" s="270">
        <v>632</v>
      </c>
      <c r="E316" s="270" t="s">
        <v>670</v>
      </c>
      <c r="F316" s="270" t="s">
        <v>342</v>
      </c>
      <c r="G316" s="270" t="s">
        <v>371</v>
      </c>
      <c r="H316" s="147">
        <v>954711</v>
      </c>
      <c r="I316" s="118"/>
      <c r="J316" s="270" t="s">
        <v>191</v>
      </c>
      <c r="K316" s="108">
        <v>35</v>
      </c>
      <c r="L316" s="82">
        <v>35.064999999999998</v>
      </c>
      <c r="M316" s="271">
        <f t="shared" si="28"/>
        <v>-6.4999999999997726E-2</v>
      </c>
      <c r="N316" s="272">
        <f t="shared" si="29"/>
        <v>1.0018571428571428</v>
      </c>
    </row>
    <row r="317" spans="1:14">
      <c r="A317" s="270" t="s">
        <v>673</v>
      </c>
      <c r="B317" s="270" t="s">
        <v>331</v>
      </c>
      <c r="C317" s="124">
        <v>44629</v>
      </c>
      <c r="D317" s="270">
        <v>632</v>
      </c>
      <c r="E317" s="270" t="s">
        <v>670</v>
      </c>
      <c r="F317" s="270" t="s">
        <v>342</v>
      </c>
      <c r="G317" s="270" t="s">
        <v>371</v>
      </c>
      <c r="H317" s="270">
        <v>954711</v>
      </c>
      <c r="I317" s="118"/>
      <c r="J317" s="270" t="s">
        <v>192</v>
      </c>
      <c r="K317" s="108">
        <v>65</v>
      </c>
      <c r="L317" s="82">
        <v>14.135</v>
      </c>
      <c r="M317" s="271">
        <f t="shared" si="28"/>
        <v>50.865000000000002</v>
      </c>
      <c r="N317" s="272">
        <f t="shared" si="29"/>
        <v>0.21746153846153846</v>
      </c>
    </row>
    <row r="318" spans="1:14">
      <c r="A318" s="270" t="s">
        <v>673</v>
      </c>
      <c r="B318" s="270" t="s">
        <v>331</v>
      </c>
      <c r="C318" s="124">
        <v>44629</v>
      </c>
      <c r="D318" s="270">
        <v>632</v>
      </c>
      <c r="E318" s="270" t="s">
        <v>670</v>
      </c>
      <c r="F318" s="270" t="s">
        <v>342</v>
      </c>
      <c r="G318" s="270" t="s">
        <v>383</v>
      </c>
      <c r="H318" s="147">
        <v>953832</v>
      </c>
      <c r="I318" s="118"/>
      <c r="J318" s="270" t="s">
        <v>191</v>
      </c>
      <c r="K318" s="108">
        <v>53</v>
      </c>
      <c r="L318" s="82">
        <v>34.299999999999997</v>
      </c>
      <c r="M318" s="271">
        <f t="shared" si="28"/>
        <v>18.700000000000003</v>
      </c>
      <c r="N318" s="272">
        <f t="shared" si="29"/>
        <v>0.64716981132075468</v>
      </c>
    </row>
    <row r="319" spans="1:14">
      <c r="A319" s="270" t="s">
        <v>673</v>
      </c>
      <c r="B319" s="270" t="s">
        <v>331</v>
      </c>
      <c r="C319" s="124">
        <v>44629</v>
      </c>
      <c r="D319" s="270">
        <v>632</v>
      </c>
      <c r="E319" s="270" t="s">
        <v>670</v>
      </c>
      <c r="F319" s="270" t="s">
        <v>342</v>
      </c>
      <c r="G319" s="270" t="s">
        <v>383</v>
      </c>
      <c r="H319" s="270">
        <v>953832</v>
      </c>
      <c r="I319" s="118"/>
      <c r="J319" s="270" t="s">
        <v>192</v>
      </c>
      <c r="K319" s="108">
        <v>98</v>
      </c>
      <c r="L319" s="82">
        <v>116.7</v>
      </c>
      <c r="M319" s="271">
        <f t="shared" si="28"/>
        <v>-18.700000000000003</v>
      </c>
      <c r="N319" s="272">
        <f t="shared" si="29"/>
        <v>1.1908163265306122</v>
      </c>
    </row>
    <row r="320" spans="1:14">
      <c r="A320" s="270" t="s">
        <v>673</v>
      </c>
      <c r="B320" s="270" t="s">
        <v>331</v>
      </c>
      <c r="C320" s="124">
        <v>44629</v>
      </c>
      <c r="D320" s="270">
        <v>632</v>
      </c>
      <c r="E320" s="270" t="s">
        <v>670</v>
      </c>
      <c r="F320" s="270" t="s">
        <v>342</v>
      </c>
      <c r="G320" s="270" t="s">
        <v>393</v>
      </c>
      <c r="H320" s="147">
        <v>962795</v>
      </c>
      <c r="I320" s="118"/>
      <c r="J320" s="270" t="s">
        <v>191</v>
      </c>
      <c r="K320" s="108">
        <v>140</v>
      </c>
      <c r="L320" s="82">
        <v>314.05</v>
      </c>
      <c r="M320" s="271">
        <f t="shared" si="28"/>
        <v>-174.05</v>
      </c>
      <c r="N320" s="272">
        <f t="shared" si="29"/>
        <v>2.2432142857142856</v>
      </c>
    </row>
    <row r="321" spans="1:14">
      <c r="A321" s="270" t="s">
        <v>673</v>
      </c>
      <c r="B321" s="270" t="s">
        <v>331</v>
      </c>
      <c r="C321" s="124">
        <v>44629</v>
      </c>
      <c r="D321" s="270">
        <v>632</v>
      </c>
      <c r="E321" s="270" t="s">
        <v>670</v>
      </c>
      <c r="F321" s="270" t="s">
        <v>342</v>
      </c>
      <c r="G321" s="270" t="s">
        <v>393</v>
      </c>
      <c r="H321" s="270">
        <v>962795</v>
      </c>
      <c r="I321" s="118"/>
      <c r="J321" s="270" t="s">
        <v>192</v>
      </c>
      <c r="K321" s="108">
        <v>260</v>
      </c>
      <c r="L321" s="82">
        <v>85.95</v>
      </c>
      <c r="M321" s="271">
        <f t="shared" si="28"/>
        <v>174.05</v>
      </c>
      <c r="N321" s="272">
        <f t="shared" si="29"/>
        <v>0.3305769230769231</v>
      </c>
    </row>
    <row r="322" spans="1:14">
      <c r="A322" s="270" t="s">
        <v>673</v>
      </c>
      <c r="B322" s="270" t="s">
        <v>331</v>
      </c>
      <c r="C322" s="124">
        <v>44629</v>
      </c>
      <c r="D322" s="270">
        <v>632</v>
      </c>
      <c r="E322" s="270" t="s">
        <v>670</v>
      </c>
      <c r="F322" s="270" t="s">
        <v>342</v>
      </c>
      <c r="G322" s="270" t="s">
        <v>395</v>
      </c>
      <c r="H322" s="147">
        <v>955486</v>
      </c>
      <c r="I322" s="118"/>
      <c r="J322" s="270" t="s">
        <v>191</v>
      </c>
      <c r="K322" s="108">
        <v>130</v>
      </c>
      <c r="L322" s="82">
        <f>167.509+7.655</f>
        <v>175.16399999999999</v>
      </c>
      <c r="M322" s="271">
        <f t="shared" si="28"/>
        <v>-45.163999999999987</v>
      </c>
      <c r="N322" s="272">
        <f t="shared" si="29"/>
        <v>1.3474153846153845</v>
      </c>
    </row>
    <row r="323" spans="1:14">
      <c r="A323" s="270" t="s">
        <v>673</v>
      </c>
      <c r="B323" s="270" t="s">
        <v>331</v>
      </c>
      <c r="C323" s="124">
        <v>44629</v>
      </c>
      <c r="D323" s="270">
        <v>632</v>
      </c>
      <c r="E323" s="270" t="s">
        <v>670</v>
      </c>
      <c r="F323" s="270" t="s">
        <v>342</v>
      </c>
      <c r="G323" s="270" t="s">
        <v>395</v>
      </c>
      <c r="H323" s="270">
        <v>955486</v>
      </c>
      <c r="I323" s="118"/>
      <c r="J323" s="270" t="s">
        <v>192</v>
      </c>
      <c r="K323" s="108">
        <v>241</v>
      </c>
      <c r="L323" s="82">
        <v>195.83600000000001</v>
      </c>
      <c r="M323" s="271">
        <f t="shared" si="28"/>
        <v>45.163999999999987</v>
      </c>
      <c r="N323" s="272">
        <f t="shared" si="29"/>
        <v>0.81259751037344408</v>
      </c>
    </row>
    <row r="324" spans="1:14">
      <c r="A324" s="270" t="s">
        <v>673</v>
      </c>
      <c r="B324" s="270" t="s">
        <v>331</v>
      </c>
      <c r="C324" s="124">
        <v>44629</v>
      </c>
      <c r="D324" s="270">
        <v>632</v>
      </c>
      <c r="E324" s="270" t="s">
        <v>670</v>
      </c>
      <c r="F324" s="270" t="s">
        <v>342</v>
      </c>
      <c r="G324" s="375" t="s">
        <v>675</v>
      </c>
      <c r="H324" s="147">
        <v>968475</v>
      </c>
      <c r="I324" s="118"/>
      <c r="J324" s="270" t="s">
        <v>191</v>
      </c>
      <c r="K324" s="108">
        <v>63</v>
      </c>
      <c r="L324" s="82">
        <v>13.204000000000001</v>
      </c>
      <c r="M324" s="271">
        <f t="shared" si="28"/>
        <v>49.795999999999999</v>
      </c>
      <c r="N324" s="272">
        <f t="shared" si="29"/>
        <v>0.2095873015873016</v>
      </c>
    </row>
    <row r="325" spans="1:14">
      <c r="A325" s="270" t="s">
        <v>673</v>
      </c>
      <c r="B325" s="270" t="s">
        <v>331</v>
      </c>
      <c r="C325" s="124">
        <v>44629</v>
      </c>
      <c r="D325" s="270">
        <v>632</v>
      </c>
      <c r="E325" s="270" t="s">
        <v>670</v>
      </c>
      <c r="F325" s="270" t="s">
        <v>342</v>
      </c>
      <c r="G325" s="375" t="s">
        <v>675</v>
      </c>
      <c r="H325" s="270">
        <v>968475</v>
      </c>
      <c r="I325" s="118"/>
      <c r="J325" s="270" t="s">
        <v>192</v>
      </c>
      <c r="K325" s="108">
        <v>117</v>
      </c>
      <c r="L325" s="82">
        <v>166.79599999999999</v>
      </c>
      <c r="M325" s="271">
        <f t="shared" si="28"/>
        <v>-49.795999999999992</v>
      </c>
      <c r="N325" s="272">
        <f t="shared" si="29"/>
        <v>1.4256068376068376</v>
      </c>
    </row>
    <row r="326" spans="1:14">
      <c r="A326" s="270" t="s">
        <v>673</v>
      </c>
      <c r="B326" s="270" t="s">
        <v>331</v>
      </c>
      <c r="C326" s="124">
        <v>44629</v>
      </c>
      <c r="D326" s="270">
        <v>632</v>
      </c>
      <c r="E326" s="270" t="s">
        <v>670</v>
      </c>
      <c r="F326" s="270" t="s">
        <v>342</v>
      </c>
      <c r="G326" s="270" t="s">
        <v>676</v>
      </c>
      <c r="H326" s="147">
        <v>955877</v>
      </c>
      <c r="I326" s="118"/>
      <c r="J326" s="270" t="s">
        <v>191</v>
      </c>
      <c r="K326" s="108">
        <v>70</v>
      </c>
      <c r="L326" s="82">
        <v>91.902000000000001</v>
      </c>
      <c r="M326" s="271">
        <f t="shared" si="28"/>
        <v>-21.902000000000001</v>
      </c>
      <c r="N326" s="272">
        <f t="shared" si="29"/>
        <v>1.3128857142857142</v>
      </c>
    </row>
    <row r="327" spans="1:14">
      <c r="A327" s="270" t="s">
        <v>673</v>
      </c>
      <c r="B327" s="270" t="s">
        <v>331</v>
      </c>
      <c r="C327" s="124">
        <v>44629</v>
      </c>
      <c r="D327" s="270">
        <v>632</v>
      </c>
      <c r="E327" s="270" t="s">
        <v>670</v>
      </c>
      <c r="F327" s="270" t="s">
        <v>342</v>
      </c>
      <c r="G327" s="270" t="s">
        <v>676</v>
      </c>
      <c r="H327" s="270">
        <v>955877</v>
      </c>
      <c r="I327" s="118"/>
      <c r="J327" s="270" t="s">
        <v>192</v>
      </c>
      <c r="K327" s="108">
        <v>130</v>
      </c>
      <c r="L327" s="82">
        <v>93.257999999999996</v>
      </c>
      <c r="M327" s="271">
        <f t="shared" si="28"/>
        <v>36.742000000000004</v>
      </c>
      <c r="N327" s="272">
        <f t="shared" si="29"/>
        <v>0.71736923076923076</v>
      </c>
    </row>
    <row r="328" spans="1:14">
      <c r="A328" s="270" t="s">
        <v>673</v>
      </c>
      <c r="B328" s="270" t="s">
        <v>331</v>
      </c>
      <c r="C328" s="124">
        <v>44629</v>
      </c>
      <c r="D328" s="270">
        <v>632</v>
      </c>
      <c r="E328" s="270" t="s">
        <v>670</v>
      </c>
      <c r="F328" s="270" t="s">
        <v>342</v>
      </c>
      <c r="G328" s="270" t="s">
        <v>425</v>
      </c>
      <c r="H328" s="147">
        <v>951038</v>
      </c>
      <c r="I328" s="118"/>
      <c r="J328" s="270" t="s">
        <v>191</v>
      </c>
      <c r="K328" s="108">
        <v>53</v>
      </c>
      <c r="L328" s="82">
        <v>62.084000000000003</v>
      </c>
      <c r="M328" s="271">
        <f t="shared" si="28"/>
        <v>-9.0840000000000032</v>
      </c>
      <c r="N328" s="272">
        <f t="shared" si="29"/>
        <v>1.1713962264150943</v>
      </c>
    </row>
    <row r="329" spans="1:14">
      <c r="A329" s="270" t="s">
        <v>673</v>
      </c>
      <c r="B329" s="270" t="s">
        <v>331</v>
      </c>
      <c r="C329" s="124">
        <v>44629</v>
      </c>
      <c r="D329" s="270">
        <v>632</v>
      </c>
      <c r="E329" s="270" t="s">
        <v>670</v>
      </c>
      <c r="F329" s="270" t="s">
        <v>342</v>
      </c>
      <c r="G329" s="270" t="s">
        <v>425</v>
      </c>
      <c r="H329" s="270">
        <v>951038</v>
      </c>
      <c r="I329" s="118"/>
      <c r="J329" s="270" t="s">
        <v>192</v>
      </c>
      <c r="K329" s="108">
        <v>98</v>
      </c>
      <c r="L329" s="82">
        <v>74.363</v>
      </c>
      <c r="M329" s="271">
        <f t="shared" si="28"/>
        <v>23.637</v>
      </c>
      <c r="N329" s="272">
        <f t="shared" si="29"/>
        <v>0.7588061224489796</v>
      </c>
    </row>
    <row r="330" spans="1:14">
      <c r="A330" s="270" t="s">
        <v>673</v>
      </c>
      <c r="B330" s="270" t="s">
        <v>331</v>
      </c>
      <c r="C330" s="124">
        <v>44629</v>
      </c>
      <c r="D330" s="270">
        <v>632</v>
      </c>
      <c r="E330" s="270" t="s">
        <v>670</v>
      </c>
      <c r="F330" s="270" t="s">
        <v>342</v>
      </c>
      <c r="G330" s="270" t="s">
        <v>426</v>
      </c>
      <c r="H330" s="147">
        <v>964240</v>
      </c>
      <c r="I330" s="118"/>
      <c r="J330" s="270" t="s">
        <v>191</v>
      </c>
      <c r="K330" s="108">
        <v>77</v>
      </c>
      <c r="L330" s="82">
        <v>101.616</v>
      </c>
      <c r="M330" s="271">
        <f t="shared" si="28"/>
        <v>-24.616</v>
      </c>
      <c r="N330" s="272">
        <f t="shared" si="29"/>
        <v>1.3196883116883116</v>
      </c>
    </row>
    <row r="331" spans="1:14">
      <c r="A331" s="270" t="s">
        <v>673</v>
      </c>
      <c r="B331" s="270" t="s">
        <v>331</v>
      </c>
      <c r="C331" s="124">
        <v>44629</v>
      </c>
      <c r="D331" s="270">
        <v>632</v>
      </c>
      <c r="E331" s="270" t="s">
        <v>670</v>
      </c>
      <c r="F331" s="270" t="s">
        <v>342</v>
      </c>
      <c r="G331" s="270" t="s">
        <v>426</v>
      </c>
      <c r="H331" s="270">
        <v>964240</v>
      </c>
      <c r="I331" s="118"/>
      <c r="J331" s="270" t="s">
        <v>192</v>
      </c>
      <c r="K331" s="108">
        <v>143</v>
      </c>
      <c r="L331" s="82">
        <v>118.26300000000001</v>
      </c>
      <c r="M331" s="271">
        <f t="shared" si="28"/>
        <v>24.736999999999995</v>
      </c>
      <c r="N331" s="272">
        <f t="shared" si="29"/>
        <v>0.82701398601398601</v>
      </c>
    </row>
    <row r="332" spans="1:14">
      <c r="A332" s="270" t="s">
        <v>673</v>
      </c>
      <c r="B332" s="270" t="s">
        <v>331</v>
      </c>
      <c r="C332" s="124">
        <v>44629</v>
      </c>
      <c r="D332" s="270">
        <v>632</v>
      </c>
      <c r="E332" s="270" t="s">
        <v>670</v>
      </c>
      <c r="F332" s="270" t="s">
        <v>342</v>
      </c>
      <c r="G332" s="270" t="s">
        <v>677</v>
      </c>
      <c r="H332" s="147">
        <v>968770</v>
      </c>
      <c r="I332" s="118"/>
      <c r="J332" s="270" t="s">
        <v>191</v>
      </c>
      <c r="K332" s="108">
        <v>53</v>
      </c>
      <c r="L332" s="82">
        <v>133.221</v>
      </c>
      <c r="M332" s="271">
        <f t="shared" si="28"/>
        <v>-80.221000000000004</v>
      </c>
      <c r="N332" s="272">
        <f t="shared" si="29"/>
        <v>2.5136037735849057</v>
      </c>
    </row>
    <row r="333" spans="1:14">
      <c r="A333" s="270" t="s">
        <v>673</v>
      </c>
      <c r="B333" s="270" t="s">
        <v>331</v>
      </c>
      <c r="C333" s="124">
        <v>44629</v>
      </c>
      <c r="D333" s="270">
        <v>632</v>
      </c>
      <c r="E333" s="270" t="s">
        <v>670</v>
      </c>
      <c r="F333" s="270" t="s">
        <v>342</v>
      </c>
      <c r="G333" s="270" t="s">
        <v>677</v>
      </c>
      <c r="H333" s="270">
        <v>968770</v>
      </c>
      <c r="I333" s="118"/>
      <c r="J333" s="270" t="s">
        <v>192</v>
      </c>
      <c r="K333" s="108">
        <v>98</v>
      </c>
      <c r="L333" s="82">
        <v>17.779</v>
      </c>
      <c r="M333" s="271">
        <f t="shared" si="28"/>
        <v>80.221000000000004</v>
      </c>
      <c r="N333" s="272">
        <f t="shared" si="29"/>
        <v>0.18141836734693878</v>
      </c>
    </row>
    <row r="334" spans="1:14">
      <c r="A334" s="270" t="s">
        <v>673</v>
      </c>
      <c r="B334" s="270" t="s">
        <v>331</v>
      </c>
      <c r="C334" s="124">
        <v>44629</v>
      </c>
      <c r="D334" s="270">
        <v>632</v>
      </c>
      <c r="E334" s="270" t="s">
        <v>670</v>
      </c>
      <c r="F334" s="270" t="s">
        <v>342</v>
      </c>
      <c r="G334" s="270" t="s">
        <v>437</v>
      </c>
      <c r="H334" s="147">
        <v>966093</v>
      </c>
      <c r="I334" s="118"/>
      <c r="J334" s="270" t="s">
        <v>191</v>
      </c>
      <c r="K334" s="108">
        <v>67</v>
      </c>
      <c r="L334" s="82">
        <v>22.913</v>
      </c>
      <c r="M334" s="271">
        <f t="shared" si="28"/>
        <v>44.087000000000003</v>
      </c>
      <c r="N334" s="272">
        <f t="shared" si="29"/>
        <v>0.34198507462686567</v>
      </c>
    </row>
    <row r="335" spans="1:14">
      <c r="A335" s="270" t="s">
        <v>673</v>
      </c>
      <c r="B335" s="270" t="s">
        <v>331</v>
      </c>
      <c r="C335" s="124">
        <v>44629</v>
      </c>
      <c r="D335" s="270">
        <v>632</v>
      </c>
      <c r="E335" s="270" t="s">
        <v>670</v>
      </c>
      <c r="F335" s="270" t="s">
        <v>342</v>
      </c>
      <c r="G335" s="270" t="s">
        <v>437</v>
      </c>
      <c r="H335" s="270">
        <v>966093</v>
      </c>
      <c r="I335" s="118"/>
      <c r="J335" s="270" t="s">
        <v>192</v>
      </c>
      <c r="K335" s="108">
        <v>124</v>
      </c>
      <c r="L335" s="82">
        <v>6.6390000000000002</v>
      </c>
      <c r="M335" s="271">
        <f t="shared" si="28"/>
        <v>117.361</v>
      </c>
      <c r="N335" s="272">
        <f t="shared" si="29"/>
        <v>5.3540322580645165E-2</v>
      </c>
    </row>
    <row r="336" spans="1:14">
      <c r="A336" s="270" t="s">
        <v>673</v>
      </c>
      <c r="B336" s="270" t="s">
        <v>331</v>
      </c>
      <c r="C336" s="124">
        <v>44629</v>
      </c>
      <c r="D336" s="270">
        <v>632</v>
      </c>
      <c r="E336" s="270" t="s">
        <v>670</v>
      </c>
      <c r="F336" s="270" t="s">
        <v>342</v>
      </c>
      <c r="G336" s="270" t="s">
        <v>441</v>
      </c>
      <c r="H336" s="147">
        <v>968710</v>
      </c>
      <c r="I336" s="118"/>
      <c r="J336" s="270" t="s">
        <v>191</v>
      </c>
      <c r="K336" s="108">
        <v>175</v>
      </c>
      <c r="L336" s="82"/>
      <c r="M336" s="271">
        <f t="shared" si="28"/>
        <v>175</v>
      </c>
      <c r="N336" s="272">
        <f t="shared" si="29"/>
        <v>0</v>
      </c>
    </row>
    <row r="337" spans="1:14">
      <c r="A337" s="270" t="s">
        <v>673</v>
      </c>
      <c r="B337" s="270" t="s">
        <v>331</v>
      </c>
      <c r="C337" s="124">
        <v>44629</v>
      </c>
      <c r="D337" s="270">
        <v>632</v>
      </c>
      <c r="E337" s="270" t="s">
        <v>670</v>
      </c>
      <c r="F337" s="270" t="s">
        <v>342</v>
      </c>
      <c r="G337" s="270" t="s">
        <v>441</v>
      </c>
      <c r="H337" s="270">
        <v>968710</v>
      </c>
      <c r="I337" s="118"/>
      <c r="J337" s="270" t="s">
        <v>192</v>
      </c>
      <c r="K337" s="108">
        <v>325</v>
      </c>
      <c r="L337" s="82"/>
      <c r="M337" s="271">
        <f t="shared" si="28"/>
        <v>325</v>
      </c>
      <c r="N337" s="272">
        <f t="shared" si="29"/>
        <v>0</v>
      </c>
    </row>
    <row r="338" spans="1:14">
      <c r="A338" s="270" t="s">
        <v>673</v>
      </c>
      <c r="B338" s="270" t="s">
        <v>331</v>
      </c>
      <c r="C338" s="124">
        <v>44629</v>
      </c>
      <c r="D338" s="270">
        <v>632</v>
      </c>
      <c r="E338" s="270" t="s">
        <v>670</v>
      </c>
      <c r="F338" s="270" t="s">
        <v>342</v>
      </c>
      <c r="G338" s="375" t="s">
        <v>678</v>
      </c>
      <c r="H338" s="147">
        <v>968071</v>
      </c>
      <c r="I338" s="118"/>
      <c r="J338" s="270" t="s">
        <v>191</v>
      </c>
      <c r="K338" s="108">
        <v>63</v>
      </c>
      <c r="L338" s="82">
        <v>5.0469999999999997</v>
      </c>
      <c r="M338" s="271">
        <f t="shared" si="28"/>
        <v>57.953000000000003</v>
      </c>
      <c r="N338" s="272">
        <f t="shared" si="29"/>
        <v>8.0111111111111105E-2</v>
      </c>
    </row>
    <row r="339" spans="1:14">
      <c r="A339" s="270" t="s">
        <v>673</v>
      </c>
      <c r="B339" s="270" t="s">
        <v>331</v>
      </c>
      <c r="C339" s="124">
        <v>44629</v>
      </c>
      <c r="D339" s="270">
        <v>632</v>
      </c>
      <c r="E339" s="270" t="s">
        <v>670</v>
      </c>
      <c r="F339" s="270" t="s">
        <v>342</v>
      </c>
      <c r="G339" s="375" t="s">
        <v>678</v>
      </c>
      <c r="H339" s="270">
        <v>968071</v>
      </c>
      <c r="I339" s="118"/>
      <c r="J339" s="270" t="s">
        <v>192</v>
      </c>
      <c r="K339" s="108">
        <v>117</v>
      </c>
      <c r="L339" s="82">
        <v>117</v>
      </c>
      <c r="M339" s="271">
        <f t="shared" si="28"/>
        <v>0</v>
      </c>
      <c r="N339" s="272">
        <f t="shared" si="29"/>
        <v>1</v>
      </c>
    </row>
    <row r="340" spans="1:14">
      <c r="A340" s="270" t="s">
        <v>673</v>
      </c>
      <c r="B340" s="270" t="s">
        <v>331</v>
      </c>
      <c r="C340" s="124">
        <v>44629</v>
      </c>
      <c r="D340" s="270">
        <v>632</v>
      </c>
      <c r="E340" s="270" t="s">
        <v>670</v>
      </c>
      <c r="F340" s="270" t="s">
        <v>342</v>
      </c>
      <c r="G340" s="270" t="s">
        <v>451</v>
      </c>
      <c r="H340" s="147">
        <v>697611</v>
      </c>
      <c r="I340" s="118"/>
      <c r="J340" s="270" t="s">
        <v>191</v>
      </c>
      <c r="K340" s="108">
        <v>210</v>
      </c>
      <c r="L340" s="82">
        <v>210</v>
      </c>
      <c r="M340" s="271">
        <f t="shared" ref="M340:M341" si="30">K340-L340</f>
        <v>0</v>
      </c>
      <c r="N340" s="272">
        <f t="shared" ref="N340:N341" si="31">L340/K340</f>
        <v>1</v>
      </c>
    </row>
    <row r="341" spans="1:14">
      <c r="A341" s="270" t="s">
        <v>673</v>
      </c>
      <c r="B341" s="270" t="s">
        <v>331</v>
      </c>
      <c r="C341" s="124">
        <v>44629</v>
      </c>
      <c r="D341" s="270">
        <v>632</v>
      </c>
      <c r="E341" s="270" t="s">
        <v>670</v>
      </c>
      <c r="F341" s="270" t="s">
        <v>342</v>
      </c>
      <c r="G341" s="270" t="s">
        <v>451</v>
      </c>
      <c r="H341" s="270">
        <v>697611</v>
      </c>
      <c r="I341" s="118"/>
      <c r="J341" s="270" t="s">
        <v>192</v>
      </c>
      <c r="K341" s="108">
        <v>390</v>
      </c>
      <c r="L341" s="82">
        <v>108.51600000000001</v>
      </c>
      <c r="M341" s="271">
        <f t="shared" si="30"/>
        <v>281.48399999999998</v>
      </c>
      <c r="N341" s="272">
        <f t="shared" si="31"/>
        <v>0.27824615384615387</v>
      </c>
    </row>
    <row r="342" spans="1:14">
      <c r="A342" s="270" t="s">
        <v>673</v>
      </c>
      <c r="B342" s="270" t="s">
        <v>331</v>
      </c>
      <c r="C342" s="124">
        <v>44629</v>
      </c>
      <c r="D342" s="270">
        <v>632</v>
      </c>
      <c r="E342" s="270" t="s">
        <v>670</v>
      </c>
      <c r="F342" s="270" t="s">
        <v>342</v>
      </c>
      <c r="G342" s="270" t="s">
        <v>453</v>
      </c>
      <c r="H342" s="147">
        <v>956608</v>
      </c>
      <c r="I342" s="118"/>
      <c r="J342" s="270" t="s">
        <v>191</v>
      </c>
      <c r="K342" s="108">
        <v>123</v>
      </c>
      <c r="L342" s="82"/>
      <c r="M342" s="271">
        <f t="shared" ref="M342:M361" si="32">K342-L342</f>
        <v>123</v>
      </c>
      <c r="N342" s="272">
        <f t="shared" ref="N342:N361" si="33">L342/K342</f>
        <v>0</v>
      </c>
    </row>
    <row r="343" spans="1:14">
      <c r="A343" s="270" t="s">
        <v>673</v>
      </c>
      <c r="B343" s="270" t="s">
        <v>331</v>
      </c>
      <c r="C343" s="124">
        <v>44629</v>
      </c>
      <c r="D343" s="270">
        <v>632</v>
      </c>
      <c r="E343" s="270" t="s">
        <v>670</v>
      </c>
      <c r="F343" s="270" t="s">
        <v>342</v>
      </c>
      <c r="G343" s="270" t="s">
        <v>453</v>
      </c>
      <c r="H343" s="270">
        <v>956608</v>
      </c>
      <c r="I343" s="118"/>
      <c r="J343" s="270" t="s">
        <v>192</v>
      </c>
      <c r="K343" s="108">
        <v>228</v>
      </c>
      <c r="L343" s="82"/>
      <c r="M343" s="271">
        <f t="shared" si="32"/>
        <v>228</v>
      </c>
      <c r="N343" s="272">
        <f t="shared" si="33"/>
        <v>0</v>
      </c>
    </row>
    <row r="344" spans="1:14">
      <c r="A344" s="270" t="s">
        <v>673</v>
      </c>
      <c r="B344" s="270" t="s">
        <v>331</v>
      </c>
      <c r="C344" s="124">
        <v>44629</v>
      </c>
      <c r="D344" s="270">
        <v>632</v>
      </c>
      <c r="E344" s="270" t="s">
        <v>670</v>
      </c>
      <c r="F344" s="270" t="s">
        <v>342</v>
      </c>
      <c r="G344" s="270" t="s">
        <v>679</v>
      </c>
      <c r="H344" s="147">
        <v>955420</v>
      </c>
      <c r="I344" s="118"/>
      <c r="J344" s="270" t="s">
        <v>191</v>
      </c>
      <c r="K344" s="108">
        <v>105</v>
      </c>
      <c r="L344" s="82">
        <v>87.414000000000001</v>
      </c>
      <c r="M344" s="271">
        <f t="shared" si="32"/>
        <v>17.585999999999999</v>
      </c>
      <c r="N344" s="272">
        <f t="shared" si="33"/>
        <v>0.83251428571428576</v>
      </c>
    </row>
    <row r="345" spans="1:14">
      <c r="A345" s="270" t="s">
        <v>673</v>
      </c>
      <c r="B345" s="270" t="s">
        <v>331</v>
      </c>
      <c r="C345" s="124">
        <v>44629</v>
      </c>
      <c r="D345" s="270">
        <v>632</v>
      </c>
      <c r="E345" s="270" t="s">
        <v>670</v>
      </c>
      <c r="F345" s="270" t="s">
        <v>342</v>
      </c>
      <c r="G345" s="270" t="s">
        <v>679</v>
      </c>
      <c r="H345" s="270">
        <v>955420</v>
      </c>
      <c r="I345" s="118"/>
      <c r="J345" s="270" t="s">
        <v>192</v>
      </c>
      <c r="K345" s="108">
        <v>195</v>
      </c>
      <c r="L345" s="82">
        <v>174.94399999999999</v>
      </c>
      <c r="M345" s="271">
        <f t="shared" si="32"/>
        <v>20.056000000000012</v>
      </c>
      <c r="N345" s="272">
        <f t="shared" si="33"/>
        <v>0.89714871794871787</v>
      </c>
    </row>
    <row r="346" spans="1:14">
      <c r="A346" s="270" t="s">
        <v>673</v>
      </c>
      <c r="B346" s="270" t="s">
        <v>331</v>
      </c>
      <c r="C346" s="124">
        <v>44629</v>
      </c>
      <c r="D346" s="270">
        <v>632</v>
      </c>
      <c r="E346" s="270" t="s">
        <v>670</v>
      </c>
      <c r="F346" s="270" t="s">
        <v>342</v>
      </c>
      <c r="G346" s="270" t="s">
        <v>463</v>
      </c>
      <c r="H346" s="147">
        <v>902733</v>
      </c>
      <c r="I346" s="118"/>
      <c r="J346" s="270" t="s">
        <v>191</v>
      </c>
      <c r="K346" s="108">
        <v>210</v>
      </c>
      <c r="L346" s="82"/>
      <c r="M346" s="271">
        <f t="shared" si="32"/>
        <v>210</v>
      </c>
      <c r="N346" s="272">
        <f t="shared" si="33"/>
        <v>0</v>
      </c>
    </row>
    <row r="347" spans="1:14">
      <c r="A347" s="270" t="s">
        <v>673</v>
      </c>
      <c r="B347" s="270" t="s">
        <v>331</v>
      </c>
      <c r="C347" s="124">
        <v>44629</v>
      </c>
      <c r="D347" s="270">
        <v>632</v>
      </c>
      <c r="E347" s="270" t="s">
        <v>670</v>
      </c>
      <c r="F347" s="270" t="s">
        <v>342</v>
      </c>
      <c r="G347" s="270" t="s">
        <v>463</v>
      </c>
      <c r="H347" s="270">
        <v>902733</v>
      </c>
      <c r="I347" s="118"/>
      <c r="J347" s="270" t="s">
        <v>192</v>
      </c>
      <c r="K347" s="108">
        <v>390</v>
      </c>
      <c r="L347" s="82"/>
      <c r="M347" s="271">
        <f t="shared" si="32"/>
        <v>390</v>
      </c>
      <c r="N347" s="272">
        <f t="shared" si="33"/>
        <v>0</v>
      </c>
    </row>
    <row r="348" spans="1:14">
      <c r="A348" s="270" t="s">
        <v>673</v>
      </c>
      <c r="B348" s="270" t="s">
        <v>331</v>
      </c>
      <c r="C348" s="124">
        <v>44629</v>
      </c>
      <c r="D348" s="270">
        <v>632</v>
      </c>
      <c r="E348" s="270" t="s">
        <v>670</v>
      </c>
      <c r="F348" s="270" t="s">
        <v>342</v>
      </c>
      <c r="G348" s="270" t="s">
        <v>680</v>
      </c>
      <c r="H348" s="147">
        <v>951221</v>
      </c>
      <c r="I348" s="118"/>
      <c r="J348" s="270" t="s">
        <v>191</v>
      </c>
      <c r="K348" s="108">
        <v>56</v>
      </c>
      <c r="L348" s="82">
        <v>27.898</v>
      </c>
      <c r="M348" s="271">
        <f t="shared" si="32"/>
        <v>28.102</v>
      </c>
      <c r="N348" s="272">
        <f t="shared" si="33"/>
        <v>0.49817857142857142</v>
      </c>
    </row>
    <row r="349" spans="1:14">
      <c r="A349" s="270" t="s">
        <v>673</v>
      </c>
      <c r="B349" s="270" t="s">
        <v>331</v>
      </c>
      <c r="C349" s="124">
        <v>44629</v>
      </c>
      <c r="D349" s="270">
        <v>632</v>
      </c>
      <c r="E349" s="270" t="s">
        <v>670</v>
      </c>
      <c r="F349" s="270" t="s">
        <v>342</v>
      </c>
      <c r="G349" s="270" t="s">
        <v>680</v>
      </c>
      <c r="H349" s="270">
        <v>951221</v>
      </c>
      <c r="I349" s="118"/>
      <c r="J349" s="270" t="s">
        <v>192</v>
      </c>
      <c r="K349" s="108">
        <v>104</v>
      </c>
      <c r="L349" s="82">
        <v>40.546999999999997</v>
      </c>
      <c r="M349" s="271">
        <f t="shared" si="32"/>
        <v>63.453000000000003</v>
      </c>
      <c r="N349" s="272">
        <f t="shared" si="33"/>
        <v>0.38987499999999997</v>
      </c>
    </row>
    <row r="350" spans="1:14">
      <c r="A350" s="270" t="s">
        <v>673</v>
      </c>
      <c r="B350" s="270" t="s">
        <v>331</v>
      </c>
      <c r="C350" s="124">
        <v>44629</v>
      </c>
      <c r="D350" s="270">
        <v>632</v>
      </c>
      <c r="E350" s="270" t="s">
        <v>670</v>
      </c>
      <c r="F350" s="270" t="s">
        <v>342</v>
      </c>
      <c r="G350" s="270" t="s">
        <v>681</v>
      </c>
      <c r="H350" s="147">
        <v>955168</v>
      </c>
      <c r="I350" s="118"/>
      <c r="J350" s="270" t="s">
        <v>191</v>
      </c>
      <c r="K350" s="108">
        <v>42</v>
      </c>
      <c r="L350" s="82">
        <v>37.378999999999998</v>
      </c>
      <c r="M350" s="271">
        <f t="shared" si="32"/>
        <v>4.6210000000000022</v>
      </c>
      <c r="N350" s="272">
        <f t="shared" si="33"/>
        <v>0.88997619047619048</v>
      </c>
    </row>
    <row r="351" spans="1:14">
      <c r="A351" s="270" t="s">
        <v>673</v>
      </c>
      <c r="B351" s="270" t="s">
        <v>331</v>
      </c>
      <c r="C351" s="124">
        <v>44629</v>
      </c>
      <c r="D351" s="270">
        <v>632</v>
      </c>
      <c r="E351" s="270" t="s">
        <v>670</v>
      </c>
      <c r="F351" s="270" t="s">
        <v>342</v>
      </c>
      <c r="G351" s="270" t="s">
        <v>681</v>
      </c>
      <c r="H351" s="270">
        <v>955168</v>
      </c>
      <c r="I351" s="118"/>
      <c r="J351" s="270" t="s">
        <v>192</v>
      </c>
      <c r="K351" s="108">
        <v>78</v>
      </c>
      <c r="L351" s="82">
        <v>30.771000000000001</v>
      </c>
      <c r="M351" s="271">
        <f t="shared" si="32"/>
        <v>47.228999999999999</v>
      </c>
      <c r="N351" s="272">
        <f t="shared" si="33"/>
        <v>0.39450000000000002</v>
      </c>
    </row>
    <row r="352" spans="1:14">
      <c r="A352" s="270" t="s">
        <v>673</v>
      </c>
      <c r="B352" s="270" t="s">
        <v>331</v>
      </c>
      <c r="C352" s="124">
        <v>44629</v>
      </c>
      <c r="D352" s="270">
        <v>632</v>
      </c>
      <c r="E352" s="270" t="s">
        <v>670</v>
      </c>
      <c r="F352" s="270" t="s">
        <v>342</v>
      </c>
      <c r="G352" s="375" t="s">
        <v>682</v>
      </c>
      <c r="H352" s="147">
        <v>966254</v>
      </c>
      <c r="I352" s="118"/>
      <c r="J352" s="270" t="s">
        <v>191</v>
      </c>
      <c r="K352" s="108">
        <v>63</v>
      </c>
      <c r="L352" s="82">
        <v>44.835999999999999</v>
      </c>
      <c r="M352" s="271">
        <f t="shared" si="32"/>
        <v>18.164000000000001</v>
      </c>
      <c r="N352" s="272">
        <f t="shared" si="33"/>
        <v>0.71168253968253969</v>
      </c>
    </row>
    <row r="353" spans="1:14">
      <c r="A353" s="270" t="s">
        <v>673</v>
      </c>
      <c r="B353" s="270" t="s">
        <v>331</v>
      </c>
      <c r="C353" s="124">
        <v>44629</v>
      </c>
      <c r="D353" s="270">
        <v>632</v>
      </c>
      <c r="E353" s="270" t="s">
        <v>670</v>
      </c>
      <c r="F353" s="270" t="s">
        <v>342</v>
      </c>
      <c r="G353" s="375" t="s">
        <v>682</v>
      </c>
      <c r="H353" s="270">
        <v>966254</v>
      </c>
      <c r="I353" s="118"/>
      <c r="J353" s="270" t="s">
        <v>192</v>
      </c>
      <c r="K353" s="108">
        <v>117</v>
      </c>
      <c r="L353" s="82">
        <v>135.16399999999999</v>
      </c>
      <c r="M353" s="271">
        <f t="shared" si="32"/>
        <v>-18.163999999999987</v>
      </c>
      <c r="N353" s="272">
        <f t="shared" si="33"/>
        <v>1.1552478632478631</v>
      </c>
    </row>
    <row r="354" spans="1:14">
      <c r="A354" s="270" t="s">
        <v>673</v>
      </c>
      <c r="B354" s="270" t="s">
        <v>331</v>
      </c>
      <c r="C354" s="124">
        <v>44629</v>
      </c>
      <c r="D354" s="270">
        <v>632</v>
      </c>
      <c r="E354" s="270" t="s">
        <v>670</v>
      </c>
      <c r="F354" s="270" t="s">
        <v>342</v>
      </c>
      <c r="G354" s="270" t="s">
        <v>478</v>
      </c>
      <c r="H354" s="147">
        <v>968681</v>
      </c>
      <c r="I354" s="118"/>
      <c r="J354" s="270" t="s">
        <v>191</v>
      </c>
      <c r="K354" s="108">
        <v>210</v>
      </c>
      <c r="L354" s="82">
        <v>327.47399999999999</v>
      </c>
      <c r="M354" s="271">
        <f t="shared" si="32"/>
        <v>-117.47399999999999</v>
      </c>
      <c r="N354" s="272">
        <f t="shared" si="33"/>
        <v>1.5593999999999999</v>
      </c>
    </row>
    <row r="355" spans="1:14">
      <c r="A355" s="270" t="s">
        <v>673</v>
      </c>
      <c r="B355" s="270" t="s">
        <v>331</v>
      </c>
      <c r="C355" s="124">
        <v>44629</v>
      </c>
      <c r="D355" s="270">
        <v>632</v>
      </c>
      <c r="E355" s="270" t="s">
        <v>670</v>
      </c>
      <c r="F355" s="270" t="s">
        <v>342</v>
      </c>
      <c r="G355" s="270" t="s">
        <v>478</v>
      </c>
      <c r="H355" s="270">
        <v>968681</v>
      </c>
      <c r="I355" s="118"/>
      <c r="J355" s="270" t="s">
        <v>192</v>
      </c>
      <c r="K355" s="108">
        <v>390</v>
      </c>
      <c r="L355" s="82">
        <v>31.428000000000001</v>
      </c>
      <c r="M355" s="271">
        <f t="shared" si="32"/>
        <v>358.572</v>
      </c>
      <c r="N355" s="272">
        <f t="shared" si="33"/>
        <v>8.0584615384615393E-2</v>
      </c>
    </row>
    <row r="356" spans="1:14">
      <c r="A356" s="270" t="s">
        <v>673</v>
      </c>
      <c r="B356" s="270" t="s">
        <v>331</v>
      </c>
      <c r="C356" s="124">
        <v>44629</v>
      </c>
      <c r="D356" s="270">
        <v>632</v>
      </c>
      <c r="E356" s="270" t="s">
        <v>670</v>
      </c>
      <c r="F356" s="270" t="s">
        <v>342</v>
      </c>
      <c r="G356" s="270" t="s">
        <v>480</v>
      </c>
      <c r="H356" s="147">
        <v>953883</v>
      </c>
      <c r="I356" s="118"/>
      <c r="J356" s="270" t="s">
        <v>191</v>
      </c>
      <c r="K356" s="108">
        <v>210</v>
      </c>
      <c r="L356" s="82">
        <v>349.05399999999997</v>
      </c>
      <c r="M356" s="271">
        <f t="shared" si="32"/>
        <v>-139.05399999999997</v>
      </c>
      <c r="N356" s="272">
        <f t="shared" si="33"/>
        <v>1.6621619047619047</v>
      </c>
    </row>
    <row r="357" spans="1:14">
      <c r="A357" s="270" t="s">
        <v>673</v>
      </c>
      <c r="B357" s="270" t="s">
        <v>331</v>
      </c>
      <c r="C357" s="124">
        <v>44629</v>
      </c>
      <c r="D357" s="270">
        <v>632</v>
      </c>
      <c r="E357" s="270" t="s">
        <v>670</v>
      </c>
      <c r="F357" s="270" t="s">
        <v>342</v>
      </c>
      <c r="G357" s="270" t="s">
        <v>480</v>
      </c>
      <c r="H357" s="270">
        <v>953883</v>
      </c>
      <c r="I357" s="118"/>
      <c r="J357" s="270" t="s">
        <v>192</v>
      </c>
      <c r="K357" s="108">
        <v>390</v>
      </c>
      <c r="L357" s="82">
        <v>54.927</v>
      </c>
      <c r="M357" s="271">
        <f t="shared" si="32"/>
        <v>335.07299999999998</v>
      </c>
      <c r="N357" s="272">
        <f t="shared" si="33"/>
        <v>0.14083846153846155</v>
      </c>
    </row>
    <row r="358" spans="1:14">
      <c r="A358" s="270" t="s">
        <v>673</v>
      </c>
      <c r="B358" s="270" t="s">
        <v>331</v>
      </c>
      <c r="C358" s="124">
        <v>44629</v>
      </c>
      <c r="D358" s="270">
        <v>632</v>
      </c>
      <c r="E358" s="270" t="s">
        <v>670</v>
      </c>
      <c r="F358" s="270" t="s">
        <v>342</v>
      </c>
      <c r="G358" s="270" t="s">
        <v>683</v>
      </c>
      <c r="H358" s="147">
        <v>966171</v>
      </c>
      <c r="I358" s="118"/>
      <c r="J358" s="270" t="s">
        <v>191</v>
      </c>
      <c r="K358" s="108">
        <v>70</v>
      </c>
      <c r="L358" s="82"/>
      <c r="M358" s="271">
        <f t="shared" si="32"/>
        <v>70</v>
      </c>
      <c r="N358" s="272">
        <f t="shared" si="33"/>
        <v>0</v>
      </c>
    </row>
    <row r="359" spans="1:14">
      <c r="A359" s="270" t="s">
        <v>673</v>
      </c>
      <c r="B359" s="270" t="s">
        <v>331</v>
      </c>
      <c r="C359" s="124">
        <v>44629</v>
      </c>
      <c r="D359" s="270">
        <v>632</v>
      </c>
      <c r="E359" s="270" t="s">
        <v>670</v>
      </c>
      <c r="F359" s="270" t="s">
        <v>342</v>
      </c>
      <c r="G359" s="270" t="s">
        <v>683</v>
      </c>
      <c r="H359" s="270">
        <v>966171</v>
      </c>
      <c r="I359" s="118"/>
      <c r="J359" s="270" t="s">
        <v>192</v>
      </c>
      <c r="K359" s="108">
        <v>130</v>
      </c>
      <c r="L359" s="82"/>
      <c r="M359" s="271">
        <f t="shared" si="32"/>
        <v>130</v>
      </c>
      <c r="N359" s="272">
        <f t="shared" si="33"/>
        <v>0</v>
      </c>
    </row>
    <row r="360" spans="1:14">
      <c r="A360" s="270" t="s">
        <v>673</v>
      </c>
      <c r="B360" s="270" t="s">
        <v>331</v>
      </c>
      <c r="C360" s="124">
        <v>44629</v>
      </c>
      <c r="D360" s="270">
        <v>632</v>
      </c>
      <c r="E360" s="270" t="s">
        <v>670</v>
      </c>
      <c r="F360" s="270" t="s">
        <v>342</v>
      </c>
      <c r="G360" s="270" t="s">
        <v>519</v>
      </c>
      <c r="H360" s="147">
        <v>697900</v>
      </c>
      <c r="I360" s="118"/>
      <c r="J360" s="270" t="s">
        <v>191</v>
      </c>
      <c r="K360" s="108">
        <v>70</v>
      </c>
      <c r="L360" s="82">
        <v>70</v>
      </c>
      <c r="M360" s="271">
        <f t="shared" si="32"/>
        <v>0</v>
      </c>
      <c r="N360" s="272">
        <f t="shared" si="33"/>
        <v>1</v>
      </c>
    </row>
    <row r="361" spans="1:14">
      <c r="A361" s="270" t="s">
        <v>673</v>
      </c>
      <c r="B361" s="270" t="s">
        <v>331</v>
      </c>
      <c r="C361" s="124">
        <v>44629</v>
      </c>
      <c r="D361" s="270">
        <v>632</v>
      </c>
      <c r="E361" s="270" t="s">
        <v>670</v>
      </c>
      <c r="F361" s="270" t="s">
        <v>342</v>
      </c>
      <c r="G361" s="270" t="s">
        <v>519</v>
      </c>
      <c r="H361" s="270">
        <v>697900</v>
      </c>
      <c r="I361" s="118"/>
      <c r="J361" s="270" t="s">
        <v>192</v>
      </c>
      <c r="K361" s="108">
        <v>130</v>
      </c>
      <c r="L361" s="82">
        <v>130</v>
      </c>
      <c r="M361" s="271">
        <f t="shared" si="32"/>
        <v>0</v>
      </c>
      <c r="N361" s="272">
        <f t="shared" si="33"/>
        <v>1</v>
      </c>
    </row>
    <row r="362" spans="1:14">
      <c r="A362" s="270" t="s">
        <v>673</v>
      </c>
      <c r="B362" s="270" t="s">
        <v>331</v>
      </c>
      <c r="C362" s="124">
        <v>44629</v>
      </c>
      <c r="D362" s="270">
        <v>632</v>
      </c>
      <c r="E362" s="270" t="s">
        <v>670</v>
      </c>
      <c r="F362" s="270" t="s">
        <v>342</v>
      </c>
      <c r="G362" s="270" t="s">
        <v>684</v>
      </c>
      <c r="H362" s="147">
        <v>952517</v>
      </c>
      <c r="I362" s="118"/>
      <c r="J362" s="270" t="s">
        <v>191</v>
      </c>
      <c r="K362" s="108">
        <v>42</v>
      </c>
      <c r="L362" s="82">
        <v>33.607999999999997</v>
      </c>
      <c r="M362" s="271">
        <f t="shared" ref="M362:M363" si="34">K362-L362</f>
        <v>8.392000000000003</v>
      </c>
      <c r="N362" s="272">
        <f t="shared" ref="N362:N363" si="35">L362/K362</f>
        <v>0.80019047619047612</v>
      </c>
    </row>
    <row r="363" spans="1:14">
      <c r="A363" s="270" t="s">
        <v>673</v>
      </c>
      <c r="B363" s="270" t="s">
        <v>331</v>
      </c>
      <c r="C363" s="124">
        <v>44629</v>
      </c>
      <c r="D363" s="270">
        <v>632</v>
      </c>
      <c r="E363" s="270" t="s">
        <v>670</v>
      </c>
      <c r="F363" s="270" t="s">
        <v>342</v>
      </c>
      <c r="G363" s="270" t="s">
        <v>684</v>
      </c>
      <c r="H363" s="270">
        <v>952517</v>
      </c>
      <c r="I363" s="118"/>
      <c r="J363" s="270" t="s">
        <v>192</v>
      </c>
      <c r="K363" s="108">
        <v>78</v>
      </c>
      <c r="L363" s="82">
        <v>33.735999999999997</v>
      </c>
      <c r="M363" s="271">
        <f t="shared" si="34"/>
        <v>44.264000000000003</v>
      </c>
      <c r="N363" s="272">
        <f t="shared" si="35"/>
        <v>0.43251282051282047</v>
      </c>
    </row>
    <row r="364" spans="1:14">
      <c r="A364" s="270" t="s">
        <v>673</v>
      </c>
      <c r="B364" s="270" t="s">
        <v>335</v>
      </c>
      <c r="C364" s="124">
        <v>44629</v>
      </c>
      <c r="D364" s="270">
        <v>632</v>
      </c>
      <c r="E364" s="270" t="s">
        <v>670</v>
      </c>
      <c r="F364" s="270" t="s">
        <v>342</v>
      </c>
      <c r="G364" s="270" t="s">
        <v>339</v>
      </c>
      <c r="H364" s="270">
        <v>923199</v>
      </c>
      <c r="I364" s="118"/>
      <c r="J364" s="270" t="s">
        <v>191</v>
      </c>
      <c r="K364" s="560">
        <v>280</v>
      </c>
      <c r="L364" s="82">
        <v>605.75</v>
      </c>
      <c r="M364" s="562">
        <f>K364-(L364+L365)</f>
        <v>-325.75</v>
      </c>
      <c r="N364" s="564">
        <f>(L364+L365)/K364</f>
        <v>2.1633928571428571</v>
      </c>
    </row>
    <row r="365" spans="1:14">
      <c r="A365" s="270" t="s">
        <v>673</v>
      </c>
      <c r="B365" s="270" t="s">
        <v>335</v>
      </c>
      <c r="C365" s="124">
        <v>44629</v>
      </c>
      <c r="D365" s="270">
        <v>632</v>
      </c>
      <c r="E365" s="270" t="s">
        <v>670</v>
      </c>
      <c r="F365" s="270" t="s">
        <v>342</v>
      </c>
      <c r="G365" s="270" t="s">
        <v>340</v>
      </c>
      <c r="H365" s="270">
        <v>964068</v>
      </c>
      <c r="I365" s="118"/>
      <c r="J365" s="270" t="s">
        <v>191</v>
      </c>
      <c r="K365" s="561"/>
      <c r="L365" s="82"/>
      <c r="M365" s="563"/>
      <c r="N365" s="565"/>
    </row>
    <row r="366" spans="1:14">
      <c r="A366" s="270" t="s">
        <v>673</v>
      </c>
      <c r="B366" s="270" t="s">
        <v>335</v>
      </c>
      <c r="C366" s="124">
        <v>44629</v>
      </c>
      <c r="D366" s="270">
        <v>632</v>
      </c>
      <c r="E366" s="270" t="s">
        <v>670</v>
      </c>
      <c r="F366" s="270" t="s">
        <v>342</v>
      </c>
      <c r="G366" s="270" t="s">
        <v>339</v>
      </c>
      <c r="H366" s="270">
        <v>923199</v>
      </c>
      <c r="I366" s="118"/>
      <c r="J366" s="270" t="s">
        <v>192</v>
      </c>
      <c r="K366" s="560">
        <v>520</v>
      </c>
      <c r="L366" s="82">
        <v>194.25</v>
      </c>
      <c r="M366" s="562">
        <f>K366-(L366+L367)</f>
        <v>325.75</v>
      </c>
      <c r="N366" s="564">
        <f>(L366+L367)/K366</f>
        <v>0.37355769230769231</v>
      </c>
    </row>
    <row r="367" spans="1:14">
      <c r="A367" s="270" t="s">
        <v>673</v>
      </c>
      <c r="B367" s="270" t="s">
        <v>335</v>
      </c>
      <c r="C367" s="124">
        <v>44629</v>
      </c>
      <c r="D367" s="270">
        <v>632</v>
      </c>
      <c r="E367" s="270" t="s">
        <v>670</v>
      </c>
      <c r="F367" s="270" t="s">
        <v>342</v>
      </c>
      <c r="G367" s="270" t="s">
        <v>340</v>
      </c>
      <c r="H367" s="270">
        <v>964068</v>
      </c>
      <c r="I367" s="118"/>
      <c r="J367" s="270" t="s">
        <v>192</v>
      </c>
      <c r="K367" s="561"/>
      <c r="L367" s="82"/>
      <c r="M367" s="563"/>
      <c r="N367" s="565"/>
    </row>
    <row r="368" spans="1:14">
      <c r="A368" s="270" t="s">
        <v>673</v>
      </c>
      <c r="B368" s="270" t="s">
        <v>335</v>
      </c>
      <c r="C368" s="124">
        <v>44629</v>
      </c>
      <c r="D368" s="270">
        <v>632</v>
      </c>
      <c r="E368" s="270" t="s">
        <v>670</v>
      </c>
      <c r="F368" s="270" t="s">
        <v>342</v>
      </c>
      <c r="G368" s="118" t="s">
        <v>501</v>
      </c>
      <c r="H368" s="147">
        <v>959370</v>
      </c>
      <c r="I368" s="118"/>
      <c r="J368" s="270" t="s">
        <v>191</v>
      </c>
      <c r="K368" s="560">
        <v>196</v>
      </c>
      <c r="L368" s="82">
        <v>46.808999999999997</v>
      </c>
      <c r="M368" s="562">
        <f>K368-(L368+L369)</f>
        <v>-83.603999999999985</v>
      </c>
      <c r="N368" s="564">
        <f>(L368+L369)/K368</f>
        <v>1.4265510204081633</v>
      </c>
    </row>
    <row r="369" spans="1:14">
      <c r="A369" s="270" t="s">
        <v>673</v>
      </c>
      <c r="B369" s="270" t="s">
        <v>335</v>
      </c>
      <c r="C369" s="124">
        <v>44629</v>
      </c>
      <c r="D369" s="270">
        <v>632</v>
      </c>
      <c r="E369" s="270" t="s">
        <v>670</v>
      </c>
      <c r="F369" s="270" t="s">
        <v>342</v>
      </c>
      <c r="G369" s="118" t="s">
        <v>523</v>
      </c>
      <c r="H369" s="147">
        <v>968833</v>
      </c>
      <c r="I369" s="118"/>
      <c r="J369" s="270" t="s">
        <v>191</v>
      </c>
      <c r="K369" s="561"/>
      <c r="L369" s="82">
        <v>232.79499999999999</v>
      </c>
      <c r="M369" s="563"/>
      <c r="N369" s="565"/>
    </row>
    <row r="370" spans="1:14">
      <c r="A370" s="270" t="s">
        <v>673</v>
      </c>
      <c r="B370" s="270" t="s">
        <v>335</v>
      </c>
      <c r="C370" s="124">
        <v>44629</v>
      </c>
      <c r="D370" s="270">
        <v>632</v>
      </c>
      <c r="E370" s="270" t="s">
        <v>670</v>
      </c>
      <c r="F370" s="270" t="s">
        <v>342</v>
      </c>
      <c r="G370" s="270" t="s">
        <v>501</v>
      </c>
      <c r="H370" s="270">
        <v>959370</v>
      </c>
      <c r="I370" s="118"/>
      <c r="J370" s="270" t="s">
        <v>192</v>
      </c>
      <c r="K370" s="560">
        <v>364</v>
      </c>
      <c r="L370" s="82">
        <v>72.073999999999998</v>
      </c>
      <c r="M370" s="562">
        <f>K370-(L370+L371)</f>
        <v>83.603999999999985</v>
      </c>
      <c r="N370" s="564">
        <f>(L370+L371)/K370</f>
        <v>0.77031868131868131</v>
      </c>
    </row>
    <row r="371" spans="1:14">
      <c r="A371" s="270" t="s">
        <v>673</v>
      </c>
      <c r="B371" s="270" t="s">
        <v>335</v>
      </c>
      <c r="C371" s="124">
        <v>44629</v>
      </c>
      <c r="D371" s="270">
        <v>632</v>
      </c>
      <c r="E371" s="270" t="s">
        <v>670</v>
      </c>
      <c r="F371" s="270" t="s">
        <v>342</v>
      </c>
      <c r="G371" s="270" t="s">
        <v>523</v>
      </c>
      <c r="H371" s="270">
        <v>968833</v>
      </c>
      <c r="I371" s="118"/>
      <c r="J371" s="270" t="s">
        <v>192</v>
      </c>
      <c r="K371" s="561"/>
      <c r="L371" s="82">
        <v>208.322</v>
      </c>
      <c r="M371" s="563"/>
      <c r="N371" s="565"/>
    </row>
    <row r="372" spans="1:14">
      <c r="A372" s="270" t="s">
        <v>673</v>
      </c>
      <c r="B372" s="270" t="s">
        <v>335</v>
      </c>
      <c r="C372" s="124">
        <v>44629</v>
      </c>
      <c r="D372" s="270">
        <v>632</v>
      </c>
      <c r="E372" s="270" t="s">
        <v>670</v>
      </c>
      <c r="F372" s="270" t="s">
        <v>342</v>
      </c>
      <c r="G372" s="270" t="s">
        <v>498</v>
      </c>
      <c r="H372" s="147">
        <v>969106</v>
      </c>
      <c r="I372" s="118"/>
      <c r="J372" s="270" t="s">
        <v>191</v>
      </c>
      <c r="K372" s="560">
        <v>175</v>
      </c>
      <c r="L372" s="82">
        <v>452.07600000000002</v>
      </c>
      <c r="M372" s="562">
        <f>K372-(L372+L373)</f>
        <v>-277.07600000000002</v>
      </c>
      <c r="N372" s="564">
        <f>(L372+L373)/K372</f>
        <v>2.5832914285714286</v>
      </c>
    </row>
    <row r="373" spans="1:14">
      <c r="A373" s="270" t="s">
        <v>673</v>
      </c>
      <c r="B373" s="270" t="s">
        <v>335</v>
      </c>
      <c r="C373" s="124">
        <v>44629</v>
      </c>
      <c r="D373" s="270">
        <v>632</v>
      </c>
      <c r="E373" s="270" t="s">
        <v>670</v>
      </c>
      <c r="F373" s="270" t="s">
        <v>342</v>
      </c>
      <c r="G373" s="270" t="s">
        <v>499</v>
      </c>
      <c r="H373" s="147">
        <v>968160</v>
      </c>
      <c r="I373" s="118"/>
      <c r="J373" s="270" t="s">
        <v>191</v>
      </c>
      <c r="K373" s="561"/>
      <c r="L373" s="82"/>
      <c r="M373" s="563"/>
      <c r="N373" s="565"/>
    </row>
    <row r="374" spans="1:14">
      <c r="A374" s="270" t="s">
        <v>673</v>
      </c>
      <c r="B374" s="270" t="s">
        <v>335</v>
      </c>
      <c r="C374" s="124">
        <v>44629</v>
      </c>
      <c r="D374" s="270">
        <v>632</v>
      </c>
      <c r="E374" s="270" t="s">
        <v>670</v>
      </c>
      <c r="F374" s="270" t="s">
        <v>342</v>
      </c>
      <c r="G374" s="270" t="s">
        <v>498</v>
      </c>
      <c r="H374" s="270">
        <v>969106</v>
      </c>
      <c r="I374" s="118"/>
      <c r="J374" s="270" t="s">
        <v>192</v>
      </c>
      <c r="K374" s="560">
        <v>325</v>
      </c>
      <c r="L374" s="82">
        <v>139.41300000000001</v>
      </c>
      <c r="M374" s="562">
        <f>K374-(L374+L375)</f>
        <v>185.58699999999999</v>
      </c>
      <c r="N374" s="564">
        <f>(L374+L375)/K374</f>
        <v>0.42896307692307695</v>
      </c>
    </row>
    <row r="375" spans="1:14">
      <c r="A375" s="270" t="s">
        <v>673</v>
      </c>
      <c r="B375" s="270" t="s">
        <v>335</v>
      </c>
      <c r="C375" s="124">
        <v>44629</v>
      </c>
      <c r="D375" s="270">
        <v>632</v>
      </c>
      <c r="E375" s="270" t="s">
        <v>670</v>
      </c>
      <c r="F375" s="270" t="s">
        <v>342</v>
      </c>
      <c r="G375" s="270" t="s">
        <v>499</v>
      </c>
      <c r="H375" s="270">
        <v>968160</v>
      </c>
      <c r="I375" s="118"/>
      <c r="J375" s="270" t="s">
        <v>192</v>
      </c>
      <c r="K375" s="561"/>
      <c r="L375" s="82"/>
      <c r="M375" s="563"/>
      <c r="N375" s="565"/>
    </row>
    <row r="376" spans="1:14">
      <c r="A376" s="270" t="s">
        <v>673</v>
      </c>
      <c r="B376" s="270" t="s">
        <v>335</v>
      </c>
      <c r="C376" s="124">
        <v>44629</v>
      </c>
      <c r="D376" s="270">
        <v>632</v>
      </c>
      <c r="E376" s="270" t="s">
        <v>670</v>
      </c>
      <c r="F376" s="270" t="s">
        <v>342</v>
      </c>
      <c r="G376" s="270" t="s">
        <v>500</v>
      </c>
      <c r="H376" s="147">
        <v>966875</v>
      </c>
      <c r="I376" s="118"/>
      <c r="J376" s="270" t="s">
        <v>191</v>
      </c>
      <c r="K376" s="560">
        <v>280</v>
      </c>
      <c r="L376" s="82"/>
      <c r="M376" s="562">
        <f>K376-(L376+L377)</f>
        <v>-117.07999999999998</v>
      </c>
      <c r="N376" s="564">
        <f>(L376+L377)/K376</f>
        <v>1.4181428571428571</v>
      </c>
    </row>
    <row r="377" spans="1:14">
      <c r="A377" s="270" t="s">
        <v>673</v>
      </c>
      <c r="B377" s="270" t="s">
        <v>335</v>
      </c>
      <c r="C377" s="124">
        <v>44629</v>
      </c>
      <c r="D377" s="270">
        <v>632</v>
      </c>
      <c r="E377" s="270" t="s">
        <v>670</v>
      </c>
      <c r="F377" s="270" t="s">
        <v>342</v>
      </c>
      <c r="G377" s="270" t="s">
        <v>490</v>
      </c>
      <c r="H377" s="147">
        <v>958905</v>
      </c>
      <c r="I377" s="118"/>
      <c r="J377" s="270" t="s">
        <v>191</v>
      </c>
      <c r="K377" s="561"/>
      <c r="L377" s="82">
        <v>397.08</v>
      </c>
      <c r="M377" s="563"/>
      <c r="N377" s="565"/>
    </row>
    <row r="378" spans="1:14">
      <c r="A378" s="270" t="s">
        <v>673</v>
      </c>
      <c r="B378" s="270" t="s">
        <v>335</v>
      </c>
      <c r="C378" s="124">
        <v>44629</v>
      </c>
      <c r="D378" s="270">
        <v>632</v>
      </c>
      <c r="E378" s="270" t="s">
        <v>670</v>
      </c>
      <c r="F378" s="270" t="s">
        <v>342</v>
      </c>
      <c r="G378" s="270" t="s">
        <v>500</v>
      </c>
      <c r="H378" s="270">
        <v>966875</v>
      </c>
      <c r="I378" s="118"/>
      <c r="J378" s="270" t="s">
        <v>192</v>
      </c>
      <c r="K378" s="560">
        <v>520</v>
      </c>
      <c r="L378" s="82"/>
      <c r="M378" s="562">
        <f>K378-(L378+L379)</f>
        <v>349.50900000000001</v>
      </c>
      <c r="N378" s="564">
        <f>(L378+L379)/K378</f>
        <v>0.32786730769230771</v>
      </c>
    </row>
    <row r="379" spans="1:14">
      <c r="A379" s="270" t="s">
        <v>673</v>
      </c>
      <c r="B379" s="270" t="s">
        <v>335</v>
      </c>
      <c r="C379" s="124">
        <v>44629</v>
      </c>
      <c r="D379" s="270">
        <v>632</v>
      </c>
      <c r="E379" s="270" t="s">
        <v>670</v>
      </c>
      <c r="F379" s="270" t="s">
        <v>342</v>
      </c>
      <c r="G379" s="270" t="s">
        <v>490</v>
      </c>
      <c r="H379" s="270">
        <v>958905</v>
      </c>
      <c r="I379" s="118"/>
      <c r="J379" s="270" t="s">
        <v>192</v>
      </c>
      <c r="K379" s="561"/>
      <c r="L379" s="82">
        <v>170.49100000000001</v>
      </c>
      <c r="M379" s="563"/>
      <c r="N379" s="565"/>
    </row>
    <row r="380" spans="1:14">
      <c r="A380" s="270" t="s">
        <v>673</v>
      </c>
      <c r="B380" s="270" t="s">
        <v>335</v>
      </c>
      <c r="C380" s="124">
        <v>44629</v>
      </c>
      <c r="D380" s="270">
        <v>632</v>
      </c>
      <c r="E380" s="270" t="s">
        <v>670</v>
      </c>
      <c r="F380" s="270" t="s">
        <v>342</v>
      </c>
      <c r="G380" s="118" t="s">
        <v>363</v>
      </c>
      <c r="H380" s="147">
        <v>962899</v>
      </c>
      <c r="I380" s="118"/>
      <c r="J380" s="270" t="s">
        <v>191</v>
      </c>
      <c r="K380" s="560">
        <v>1050</v>
      </c>
      <c r="L380" s="82">
        <v>211.27099999999999</v>
      </c>
      <c r="M380" s="562">
        <f>K380-(L380+L381+L382+L383)</f>
        <v>805.39300000000003</v>
      </c>
      <c r="N380" s="564">
        <f>(L380+L381+L382+L383)/K380</f>
        <v>0.23295904761904759</v>
      </c>
    </row>
    <row r="381" spans="1:14">
      <c r="A381" s="270" t="s">
        <v>673</v>
      </c>
      <c r="B381" s="270" t="s">
        <v>335</v>
      </c>
      <c r="C381" s="124">
        <v>44629</v>
      </c>
      <c r="D381" s="270">
        <v>632</v>
      </c>
      <c r="E381" s="270" t="s">
        <v>670</v>
      </c>
      <c r="F381" s="270" t="s">
        <v>342</v>
      </c>
      <c r="G381" s="118" t="s">
        <v>416</v>
      </c>
      <c r="H381" s="147">
        <v>950995</v>
      </c>
      <c r="I381" s="118"/>
      <c r="J381" s="270" t="s">
        <v>191</v>
      </c>
      <c r="K381" s="566"/>
      <c r="L381" s="82">
        <v>33.335999999999999</v>
      </c>
      <c r="M381" s="567"/>
      <c r="N381" s="568"/>
    </row>
    <row r="382" spans="1:14">
      <c r="A382" s="270" t="s">
        <v>673</v>
      </c>
      <c r="B382" s="270" t="s">
        <v>335</v>
      </c>
      <c r="C382" s="124">
        <v>44629</v>
      </c>
      <c r="D382" s="270">
        <v>632</v>
      </c>
      <c r="E382" s="270" t="s">
        <v>670</v>
      </c>
      <c r="F382" s="270" t="s">
        <v>342</v>
      </c>
      <c r="G382" s="118" t="s">
        <v>685</v>
      </c>
      <c r="H382" s="147">
        <v>954220</v>
      </c>
      <c r="I382" s="118"/>
      <c r="J382" s="270" t="s">
        <v>191</v>
      </c>
      <c r="K382" s="566"/>
      <c r="L382" s="82"/>
      <c r="M382" s="567"/>
      <c r="N382" s="568"/>
    </row>
    <row r="383" spans="1:14">
      <c r="A383" s="270" t="s">
        <v>673</v>
      </c>
      <c r="B383" s="270" t="s">
        <v>335</v>
      </c>
      <c r="C383" s="124">
        <v>44629</v>
      </c>
      <c r="D383" s="270">
        <v>632</v>
      </c>
      <c r="E383" s="270" t="s">
        <v>670</v>
      </c>
      <c r="F383" s="270" t="s">
        <v>342</v>
      </c>
      <c r="G383" s="118" t="s">
        <v>428</v>
      </c>
      <c r="H383" s="147">
        <v>959982</v>
      </c>
      <c r="I383" s="118"/>
      <c r="J383" s="270" t="s">
        <v>191</v>
      </c>
      <c r="K383" s="561"/>
      <c r="L383" s="82"/>
      <c r="M383" s="563"/>
      <c r="N383" s="565"/>
    </row>
    <row r="384" spans="1:14">
      <c r="A384" s="270" t="s">
        <v>673</v>
      </c>
      <c r="B384" s="270" t="s">
        <v>335</v>
      </c>
      <c r="C384" s="124">
        <v>44629</v>
      </c>
      <c r="D384" s="270">
        <v>632</v>
      </c>
      <c r="E384" s="270" t="s">
        <v>670</v>
      </c>
      <c r="F384" s="270" t="s">
        <v>342</v>
      </c>
      <c r="G384" s="118" t="s">
        <v>363</v>
      </c>
      <c r="H384" s="270">
        <v>962899</v>
      </c>
      <c r="I384" s="118"/>
      <c r="J384" s="270" t="s">
        <v>192</v>
      </c>
      <c r="K384" s="560">
        <v>1950</v>
      </c>
      <c r="L384" s="82">
        <v>34.378999999999998</v>
      </c>
      <c r="M384" s="562">
        <f>K384-(L384+L385+L386+L387)</f>
        <v>1901.3820000000001</v>
      </c>
      <c r="N384" s="564">
        <f>(L384+L385+L386+L387)/K384</f>
        <v>2.4932307692307691E-2</v>
      </c>
    </row>
    <row r="385" spans="1:14">
      <c r="A385" s="270" t="s">
        <v>673</v>
      </c>
      <c r="B385" s="270" t="s">
        <v>335</v>
      </c>
      <c r="C385" s="124">
        <v>44629</v>
      </c>
      <c r="D385" s="270">
        <v>632</v>
      </c>
      <c r="E385" s="270" t="s">
        <v>670</v>
      </c>
      <c r="F385" s="270" t="s">
        <v>342</v>
      </c>
      <c r="G385" s="118" t="s">
        <v>416</v>
      </c>
      <c r="H385" s="270">
        <v>950995</v>
      </c>
      <c r="I385" s="118"/>
      <c r="J385" s="270" t="s">
        <v>192</v>
      </c>
      <c r="K385" s="566"/>
      <c r="L385" s="82">
        <v>14.239000000000001</v>
      </c>
      <c r="M385" s="567"/>
      <c r="N385" s="568"/>
    </row>
    <row r="386" spans="1:14">
      <c r="A386" s="270" t="s">
        <v>673</v>
      </c>
      <c r="B386" s="270" t="s">
        <v>335</v>
      </c>
      <c r="C386" s="124">
        <v>44629</v>
      </c>
      <c r="D386" s="270">
        <v>632</v>
      </c>
      <c r="E386" s="270" t="s">
        <v>670</v>
      </c>
      <c r="F386" s="270" t="s">
        <v>342</v>
      </c>
      <c r="G386" s="118" t="s">
        <v>685</v>
      </c>
      <c r="H386" s="270">
        <v>954220</v>
      </c>
      <c r="I386" s="118"/>
      <c r="J386" s="270" t="s">
        <v>192</v>
      </c>
      <c r="K386" s="566"/>
      <c r="L386" s="82"/>
      <c r="M386" s="567"/>
      <c r="N386" s="568"/>
    </row>
    <row r="387" spans="1:14">
      <c r="A387" s="270" t="s">
        <v>673</v>
      </c>
      <c r="B387" s="270" t="s">
        <v>335</v>
      </c>
      <c r="C387" s="124">
        <v>44629</v>
      </c>
      <c r="D387" s="270">
        <v>632</v>
      </c>
      <c r="E387" s="270" t="s">
        <v>670</v>
      </c>
      <c r="F387" s="270" t="s">
        <v>342</v>
      </c>
      <c r="G387" s="118" t="s">
        <v>428</v>
      </c>
      <c r="H387" s="270">
        <v>959982</v>
      </c>
      <c r="I387" s="118"/>
      <c r="J387" s="270" t="s">
        <v>192</v>
      </c>
      <c r="K387" s="561"/>
      <c r="L387" s="82"/>
      <c r="M387" s="563"/>
      <c r="N387" s="565"/>
    </row>
    <row r="388" spans="1:14">
      <c r="A388" s="270" t="s">
        <v>673</v>
      </c>
      <c r="B388" s="270" t="s">
        <v>335</v>
      </c>
      <c r="C388" s="124">
        <v>44629</v>
      </c>
      <c r="D388" s="270">
        <v>632</v>
      </c>
      <c r="E388" s="270" t="s">
        <v>670</v>
      </c>
      <c r="F388" s="270" t="s">
        <v>342</v>
      </c>
      <c r="G388" s="118" t="s">
        <v>504</v>
      </c>
      <c r="H388" s="147">
        <v>922996</v>
      </c>
      <c r="I388" s="118"/>
      <c r="J388" s="270" t="s">
        <v>191</v>
      </c>
      <c r="K388" s="560">
        <v>858</v>
      </c>
      <c r="L388" s="82">
        <v>38.037999999999997</v>
      </c>
      <c r="M388" s="562">
        <f>K388-(L388+L389+L390+L391)</f>
        <v>-408.66699999999992</v>
      </c>
      <c r="N388" s="564">
        <f>(L388+L389+L390+L391)/K388</f>
        <v>1.4763018648018646</v>
      </c>
    </row>
    <row r="389" spans="1:14">
      <c r="A389" s="270" t="s">
        <v>673</v>
      </c>
      <c r="B389" s="270" t="s">
        <v>335</v>
      </c>
      <c r="C389" s="124">
        <v>44629</v>
      </c>
      <c r="D389" s="270">
        <v>632</v>
      </c>
      <c r="E389" s="270" t="s">
        <v>670</v>
      </c>
      <c r="F389" s="270" t="s">
        <v>342</v>
      </c>
      <c r="G389" s="118" t="s">
        <v>505</v>
      </c>
      <c r="H389" s="147">
        <v>698090</v>
      </c>
      <c r="I389" s="118"/>
      <c r="J389" s="270" t="s">
        <v>191</v>
      </c>
      <c r="K389" s="566"/>
      <c r="L389" s="82">
        <v>838.827</v>
      </c>
      <c r="M389" s="567"/>
      <c r="N389" s="568"/>
    </row>
    <row r="390" spans="1:14">
      <c r="A390" s="270" t="s">
        <v>673</v>
      </c>
      <c r="B390" s="270" t="s">
        <v>335</v>
      </c>
      <c r="C390" s="124">
        <v>44629</v>
      </c>
      <c r="D390" s="270">
        <v>632</v>
      </c>
      <c r="E390" s="270" t="s">
        <v>670</v>
      </c>
      <c r="F390" s="270" t="s">
        <v>342</v>
      </c>
      <c r="G390" s="118" t="s">
        <v>506</v>
      </c>
      <c r="H390" s="147">
        <v>968922</v>
      </c>
      <c r="I390" s="118"/>
      <c r="J390" s="270" t="s">
        <v>191</v>
      </c>
      <c r="K390" s="566"/>
      <c r="L390" s="82">
        <v>179.935</v>
      </c>
      <c r="M390" s="567"/>
      <c r="N390" s="568"/>
    </row>
    <row r="391" spans="1:14">
      <c r="A391" s="270" t="s">
        <v>673</v>
      </c>
      <c r="B391" s="270" t="s">
        <v>335</v>
      </c>
      <c r="C391" s="124">
        <v>44629</v>
      </c>
      <c r="D391" s="270">
        <v>632</v>
      </c>
      <c r="E391" s="270" t="s">
        <v>670</v>
      </c>
      <c r="F391" s="270" t="s">
        <v>342</v>
      </c>
      <c r="G391" s="118" t="s">
        <v>507</v>
      </c>
      <c r="H391" s="147">
        <v>926655</v>
      </c>
      <c r="I391" s="118"/>
      <c r="J391" s="270" t="s">
        <v>191</v>
      </c>
      <c r="K391" s="561"/>
      <c r="L391" s="82">
        <v>209.86699999999999</v>
      </c>
      <c r="M391" s="563"/>
      <c r="N391" s="565"/>
    </row>
    <row r="392" spans="1:14">
      <c r="A392" s="270" t="s">
        <v>673</v>
      </c>
      <c r="B392" s="270" t="s">
        <v>335</v>
      </c>
      <c r="C392" s="124">
        <v>44629</v>
      </c>
      <c r="D392" s="270">
        <v>632</v>
      </c>
      <c r="E392" s="270" t="s">
        <v>670</v>
      </c>
      <c r="F392" s="270" t="s">
        <v>342</v>
      </c>
      <c r="G392" s="270" t="s">
        <v>504</v>
      </c>
      <c r="H392" s="270">
        <v>922996</v>
      </c>
      <c r="I392" s="118"/>
      <c r="J392" s="270" t="s">
        <v>192</v>
      </c>
      <c r="K392" s="560">
        <v>1593</v>
      </c>
      <c r="L392" s="82">
        <v>56.546999999999997</v>
      </c>
      <c r="M392" s="562">
        <f>K392-(L392+L393+L394+L395)</f>
        <v>1136.9770000000001</v>
      </c>
      <c r="N392" s="564">
        <f>(L392+L393+L394+L395)/K392</f>
        <v>0.28626679221594475</v>
      </c>
    </row>
    <row r="393" spans="1:14">
      <c r="A393" s="270" t="s">
        <v>673</v>
      </c>
      <c r="B393" s="270" t="s">
        <v>335</v>
      </c>
      <c r="C393" s="124">
        <v>44629</v>
      </c>
      <c r="D393" s="270">
        <v>632</v>
      </c>
      <c r="E393" s="270" t="s">
        <v>670</v>
      </c>
      <c r="F393" s="270" t="s">
        <v>342</v>
      </c>
      <c r="G393" s="270" t="s">
        <v>505</v>
      </c>
      <c r="H393" s="270">
        <v>698090</v>
      </c>
      <c r="I393" s="118"/>
      <c r="J393" s="270" t="s">
        <v>192</v>
      </c>
      <c r="K393" s="566"/>
      <c r="L393" s="82">
        <v>288.32900000000001</v>
      </c>
      <c r="M393" s="567"/>
      <c r="N393" s="568"/>
    </row>
    <row r="394" spans="1:14">
      <c r="A394" s="270" t="s">
        <v>673</v>
      </c>
      <c r="B394" s="270" t="s">
        <v>335</v>
      </c>
      <c r="C394" s="124">
        <v>44629</v>
      </c>
      <c r="D394" s="270">
        <v>632</v>
      </c>
      <c r="E394" s="270" t="s">
        <v>670</v>
      </c>
      <c r="F394" s="270" t="s">
        <v>342</v>
      </c>
      <c r="G394" s="270" t="s">
        <v>506</v>
      </c>
      <c r="H394" s="270">
        <v>968922</v>
      </c>
      <c r="I394" s="118"/>
      <c r="J394" s="270" t="s">
        <v>192</v>
      </c>
      <c r="K394" s="566"/>
      <c r="L394" s="82">
        <v>61.634</v>
      </c>
      <c r="M394" s="567"/>
      <c r="N394" s="568"/>
    </row>
    <row r="395" spans="1:14">
      <c r="A395" s="270" t="s">
        <v>673</v>
      </c>
      <c r="B395" s="270" t="s">
        <v>335</v>
      </c>
      <c r="C395" s="124">
        <v>44629</v>
      </c>
      <c r="D395" s="270">
        <v>632</v>
      </c>
      <c r="E395" s="270" t="s">
        <v>670</v>
      </c>
      <c r="F395" s="270" t="s">
        <v>342</v>
      </c>
      <c r="G395" s="270" t="s">
        <v>507</v>
      </c>
      <c r="H395" s="270">
        <v>926655</v>
      </c>
      <c r="I395" s="118"/>
      <c r="J395" s="270" t="s">
        <v>192</v>
      </c>
      <c r="K395" s="561"/>
      <c r="L395" s="82">
        <v>49.512999999999998</v>
      </c>
      <c r="M395" s="563"/>
      <c r="N395" s="565"/>
    </row>
    <row r="396" spans="1:14">
      <c r="A396" s="286" t="s">
        <v>692</v>
      </c>
      <c r="B396" s="286" t="s">
        <v>331</v>
      </c>
      <c r="C396" s="124">
        <v>44648</v>
      </c>
      <c r="D396" s="147">
        <v>679</v>
      </c>
      <c r="E396" s="286" t="s">
        <v>670</v>
      </c>
      <c r="F396" s="286" t="s">
        <v>342</v>
      </c>
      <c r="G396" s="286" t="s">
        <v>701</v>
      </c>
      <c r="H396" s="147">
        <v>968614</v>
      </c>
      <c r="I396" s="118"/>
      <c r="J396" s="286" t="s">
        <v>191</v>
      </c>
      <c r="K396" s="108">
        <v>25</v>
      </c>
      <c r="L396" s="82"/>
      <c r="M396" s="287">
        <f t="shared" ref="M396:M401" si="36">K396-L396</f>
        <v>25</v>
      </c>
      <c r="N396" s="288">
        <f t="shared" ref="N396:N401" si="37">L396/K396</f>
        <v>0</v>
      </c>
    </row>
    <row r="397" spans="1:14">
      <c r="A397" s="286" t="s">
        <v>692</v>
      </c>
      <c r="B397" s="286" t="s">
        <v>331</v>
      </c>
      <c r="C397" s="124">
        <v>44648</v>
      </c>
      <c r="D397" s="286">
        <v>679</v>
      </c>
      <c r="E397" s="286" t="s">
        <v>670</v>
      </c>
      <c r="F397" s="286" t="s">
        <v>342</v>
      </c>
      <c r="G397" s="286" t="s">
        <v>701</v>
      </c>
      <c r="H397" s="286">
        <v>968614</v>
      </c>
      <c r="I397" s="118"/>
      <c r="J397" s="286" t="s">
        <v>192</v>
      </c>
      <c r="K397" s="108">
        <v>30</v>
      </c>
      <c r="L397" s="82"/>
      <c r="M397" s="287">
        <f t="shared" si="36"/>
        <v>30</v>
      </c>
      <c r="N397" s="288">
        <f t="shared" si="37"/>
        <v>0</v>
      </c>
    </row>
    <row r="398" spans="1:14">
      <c r="A398" s="286" t="s">
        <v>692</v>
      </c>
      <c r="B398" s="286" t="s">
        <v>331</v>
      </c>
      <c r="C398" s="124">
        <v>44648</v>
      </c>
      <c r="D398" s="286">
        <v>679</v>
      </c>
      <c r="E398" s="286" t="s">
        <v>670</v>
      </c>
      <c r="F398" s="286" t="s">
        <v>342</v>
      </c>
      <c r="G398" s="286" t="s">
        <v>347</v>
      </c>
      <c r="H398" s="147">
        <v>955516</v>
      </c>
      <c r="I398" s="118"/>
      <c r="J398" s="286" t="s">
        <v>191</v>
      </c>
      <c r="K398" s="108">
        <v>110</v>
      </c>
      <c r="L398" s="82">
        <v>110</v>
      </c>
      <c r="M398" s="287">
        <f t="shared" si="36"/>
        <v>0</v>
      </c>
      <c r="N398" s="288">
        <f t="shared" si="37"/>
        <v>1</v>
      </c>
    </row>
    <row r="399" spans="1:14">
      <c r="A399" s="286" t="s">
        <v>692</v>
      </c>
      <c r="B399" s="286" t="s">
        <v>331</v>
      </c>
      <c r="C399" s="124">
        <v>44648</v>
      </c>
      <c r="D399" s="286">
        <v>679</v>
      </c>
      <c r="E399" s="286" t="s">
        <v>670</v>
      </c>
      <c r="F399" s="286" t="s">
        <v>342</v>
      </c>
      <c r="G399" s="286" t="s">
        <v>347</v>
      </c>
      <c r="H399" s="286">
        <v>955516</v>
      </c>
      <c r="I399" s="118"/>
      <c r="J399" s="286" t="s">
        <v>192</v>
      </c>
      <c r="K399" s="108">
        <v>90</v>
      </c>
      <c r="L399" s="82">
        <v>56.201999999999998</v>
      </c>
      <c r="M399" s="287">
        <f t="shared" si="36"/>
        <v>33.798000000000002</v>
      </c>
      <c r="N399" s="288">
        <f t="shared" si="37"/>
        <v>0.62446666666666661</v>
      </c>
    </row>
    <row r="400" spans="1:14">
      <c r="A400" s="286" t="s">
        <v>692</v>
      </c>
      <c r="B400" s="286" t="s">
        <v>331</v>
      </c>
      <c r="C400" s="124">
        <v>44648</v>
      </c>
      <c r="D400" s="286">
        <v>679</v>
      </c>
      <c r="E400" s="286" t="s">
        <v>670</v>
      </c>
      <c r="F400" s="286" t="s">
        <v>342</v>
      </c>
      <c r="G400" s="286" t="s">
        <v>702</v>
      </c>
      <c r="H400" s="147">
        <v>969635</v>
      </c>
      <c r="I400" s="118"/>
      <c r="J400" s="286" t="s">
        <v>191</v>
      </c>
      <c r="K400" s="108">
        <v>100</v>
      </c>
      <c r="L400" s="82"/>
      <c r="M400" s="287">
        <f t="shared" si="36"/>
        <v>100</v>
      </c>
      <c r="N400" s="288">
        <f t="shared" si="37"/>
        <v>0</v>
      </c>
    </row>
    <row r="401" spans="1:14">
      <c r="A401" s="286" t="s">
        <v>692</v>
      </c>
      <c r="B401" s="286" t="s">
        <v>331</v>
      </c>
      <c r="C401" s="124">
        <v>44648</v>
      </c>
      <c r="D401" s="286">
        <v>679</v>
      </c>
      <c r="E401" s="286" t="s">
        <v>670</v>
      </c>
      <c r="F401" s="286" t="s">
        <v>342</v>
      </c>
      <c r="G401" s="286" t="s">
        <v>702</v>
      </c>
      <c r="H401" s="286">
        <v>969635</v>
      </c>
      <c r="I401" s="118"/>
      <c r="J401" s="286" t="s">
        <v>192</v>
      </c>
      <c r="K401" s="108">
        <v>9</v>
      </c>
      <c r="L401" s="82"/>
      <c r="M401" s="287">
        <f t="shared" si="36"/>
        <v>9</v>
      </c>
      <c r="N401" s="288">
        <f t="shared" si="37"/>
        <v>0</v>
      </c>
    </row>
    <row r="402" spans="1:14">
      <c r="A402" s="289" t="s">
        <v>692</v>
      </c>
      <c r="B402" s="289" t="s">
        <v>331</v>
      </c>
      <c r="C402" s="124">
        <v>44651</v>
      </c>
      <c r="D402" s="147">
        <v>697</v>
      </c>
      <c r="E402" s="289" t="s">
        <v>670</v>
      </c>
      <c r="F402" s="289" t="s">
        <v>342</v>
      </c>
      <c r="G402" s="289" t="s">
        <v>703</v>
      </c>
      <c r="H402" s="147">
        <v>698731</v>
      </c>
      <c r="I402" s="118"/>
      <c r="J402" s="289" t="s">
        <v>191</v>
      </c>
      <c r="K402" s="108">
        <v>480.6</v>
      </c>
      <c r="L402" s="82">
        <v>521.529</v>
      </c>
      <c r="M402" s="290">
        <f t="shared" ref="M402:M403" si="38">K402-L402</f>
        <v>-40.928999999999974</v>
      </c>
      <c r="N402" s="292">
        <f t="shared" ref="N402:N403" si="39">L402/K402</f>
        <v>1.0851622971285892</v>
      </c>
    </row>
    <row r="403" spans="1:14">
      <c r="A403" s="289" t="s">
        <v>692</v>
      </c>
      <c r="B403" s="289" t="s">
        <v>331</v>
      </c>
      <c r="C403" s="124">
        <v>44651</v>
      </c>
      <c r="D403" s="289">
        <v>697</v>
      </c>
      <c r="E403" s="289" t="s">
        <v>670</v>
      </c>
      <c r="F403" s="289" t="s">
        <v>342</v>
      </c>
      <c r="G403" s="289" t="s">
        <v>703</v>
      </c>
      <c r="H403" s="289">
        <v>698731</v>
      </c>
      <c r="I403" s="118"/>
      <c r="J403" s="289" t="s">
        <v>192</v>
      </c>
      <c r="K403" s="108">
        <v>419.4</v>
      </c>
      <c r="L403" s="82">
        <v>80.537999999999997</v>
      </c>
      <c r="M403" s="290">
        <f t="shared" si="38"/>
        <v>338.86199999999997</v>
      </c>
      <c r="N403" s="292">
        <f t="shared" si="39"/>
        <v>0.19203147353361946</v>
      </c>
    </row>
    <row r="404" spans="1:14">
      <c r="A404" s="289" t="s">
        <v>692</v>
      </c>
      <c r="B404" s="289" t="s">
        <v>331</v>
      </c>
      <c r="C404" s="124">
        <v>44651</v>
      </c>
      <c r="D404" s="289">
        <v>697</v>
      </c>
      <c r="E404" s="289" t="s">
        <v>670</v>
      </c>
      <c r="F404" s="289" t="s">
        <v>342</v>
      </c>
      <c r="G404" s="289" t="s">
        <v>397</v>
      </c>
      <c r="H404" s="147">
        <v>699073</v>
      </c>
      <c r="I404" s="118"/>
      <c r="J404" s="289" t="s">
        <v>191</v>
      </c>
      <c r="K404" s="108">
        <v>427.2</v>
      </c>
      <c r="L404" s="82">
        <v>417.55599999999998</v>
      </c>
      <c r="M404" s="290">
        <f t="shared" ref="M404:M407" si="40">K404-L404</f>
        <v>9.6440000000000055</v>
      </c>
      <c r="N404" s="292">
        <f t="shared" ref="N404:N407" si="41">L404/K404</f>
        <v>0.97742509363295882</v>
      </c>
    </row>
    <row r="405" spans="1:14">
      <c r="A405" s="289" t="s">
        <v>692</v>
      </c>
      <c r="B405" s="289" t="s">
        <v>331</v>
      </c>
      <c r="C405" s="124">
        <v>44651</v>
      </c>
      <c r="D405" s="289">
        <v>697</v>
      </c>
      <c r="E405" s="289" t="s">
        <v>670</v>
      </c>
      <c r="F405" s="289" t="s">
        <v>342</v>
      </c>
      <c r="G405" s="289" t="s">
        <v>397</v>
      </c>
      <c r="H405" s="289">
        <v>699073</v>
      </c>
      <c r="I405" s="118"/>
      <c r="J405" s="289" t="s">
        <v>192</v>
      </c>
      <c r="K405" s="108">
        <v>372.8</v>
      </c>
      <c r="L405" s="82">
        <v>17.064</v>
      </c>
      <c r="M405" s="290">
        <f t="shared" si="40"/>
        <v>355.73599999999999</v>
      </c>
      <c r="N405" s="292">
        <f t="shared" si="41"/>
        <v>4.5772532188841197E-2</v>
      </c>
    </row>
    <row r="406" spans="1:14">
      <c r="A406" s="289" t="s">
        <v>692</v>
      </c>
      <c r="B406" s="289" t="s">
        <v>331</v>
      </c>
      <c r="C406" s="124">
        <v>44651</v>
      </c>
      <c r="D406" s="289">
        <v>697</v>
      </c>
      <c r="E406" s="289" t="s">
        <v>670</v>
      </c>
      <c r="F406" s="289" t="s">
        <v>342</v>
      </c>
      <c r="G406" s="289" t="s">
        <v>447</v>
      </c>
      <c r="H406" s="147">
        <v>962102</v>
      </c>
      <c r="I406" s="118"/>
      <c r="J406" s="289" t="s">
        <v>191</v>
      </c>
      <c r="K406" s="108">
        <v>368.46</v>
      </c>
      <c r="L406" s="82">
        <v>395.27100000000002</v>
      </c>
      <c r="M406" s="290">
        <f t="shared" si="40"/>
        <v>-26.811000000000035</v>
      </c>
      <c r="N406" s="292">
        <f t="shared" si="41"/>
        <v>1.0727650219833904</v>
      </c>
    </row>
    <row r="407" spans="1:14">
      <c r="A407" s="289" t="s">
        <v>692</v>
      </c>
      <c r="B407" s="289" t="s">
        <v>331</v>
      </c>
      <c r="C407" s="124">
        <v>44651</v>
      </c>
      <c r="D407" s="289">
        <v>697</v>
      </c>
      <c r="E407" s="289" t="s">
        <v>670</v>
      </c>
      <c r="F407" s="289" t="s">
        <v>342</v>
      </c>
      <c r="G407" s="289" t="s">
        <v>447</v>
      </c>
      <c r="H407" s="289">
        <v>962102</v>
      </c>
      <c r="I407" s="118"/>
      <c r="J407" s="289" t="s">
        <v>192</v>
      </c>
      <c r="K407" s="108">
        <v>321.54000000000002</v>
      </c>
      <c r="L407" s="82">
        <v>213.55</v>
      </c>
      <c r="M407" s="290">
        <f t="shared" si="40"/>
        <v>107.99000000000001</v>
      </c>
      <c r="N407" s="292">
        <f t="shared" si="41"/>
        <v>0.66414753996392362</v>
      </c>
    </row>
    <row r="408" spans="1:14">
      <c r="A408" s="293" t="s">
        <v>705</v>
      </c>
      <c r="B408" s="293" t="s">
        <v>335</v>
      </c>
      <c r="C408" s="124">
        <v>44651</v>
      </c>
      <c r="D408" s="147">
        <v>700</v>
      </c>
      <c r="E408" s="293" t="s">
        <v>332</v>
      </c>
      <c r="F408" s="293" t="s">
        <v>333</v>
      </c>
      <c r="G408" s="293" t="s">
        <v>339</v>
      </c>
      <c r="H408" s="147">
        <v>923199</v>
      </c>
      <c r="I408" s="118"/>
      <c r="J408" s="293" t="s">
        <v>191</v>
      </c>
      <c r="K408" s="560">
        <v>145</v>
      </c>
      <c r="L408" s="82">
        <v>345.17200000000003</v>
      </c>
      <c r="M408" s="562">
        <f>K408-(L408+L409)</f>
        <v>-200.17200000000003</v>
      </c>
      <c r="N408" s="564">
        <f>(L408+L409)/K408</f>
        <v>2.3804965517241383</v>
      </c>
    </row>
    <row r="409" spans="1:14">
      <c r="A409" s="293" t="s">
        <v>705</v>
      </c>
      <c r="B409" s="293" t="s">
        <v>335</v>
      </c>
      <c r="C409" s="124">
        <v>44651</v>
      </c>
      <c r="D409" s="293">
        <v>700</v>
      </c>
      <c r="E409" s="293" t="s">
        <v>332</v>
      </c>
      <c r="F409" s="293" t="s">
        <v>333</v>
      </c>
      <c r="G409" s="293" t="s">
        <v>340</v>
      </c>
      <c r="H409" s="147">
        <v>964068</v>
      </c>
      <c r="I409" s="118"/>
      <c r="J409" s="293" t="s">
        <v>191</v>
      </c>
      <c r="K409" s="561"/>
      <c r="L409" s="82"/>
      <c r="M409" s="563"/>
      <c r="N409" s="565"/>
    </row>
    <row r="410" spans="1:14">
      <c r="A410" s="293" t="s">
        <v>705</v>
      </c>
      <c r="B410" s="293" t="s">
        <v>335</v>
      </c>
      <c r="C410" s="124">
        <v>44651</v>
      </c>
      <c r="D410" s="293">
        <v>700</v>
      </c>
      <c r="E410" s="293" t="s">
        <v>332</v>
      </c>
      <c r="F410" s="293" t="s">
        <v>333</v>
      </c>
      <c r="G410" s="293" t="s">
        <v>339</v>
      </c>
      <c r="H410" s="293">
        <v>923199</v>
      </c>
      <c r="I410" s="118"/>
      <c r="J410" s="293" t="s">
        <v>192</v>
      </c>
      <c r="K410" s="560">
        <v>300</v>
      </c>
      <c r="L410" s="82">
        <v>99.828000000000003</v>
      </c>
      <c r="M410" s="562">
        <f>K410-(L410+L411)</f>
        <v>200.172</v>
      </c>
      <c r="N410" s="564">
        <f>(L410+L411)/K410</f>
        <v>0.33276</v>
      </c>
    </row>
    <row r="411" spans="1:14">
      <c r="A411" s="293" t="s">
        <v>705</v>
      </c>
      <c r="B411" s="293" t="s">
        <v>335</v>
      </c>
      <c r="C411" s="124">
        <v>44651</v>
      </c>
      <c r="D411" s="293">
        <v>700</v>
      </c>
      <c r="E411" s="293" t="s">
        <v>332</v>
      </c>
      <c r="F411" s="293" t="s">
        <v>333</v>
      </c>
      <c r="G411" s="293" t="s">
        <v>340</v>
      </c>
      <c r="H411" s="293">
        <v>964068</v>
      </c>
      <c r="I411" s="118"/>
      <c r="J411" s="293" t="s">
        <v>192</v>
      </c>
      <c r="K411" s="561"/>
      <c r="L411" s="82"/>
      <c r="M411" s="563"/>
      <c r="N411" s="565"/>
    </row>
    <row r="412" spans="1:14">
      <c r="A412" s="293" t="s">
        <v>584</v>
      </c>
      <c r="B412" s="293" t="s">
        <v>331</v>
      </c>
      <c r="C412" s="124">
        <v>44651</v>
      </c>
      <c r="D412" s="147">
        <v>701</v>
      </c>
      <c r="E412" s="293" t="s">
        <v>332</v>
      </c>
      <c r="F412" s="293" t="s">
        <v>333</v>
      </c>
      <c r="G412" s="293" t="s">
        <v>334</v>
      </c>
      <c r="H412" s="147">
        <v>697635</v>
      </c>
      <c r="I412" s="118"/>
      <c r="J412" s="293" t="s">
        <v>192</v>
      </c>
      <c r="K412" s="108">
        <v>300</v>
      </c>
      <c r="L412" s="82">
        <v>44.8</v>
      </c>
      <c r="M412" s="294">
        <f t="shared" ref="M412:M416" si="42">K412-L412</f>
        <v>255.2</v>
      </c>
      <c r="N412" s="295">
        <f t="shared" ref="N412:N416" si="43">L412/K412</f>
        <v>0.14933333333333332</v>
      </c>
    </row>
    <row r="413" spans="1:14">
      <c r="A413" s="296" t="s">
        <v>706</v>
      </c>
      <c r="B413" s="296" t="s">
        <v>331</v>
      </c>
      <c r="C413" s="124">
        <v>44656</v>
      </c>
      <c r="D413" s="147">
        <v>712</v>
      </c>
      <c r="E413" s="296" t="s">
        <v>332</v>
      </c>
      <c r="F413" s="296" t="s">
        <v>333</v>
      </c>
      <c r="G413" s="296" t="s">
        <v>707</v>
      </c>
      <c r="H413" s="147">
        <v>967103</v>
      </c>
      <c r="I413" s="118"/>
      <c r="J413" s="296" t="s">
        <v>191</v>
      </c>
      <c r="K413" s="108">
        <v>0</v>
      </c>
      <c r="L413" s="82"/>
      <c r="M413" s="297">
        <f t="shared" si="42"/>
        <v>0</v>
      </c>
      <c r="N413" s="298" t="e">
        <f t="shared" si="43"/>
        <v>#DIV/0!</v>
      </c>
    </row>
    <row r="414" spans="1:14">
      <c r="A414" s="296" t="s">
        <v>706</v>
      </c>
      <c r="B414" s="296" t="s">
        <v>331</v>
      </c>
      <c r="C414" s="124">
        <v>44656</v>
      </c>
      <c r="D414" s="296">
        <v>712</v>
      </c>
      <c r="E414" s="296" t="s">
        <v>332</v>
      </c>
      <c r="F414" s="296" t="s">
        <v>333</v>
      </c>
      <c r="G414" s="296" t="s">
        <v>707</v>
      </c>
      <c r="H414" s="296">
        <v>967103</v>
      </c>
      <c r="I414" s="118"/>
      <c r="J414" s="296" t="s">
        <v>192</v>
      </c>
      <c r="K414" s="108">
        <v>0</v>
      </c>
      <c r="L414" s="82"/>
      <c r="M414" s="297">
        <f t="shared" si="42"/>
        <v>0</v>
      </c>
      <c r="N414" s="298" t="e">
        <f t="shared" si="43"/>
        <v>#DIV/0!</v>
      </c>
    </row>
    <row r="415" spans="1:14">
      <c r="A415" s="296" t="s">
        <v>706</v>
      </c>
      <c r="B415" s="296" t="s">
        <v>331</v>
      </c>
      <c r="C415" s="124">
        <v>44656</v>
      </c>
      <c r="D415" s="296">
        <v>712</v>
      </c>
      <c r="E415" s="296" t="s">
        <v>332</v>
      </c>
      <c r="F415" s="296" t="s">
        <v>333</v>
      </c>
      <c r="G415" s="296" t="s">
        <v>486</v>
      </c>
      <c r="H415" s="147">
        <v>968520</v>
      </c>
      <c r="I415" s="118"/>
      <c r="J415" s="296" t="s">
        <v>191</v>
      </c>
      <c r="K415" s="108">
        <v>144</v>
      </c>
      <c r="L415" s="82">
        <v>40.316000000000003</v>
      </c>
      <c r="M415" s="297">
        <f t="shared" si="42"/>
        <v>103.684</v>
      </c>
      <c r="N415" s="298">
        <f t="shared" si="43"/>
        <v>0.27997222222222223</v>
      </c>
    </row>
    <row r="416" spans="1:14">
      <c r="A416" s="296" t="s">
        <v>706</v>
      </c>
      <c r="B416" s="296" t="s">
        <v>331</v>
      </c>
      <c r="C416" s="124">
        <v>44656</v>
      </c>
      <c r="D416" s="296">
        <v>712</v>
      </c>
      <c r="E416" s="296" t="s">
        <v>332</v>
      </c>
      <c r="F416" s="296" t="s">
        <v>333</v>
      </c>
      <c r="G416" s="296" t="s">
        <v>486</v>
      </c>
      <c r="H416" s="296">
        <v>968520</v>
      </c>
      <c r="I416" s="118"/>
      <c r="J416" s="296" t="s">
        <v>192</v>
      </c>
      <c r="K416" s="108">
        <v>256</v>
      </c>
      <c r="L416" s="82"/>
      <c r="M416" s="297">
        <f t="shared" si="42"/>
        <v>256</v>
      </c>
      <c r="N416" s="298">
        <f t="shared" si="43"/>
        <v>0</v>
      </c>
    </row>
    <row r="417" spans="1:14">
      <c r="A417" s="302" t="s">
        <v>665</v>
      </c>
      <c r="B417" s="302" t="s">
        <v>331</v>
      </c>
      <c r="C417" s="124">
        <v>44656</v>
      </c>
      <c r="D417" s="147">
        <v>25</v>
      </c>
      <c r="E417" s="302" t="s">
        <v>332</v>
      </c>
      <c r="F417" s="302" t="s">
        <v>333</v>
      </c>
      <c r="G417" s="302" t="s">
        <v>385</v>
      </c>
      <c r="H417" s="147">
        <v>698133</v>
      </c>
      <c r="I417" s="118"/>
      <c r="J417" s="302" t="s">
        <v>191</v>
      </c>
      <c r="K417" s="108">
        <v>183</v>
      </c>
      <c r="L417" s="82">
        <v>348.28</v>
      </c>
      <c r="M417" s="303">
        <f t="shared" ref="M417:M418" si="44">K417-L417</f>
        <v>-165.27999999999997</v>
      </c>
      <c r="N417" s="304">
        <f t="shared" ref="N417:N418" si="45">L417/K417</f>
        <v>1.9031693989071037</v>
      </c>
    </row>
    <row r="418" spans="1:14">
      <c r="A418" s="302" t="s">
        <v>665</v>
      </c>
      <c r="B418" s="302" t="s">
        <v>331</v>
      </c>
      <c r="C418" s="124">
        <v>44656</v>
      </c>
      <c r="D418" s="302">
        <v>25</v>
      </c>
      <c r="E418" s="302" t="s">
        <v>332</v>
      </c>
      <c r="F418" s="302" t="s">
        <v>333</v>
      </c>
      <c r="G418" s="302" t="s">
        <v>385</v>
      </c>
      <c r="H418" s="302">
        <v>698133</v>
      </c>
      <c r="I418" s="118"/>
      <c r="J418" s="302" t="s">
        <v>192</v>
      </c>
      <c r="K418" s="108">
        <v>310</v>
      </c>
      <c r="L418" s="82">
        <v>144.72</v>
      </c>
      <c r="M418" s="303">
        <f t="shared" si="44"/>
        <v>165.28</v>
      </c>
      <c r="N418" s="304">
        <f t="shared" si="45"/>
        <v>0.46683870967741936</v>
      </c>
    </row>
    <row r="419" spans="1:14">
      <c r="A419" s="307" t="s">
        <v>673</v>
      </c>
      <c r="B419" s="307" t="s">
        <v>331</v>
      </c>
      <c r="C419" s="124">
        <v>44664</v>
      </c>
      <c r="D419" s="147">
        <v>726</v>
      </c>
      <c r="E419" s="307" t="s">
        <v>670</v>
      </c>
      <c r="F419" s="307" t="s">
        <v>342</v>
      </c>
      <c r="G419" s="307" t="s">
        <v>275</v>
      </c>
      <c r="H419" s="147">
        <v>697288</v>
      </c>
      <c r="I419" s="118"/>
      <c r="J419" s="307" t="s">
        <v>191</v>
      </c>
      <c r="K419" s="108">
        <v>25</v>
      </c>
      <c r="L419" s="82">
        <v>394.57799999999997</v>
      </c>
      <c r="M419" s="308">
        <f t="shared" ref="M419:M420" si="46">K419-L419</f>
        <v>-369.57799999999997</v>
      </c>
      <c r="N419" s="310">
        <f t="shared" ref="N419:N420" si="47">L419/K419</f>
        <v>15.783119999999998</v>
      </c>
    </row>
    <row r="420" spans="1:14">
      <c r="A420" s="307" t="s">
        <v>673</v>
      </c>
      <c r="B420" s="307" t="s">
        <v>331</v>
      </c>
      <c r="C420" s="124">
        <v>44664</v>
      </c>
      <c r="D420" s="307">
        <v>726</v>
      </c>
      <c r="E420" s="307" t="s">
        <v>670</v>
      </c>
      <c r="F420" s="307" t="s">
        <v>342</v>
      </c>
      <c r="G420" s="307" t="s">
        <v>275</v>
      </c>
      <c r="H420" s="307">
        <v>697288</v>
      </c>
      <c r="I420" s="118"/>
      <c r="J420" s="307" t="s">
        <v>192</v>
      </c>
      <c r="K420" s="108">
        <v>425</v>
      </c>
      <c r="L420" s="82">
        <v>54.731000000000002</v>
      </c>
      <c r="M420" s="308">
        <f t="shared" si="46"/>
        <v>370.26900000000001</v>
      </c>
      <c r="N420" s="310">
        <f t="shared" si="47"/>
        <v>0.12877882352941178</v>
      </c>
    </row>
    <row r="421" spans="1:14">
      <c r="A421" s="307" t="s">
        <v>673</v>
      </c>
      <c r="B421" s="307" t="s">
        <v>331</v>
      </c>
      <c r="C421" s="124">
        <v>44664</v>
      </c>
      <c r="D421" s="307">
        <v>726</v>
      </c>
      <c r="E421" s="307" t="s">
        <v>670</v>
      </c>
      <c r="F421" s="307" t="s">
        <v>342</v>
      </c>
      <c r="G421" s="307" t="s">
        <v>713</v>
      </c>
      <c r="H421" s="147">
        <v>910708</v>
      </c>
      <c r="I421" s="118"/>
      <c r="J421" s="307" t="s">
        <v>191</v>
      </c>
      <c r="K421" s="108">
        <v>5</v>
      </c>
      <c r="L421" s="82"/>
      <c r="M421" s="308">
        <f t="shared" ref="M421:M442" si="48">K421-L421</f>
        <v>5</v>
      </c>
      <c r="N421" s="310">
        <f t="shared" ref="N421:N442" si="49">L421/K421</f>
        <v>0</v>
      </c>
    </row>
    <row r="422" spans="1:14">
      <c r="A422" s="307" t="s">
        <v>673</v>
      </c>
      <c r="B422" s="307" t="s">
        <v>331</v>
      </c>
      <c r="C422" s="124">
        <v>44664</v>
      </c>
      <c r="D422" s="307">
        <v>726</v>
      </c>
      <c r="E422" s="307" t="s">
        <v>670</v>
      </c>
      <c r="F422" s="307" t="s">
        <v>342</v>
      </c>
      <c r="G422" s="307" t="s">
        <v>713</v>
      </c>
      <c r="H422" s="307">
        <v>910708</v>
      </c>
      <c r="I422" s="118"/>
      <c r="J422" s="307" t="s">
        <v>192</v>
      </c>
      <c r="K422" s="108">
        <v>95</v>
      </c>
      <c r="L422" s="82"/>
      <c r="M422" s="308">
        <f t="shared" si="48"/>
        <v>95</v>
      </c>
      <c r="N422" s="310">
        <f t="shared" si="49"/>
        <v>0</v>
      </c>
    </row>
    <row r="423" spans="1:14">
      <c r="A423" s="307" t="s">
        <v>673</v>
      </c>
      <c r="B423" s="307" t="s">
        <v>331</v>
      </c>
      <c r="C423" s="124">
        <v>44664</v>
      </c>
      <c r="D423" s="307">
        <v>726</v>
      </c>
      <c r="E423" s="307" t="s">
        <v>670</v>
      </c>
      <c r="F423" s="307" t="s">
        <v>342</v>
      </c>
      <c r="G423" s="307" t="s">
        <v>390</v>
      </c>
      <c r="H423" s="147">
        <v>922515</v>
      </c>
      <c r="I423" s="118"/>
      <c r="J423" s="307" t="s">
        <v>191</v>
      </c>
      <c r="K423" s="108">
        <v>10</v>
      </c>
      <c r="L423" s="82"/>
      <c r="M423" s="308">
        <f t="shared" si="48"/>
        <v>10</v>
      </c>
      <c r="N423" s="310">
        <f t="shared" si="49"/>
        <v>0</v>
      </c>
    </row>
    <row r="424" spans="1:14">
      <c r="A424" s="307" t="s">
        <v>673</v>
      </c>
      <c r="B424" s="307" t="s">
        <v>331</v>
      </c>
      <c r="C424" s="124">
        <v>44664</v>
      </c>
      <c r="D424" s="307">
        <v>726</v>
      </c>
      <c r="E424" s="307" t="s">
        <v>670</v>
      </c>
      <c r="F424" s="307" t="s">
        <v>342</v>
      </c>
      <c r="G424" s="307" t="s">
        <v>390</v>
      </c>
      <c r="H424" s="307">
        <v>922515</v>
      </c>
      <c r="I424" s="118"/>
      <c r="J424" s="307" t="s">
        <v>192</v>
      </c>
      <c r="K424" s="108">
        <v>170</v>
      </c>
      <c r="L424" s="82"/>
      <c r="M424" s="308">
        <f t="shared" si="48"/>
        <v>170</v>
      </c>
      <c r="N424" s="310">
        <f t="shared" si="49"/>
        <v>0</v>
      </c>
    </row>
    <row r="425" spans="1:14">
      <c r="A425" s="307" t="s">
        <v>673</v>
      </c>
      <c r="B425" s="307" t="s">
        <v>331</v>
      </c>
      <c r="C425" s="124">
        <v>44664</v>
      </c>
      <c r="D425" s="307">
        <v>726</v>
      </c>
      <c r="E425" s="307" t="s">
        <v>670</v>
      </c>
      <c r="F425" s="307" t="s">
        <v>342</v>
      </c>
      <c r="G425" s="307" t="s">
        <v>540</v>
      </c>
      <c r="H425" s="147">
        <v>955588</v>
      </c>
      <c r="I425" s="118"/>
      <c r="J425" s="307" t="s">
        <v>191</v>
      </c>
      <c r="K425" s="108">
        <v>5</v>
      </c>
      <c r="L425" s="82">
        <v>57.939</v>
      </c>
      <c r="M425" s="308">
        <f t="shared" si="48"/>
        <v>-52.939</v>
      </c>
      <c r="N425" s="310">
        <f t="shared" si="49"/>
        <v>11.5878</v>
      </c>
    </row>
    <row r="426" spans="1:14">
      <c r="A426" s="307" t="s">
        <v>673</v>
      </c>
      <c r="B426" s="307" t="s">
        <v>331</v>
      </c>
      <c r="C426" s="124">
        <v>44664</v>
      </c>
      <c r="D426" s="307">
        <v>726</v>
      </c>
      <c r="E426" s="307" t="s">
        <v>670</v>
      </c>
      <c r="F426" s="307" t="s">
        <v>342</v>
      </c>
      <c r="G426" s="307" t="s">
        <v>540</v>
      </c>
      <c r="H426" s="307">
        <v>955588</v>
      </c>
      <c r="I426" s="118"/>
      <c r="J426" s="307" t="s">
        <v>192</v>
      </c>
      <c r="K426" s="108">
        <v>95</v>
      </c>
      <c r="L426" s="82">
        <v>4.3609999999999998</v>
      </c>
      <c r="M426" s="308">
        <f t="shared" si="48"/>
        <v>90.638999999999996</v>
      </c>
      <c r="N426" s="310">
        <f t="shared" si="49"/>
        <v>4.5905263157894734E-2</v>
      </c>
    </row>
    <row r="427" spans="1:14">
      <c r="A427" s="307" t="s">
        <v>673</v>
      </c>
      <c r="B427" s="307" t="s">
        <v>331</v>
      </c>
      <c r="C427" s="124">
        <v>44664</v>
      </c>
      <c r="D427" s="307">
        <v>726</v>
      </c>
      <c r="E427" s="307" t="s">
        <v>670</v>
      </c>
      <c r="F427" s="307" t="s">
        <v>342</v>
      </c>
      <c r="G427" s="307" t="s">
        <v>394</v>
      </c>
      <c r="H427" s="147">
        <v>958198</v>
      </c>
      <c r="I427" s="118"/>
      <c r="J427" s="307" t="s">
        <v>191</v>
      </c>
      <c r="K427" s="108">
        <v>5</v>
      </c>
      <c r="L427" s="82">
        <v>4.8289999999999997</v>
      </c>
      <c r="M427" s="308">
        <f t="shared" si="48"/>
        <v>0.17100000000000026</v>
      </c>
      <c r="N427" s="310">
        <f t="shared" si="49"/>
        <v>0.96579999999999999</v>
      </c>
    </row>
    <row r="428" spans="1:14">
      <c r="A428" s="307" t="s">
        <v>673</v>
      </c>
      <c r="B428" s="307" t="s">
        <v>331</v>
      </c>
      <c r="C428" s="124">
        <v>44664</v>
      </c>
      <c r="D428" s="307">
        <v>726</v>
      </c>
      <c r="E428" s="307" t="s">
        <v>670</v>
      </c>
      <c r="F428" s="307" t="s">
        <v>342</v>
      </c>
      <c r="G428" s="307" t="s">
        <v>394</v>
      </c>
      <c r="H428" s="307">
        <v>958198</v>
      </c>
      <c r="I428" s="118"/>
      <c r="J428" s="307" t="s">
        <v>192</v>
      </c>
      <c r="K428" s="108">
        <v>115</v>
      </c>
      <c r="L428" s="82">
        <v>0.72099999999999997</v>
      </c>
      <c r="M428" s="308">
        <f t="shared" si="48"/>
        <v>114.279</v>
      </c>
      <c r="N428" s="310">
        <f t="shared" si="49"/>
        <v>6.2695652173913041E-3</v>
      </c>
    </row>
    <row r="429" spans="1:14">
      <c r="A429" s="307" t="s">
        <v>673</v>
      </c>
      <c r="B429" s="307" t="s">
        <v>331</v>
      </c>
      <c r="C429" s="124">
        <v>44664</v>
      </c>
      <c r="D429" s="307">
        <v>726</v>
      </c>
      <c r="E429" s="307" t="s">
        <v>670</v>
      </c>
      <c r="F429" s="307" t="s">
        <v>342</v>
      </c>
      <c r="G429" s="307" t="s">
        <v>714</v>
      </c>
      <c r="H429" s="147">
        <v>968756</v>
      </c>
      <c r="I429" s="118"/>
      <c r="J429" s="307" t="s">
        <v>191</v>
      </c>
      <c r="K429" s="108">
        <v>0</v>
      </c>
      <c r="L429" s="82"/>
      <c r="M429" s="308">
        <f t="shared" si="48"/>
        <v>0</v>
      </c>
      <c r="N429" s="310" t="e">
        <f t="shared" si="49"/>
        <v>#DIV/0!</v>
      </c>
    </row>
    <row r="430" spans="1:14">
      <c r="A430" s="307" t="s">
        <v>673</v>
      </c>
      <c r="B430" s="307" t="s">
        <v>331</v>
      </c>
      <c r="C430" s="124">
        <v>44664</v>
      </c>
      <c r="D430" s="307">
        <v>726</v>
      </c>
      <c r="E430" s="307" t="s">
        <v>670</v>
      </c>
      <c r="F430" s="307" t="s">
        <v>342</v>
      </c>
      <c r="G430" s="307" t="s">
        <v>714</v>
      </c>
      <c r="H430" s="307">
        <v>968756</v>
      </c>
      <c r="I430" s="118"/>
      <c r="J430" s="307" t="s">
        <v>192</v>
      </c>
      <c r="K430" s="108">
        <v>0</v>
      </c>
      <c r="L430" s="82"/>
      <c r="M430" s="308">
        <f t="shared" si="48"/>
        <v>0</v>
      </c>
      <c r="N430" s="310" t="e">
        <f t="shared" si="49"/>
        <v>#DIV/0!</v>
      </c>
    </row>
    <row r="431" spans="1:14">
      <c r="A431" s="402" t="s">
        <v>673</v>
      </c>
      <c r="B431" s="402" t="s">
        <v>331</v>
      </c>
      <c r="C431" s="124">
        <v>44664</v>
      </c>
      <c r="D431" s="402">
        <v>726</v>
      </c>
      <c r="E431" s="402" t="s">
        <v>670</v>
      </c>
      <c r="F431" s="402" t="s">
        <v>342</v>
      </c>
      <c r="G431" s="402" t="s">
        <v>674</v>
      </c>
      <c r="H431" s="402">
        <v>958563</v>
      </c>
      <c r="I431" s="118"/>
      <c r="J431" s="402" t="s">
        <v>191</v>
      </c>
      <c r="K431" s="108">
        <v>5</v>
      </c>
      <c r="L431" s="82"/>
      <c r="M431" s="403">
        <f t="shared" ref="M431:M432" si="50">K431-L431</f>
        <v>5</v>
      </c>
      <c r="N431" s="405">
        <f t="shared" ref="N431:N432" si="51">L431/K431</f>
        <v>0</v>
      </c>
    </row>
    <row r="432" spans="1:14">
      <c r="A432" s="402" t="s">
        <v>673</v>
      </c>
      <c r="B432" s="402" t="s">
        <v>331</v>
      </c>
      <c r="C432" s="124">
        <v>44664</v>
      </c>
      <c r="D432" s="402">
        <v>726</v>
      </c>
      <c r="E432" s="402" t="s">
        <v>670</v>
      </c>
      <c r="F432" s="402" t="s">
        <v>342</v>
      </c>
      <c r="G432" s="402" t="s">
        <v>674</v>
      </c>
      <c r="H432" s="402">
        <v>958563</v>
      </c>
      <c r="I432" s="118"/>
      <c r="J432" s="402" t="s">
        <v>192</v>
      </c>
      <c r="K432" s="108">
        <v>95</v>
      </c>
      <c r="L432" s="82">
        <v>35.03</v>
      </c>
      <c r="M432" s="403">
        <f t="shared" si="50"/>
        <v>59.97</v>
      </c>
      <c r="N432" s="405">
        <f t="shared" si="51"/>
        <v>0.3687368421052632</v>
      </c>
    </row>
    <row r="433" spans="1:14">
      <c r="A433" s="307" t="s">
        <v>673</v>
      </c>
      <c r="B433" s="307" t="s">
        <v>331</v>
      </c>
      <c r="C433" s="124">
        <v>44664</v>
      </c>
      <c r="D433" s="307">
        <v>726</v>
      </c>
      <c r="E433" s="307" t="s">
        <v>670</v>
      </c>
      <c r="F433" s="307" t="s">
        <v>342</v>
      </c>
      <c r="G433" s="307" t="s">
        <v>715</v>
      </c>
      <c r="H433" s="147">
        <v>955617</v>
      </c>
      <c r="I433" s="118"/>
      <c r="J433" s="307" t="s">
        <v>191</v>
      </c>
      <c r="K433" s="108">
        <v>5</v>
      </c>
      <c r="L433" s="82"/>
      <c r="M433" s="308">
        <f t="shared" si="48"/>
        <v>5</v>
      </c>
      <c r="N433" s="310">
        <f t="shared" si="49"/>
        <v>0</v>
      </c>
    </row>
    <row r="434" spans="1:14">
      <c r="A434" s="307" t="s">
        <v>673</v>
      </c>
      <c r="B434" s="307" t="s">
        <v>331</v>
      </c>
      <c r="C434" s="124">
        <v>44664</v>
      </c>
      <c r="D434" s="307">
        <v>726</v>
      </c>
      <c r="E434" s="307" t="s">
        <v>670</v>
      </c>
      <c r="F434" s="307" t="s">
        <v>342</v>
      </c>
      <c r="G434" s="307" t="s">
        <v>715</v>
      </c>
      <c r="H434" s="307">
        <v>955617</v>
      </c>
      <c r="I434" s="118"/>
      <c r="J434" s="307" t="s">
        <v>192</v>
      </c>
      <c r="K434" s="108">
        <v>95</v>
      </c>
      <c r="L434" s="82"/>
      <c r="M434" s="308">
        <f t="shared" si="48"/>
        <v>95</v>
      </c>
      <c r="N434" s="310">
        <f t="shared" si="49"/>
        <v>0</v>
      </c>
    </row>
    <row r="435" spans="1:14">
      <c r="A435" s="307" t="s">
        <v>673</v>
      </c>
      <c r="B435" s="307" t="s">
        <v>331</v>
      </c>
      <c r="C435" s="124">
        <v>44664</v>
      </c>
      <c r="D435" s="307">
        <v>726</v>
      </c>
      <c r="E435" s="307" t="s">
        <v>670</v>
      </c>
      <c r="F435" s="307" t="s">
        <v>342</v>
      </c>
      <c r="G435" s="307" t="s">
        <v>410</v>
      </c>
      <c r="H435" s="147">
        <v>31292</v>
      </c>
      <c r="I435" s="118"/>
      <c r="J435" s="307" t="s">
        <v>191</v>
      </c>
      <c r="K435" s="108">
        <v>20</v>
      </c>
      <c r="L435" s="82">
        <v>193.77500000000001</v>
      </c>
      <c r="M435" s="308">
        <f t="shared" si="48"/>
        <v>-173.77500000000001</v>
      </c>
      <c r="N435" s="310">
        <f t="shared" si="49"/>
        <v>9.6887500000000006</v>
      </c>
    </row>
    <row r="436" spans="1:14">
      <c r="A436" s="307" t="s">
        <v>673</v>
      </c>
      <c r="B436" s="307" t="s">
        <v>331</v>
      </c>
      <c r="C436" s="124">
        <v>44664</v>
      </c>
      <c r="D436" s="307">
        <v>726</v>
      </c>
      <c r="E436" s="307" t="s">
        <v>670</v>
      </c>
      <c r="F436" s="307" t="s">
        <v>342</v>
      </c>
      <c r="G436" s="307" t="s">
        <v>410</v>
      </c>
      <c r="H436" s="307">
        <v>31292</v>
      </c>
      <c r="I436" s="118"/>
      <c r="J436" s="307" t="s">
        <v>192</v>
      </c>
      <c r="K436" s="108">
        <v>380</v>
      </c>
      <c r="L436" s="82">
        <v>40.786000000000001</v>
      </c>
      <c r="M436" s="308">
        <f t="shared" si="48"/>
        <v>339.214</v>
      </c>
      <c r="N436" s="310">
        <f t="shared" si="49"/>
        <v>0.10733157894736843</v>
      </c>
    </row>
    <row r="437" spans="1:14">
      <c r="A437" s="307" t="s">
        <v>673</v>
      </c>
      <c r="B437" s="307" t="s">
        <v>331</v>
      </c>
      <c r="C437" s="124">
        <v>44664</v>
      </c>
      <c r="D437" s="307">
        <v>726</v>
      </c>
      <c r="E437" s="307" t="s">
        <v>670</v>
      </c>
      <c r="F437" s="307" t="s">
        <v>342</v>
      </c>
      <c r="G437" s="307" t="s">
        <v>452</v>
      </c>
      <c r="H437" s="147">
        <v>966858</v>
      </c>
      <c r="I437" s="118"/>
      <c r="J437" s="307" t="s">
        <v>191</v>
      </c>
      <c r="K437" s="108">
        <v>10</v>
      </c>
      <c r="L437" s="82"/>
      <c r="M437" s="308">
        <f t="shared" si="48"/>
        <v>10</v>
      </c>
      <c r="N437" s="310">
        <f t="shared" si="49"/>
        <v>0</v>
      </c>
    </row>
    <row r="438" spans="1:14">
      <c r="A438" s="307" t="s">
        <v>673</v>
      </c>
      <c r="B438" s="307" t="s">
        <v>331</v>
      </c>
      <c r="C438" s="124">
        <v>44664</v>
      </c>
      <c r="D438" s="307">
        <v>726</v>
      </c>
      <c r="E438" s="307" t="s">
        <v>670</v>
      </c>
      <c r="F438" s="307" t="s">
        <v>342</v>
      </c>
      <c r="G438" s="307" t="s">
        <v>452</v>
      </c>
      <c r="H438" s="307">
        <v>966858</v>
      </c>
      <c r="I438" s="118"/>
      <c r="J438" s="307" t="s">
        <v>192</v>
      </c>
      <c r="K438" s="108">
        <v>200</v>
      </c>
      <c r="L438" s="82"/>
      <c r="M438" s="308">
        <f t="shared" si="48"/>
        <v>200</v>
      </c>
      <c r="N438" s="310">
        <f t="shared" si="49"/>
        <v>0</v>
      </c>
    </row>
    <row r="439" spans="1:14">
      <c r="A439" s="307" t="s">
        <v>673</v>
      </c>
      <c r="B439" s="307" t="s">
        <v>331</v>
      </c>
      <c r="C439" s="124">
        <v>44664</v>
      </c>
      <c r="D439" s="307">
        <v>726</v>
      </c>
      <c r="E439" s="307" t="s">
        <v>670</v>
      </c>
      <c r="F439" s="307" t="s">
        <v>342</v>
      </c>
      <c r="G439" s="307" t="s">
        <v>475</v>
      </c>
      <c r="H439" s="147">
        <v>956244</v>
      </c>
      <c r="I439" s="118"/>
      <c r="J439" s="307" t="s">
        <v>191</v>
      </c>
      <c r="K439" s="108">
        <v>5</v>
      </c>
      <c r="L439" s="82"/>
      <c r="M439" s="308">
        <f t="shared" si="48"/>
        <v>5</v>
      </c>
      <c r="N439" s="310">
        <f t="shared" si="49"/>
        <v>0</v>
      </c>
    </row>
    <row r="440" spans="1:14">
      <c r="A440" s="307" t="s">
        <v>673</v>
      </c>
      <c r="B440" s="307" t="s">
        <v>331</v>
      </c>
      <c r="C440" s="124">
        <v>44664</v>
      </c>
      <c r="D440" s="307">
        <v>726</v>
      </c>
      <c r="E440" s="307" t="s">
        <v>670</v>
      </c>
      <c r="F440" s="307" t="s">
        <v>342</v>
      </c>
      <c r="G440" s="307" t="s">
        <v>475</v>
      </c>
      <c r="H440" s="307">
        <v>956244</v>
      </c>
      <c r="I440" s="118"/>
      <c r="J440" s="307" t="s">
        <v>192</v>
      </c>
      <c r="K440" s="108">
        <v>95</v>
      </c>
      <c r="L440" s="82"/>
      <c r="M440" s="308">
        <f t="shared" si="48"/>
        <v>95</v>
      </c>
      <c r="N440" s="310">
        <f t="shared" si="49"/>
        <v>0</v>
      </c>
    </row>
    <row r="441" spans="1:14">
      <c r="A441" s="307" t="s">
        <v>673</v>
      </c>
      <c r="B441" s="307" t="s">
        <v>331</v>
      </c>
      <c r="C441" s="124">
        <v>44664</v>
      </c>
      <c r="D441" s="307">
        <v>726</v>
      </c>
      <c r="E441" s="307" t="s">
        <v>670</v>
      </c>
      <c r="F441" s="307" t="s">
        <v>342</v>
      </c>
      <c r="G441" s="307" t="s">
        <v>486</v>
      </c>
      <c r="H441" s="147">
        <v>968520</v>
      </c>
      <c r="I441" s="118"/>
      <c r="J441" s="307" t="s">
        <v>191</v>
      </c>
      <c r="K441" s="108">
        <v>25</v>
      </c>
      <c r="L441" s="82"/>
      <c r="M441" s="308">
        <f t="shared" si="48"/>
        <v>25</v>
      </c>
      <c r="N441" s="310">
        <f t="shared" si="49"/>
        <v>0</v>
      </c>
    </row>
    <row r="442" spans="1:14">
      <c r="A442" s="307" t="s">
        <v>673</v>
      </c>
      <c r="B442" s="307" t="s">
        <v>331</v>
      </c>
      <c r="C442" s="124">
        <v>44664</v>
      </c>
      <c r="D442" s="307">
        <v>726</v>
      </c>
      <c r="E442" s="307" t="s">
        <v>670</v>
      </c>
      <c r="F442" s="307" t="s">
        <v>342</v>
      </c>
      <c r="G442" s="307" t="s">
        <v>486</v>
      </c>
      <c r="H442" s="307">
        <v>968520</v>
      </c>
      <c r="I442" s="118"/>
      <c r="J442" s="307" t="s">
        <v>192</v>
      </c>
      <c r="K442" s="108">
        <v>425</v>
      </c>
      <c r="L442" s="82"/>
      <c r="M442" s="308">
        <f t="shared" si="48"/>
        <v>425</v>
      </c>
      <c r="N442" s="310">
        <f t="shared" si="49"/>
        <v>0</v>
      </c>
    </row>
    <row r="443" spans="1:14">
      <c r="A443" s="307" t="s">
        <v>673</v>
      </c>
      <c r="B443" s="307" t="s">
        <v>331</v>
      </c>
      <c r="C443" s="124">
        <v>44664</v>
      </c>
      <c r="D443" s="307">
        <v>726</v>
      </c>
      <c r="E443" s="307" t="s">
        <v>670</v>
      </c>
      <c r="F443" s="307" t="s">
        <v>342</v>
      </c>
      <c r="G443" s="307" t="s">
        <v>488</v>
      </c>
      <c r="H443" s="147">
        <v>969061</v>
      </c>
      <c r="I443" s="118"/>
      <c r="J443" s="307" t="s">
        <v>191</v>
      </c>
      <c r="K443" s="108">
        <v>15</v>
      </c>
      <c r="L443" s="82">
        <v>40.539000000000001</v>
      </c>
      <c r="M443" s="308">
        <f t="shared" ref="M443:M444" si="52">K443-L443</f>
        <v>-25.539000000000001</v>
      </c>
      <c r="N443" s="310">
        <f t="shared" ref="N443:N444" si="53">L443/K443</f>
        <v>2.7025999999999999</v>
      </c>
    </row>
    <row r="444" spans="1:14">
      <c r="A444" s="307" t="s">
        <v>673</v>
      </c>
      <c r="B444" s="307" t="s">
        <v>331</v>
      </c>
      <c r="C444" s="124">
        <v>44664</v>
      </c>
      <c r="D444" s="307">
        <v>726</v>
      </c>
      <c r="E444" s="307" t="s">
        <v>670</v>
      </c>
      <c r="F444" s="307" t="s">
        <v>342</v>
      </c>
      <c r="G444" s="307" t="s">
        <v>488</v>
      </c>
      <c r="H444" s="307">
        <v>969061</v>
      </c>
      <c r="I444" s="118"/>
      <c r="J444" s="307" t="s">
        <v>192</v>
      </c>
      <c r="K444" s="108">
        <v>265</v>
      </c>
      <c r="L444" s="82">
        <v>25.068999999999999</v>
      </c>
      <c r="M444" s="308">
        <f t="shared" si="52"/>
        <v>239.93100000000001</v>
      </c>
      <c r="N444" s="310">
        <f t="shared" si="53"/>
        <v>9.459999999999999E-2</v>
      </c>
    </row>
    <row r="445" spans="1:14">
      <c r="A445" s="307" t="s">
        <v>673</v>
      </c>
      <c r="B445" s="307" t="s">
        <v>331</v>
      </c>
      <c r="C445" s="124">
        <v>44664</v>
      </c>
      <c r="D445" s="307">
        <v>726</v>
      </c>
      <c r="E445" s="307" t="s">
        <v>670</v>
      </c>
      <c r="F445" s="307" t="s">
        <v>342</v>
      </c>
      <c r="G445" s="307" t="s">
        <v>496</v>
      </c>
      <c r="H445" s="147">
        <v>953884</v>
      </c>
      <c r="I445" s="118"/>
      <c r="J445" s="307" t="s">
        <v>191</v>
      </c>
      <c r="K445" s="108">
        <v>20</v>
      </c>
      <c r="L445" s="82"/>
      <c r="M445" s="308">
        <f t="shared" ref="M445:M446" si="54">K445-L445</f>
        <v>20</v>
      </c>
      <c r="N445" s="310">
        <f t="shared" ref="N445:N446" si="55">L445/K445</f>
        <v>0</v>
      </c>
    </row>
    <row r="446" spans="1:14">
      <c r="A446" s="307" t="s">
        <v>673</v>
      </c>
      <c r="B446" s="307" t="s">
        <v>331</v>
      </c>
      <c r="C446" s="124">
        <v>44664</v>
      </c>
      <c r="D446" s="307">
        <v>726</v>
      </c>
      <c r="E446" s="307" t="s">
        <v>670</v>
      </c>
      <c r="F446" s="307" t="s">
        <v>342</v>
      </c>
      <c r="G446" s="307" t="s">
        <v>496</v>
      </c>
      <c r="H446" s="307">
        <v>953884</v>
      </c>
      <c r="I446" s="118"/>
      <c r="J446" s="307" t="s">
        <v>192</v>
      </c>
      <c r="K446" s="108">
        <v>190</v>
      </c>
      <c r="L446" s="82"/>
      <c r="M446" s="308">
        <f t="shared" si="54"/>
        <v>190</v>
      </c>
      <c r="N446" s="310">
        <f t="shared" si="55"/>
        <v>0</v>
      </c>
    </row>
    <row r="447" spans="1:14">
      <c r="A447" s="307" t="s">
        <v>673</v>
      </c>
      <c r="B447" s="307" t="s">
        <v>335</v>
      </c>
      <c r="C447" s="124">
        <v>44664</v>
      </c>
      <c r="D447" s="307">
        <v>726</v>
      </c>
      <c r="E447" s="307" t="s">
        <v>670</v>
      </c>
      <c r="F447" s="307" t="s">
        <v>342</v>
      </c>
      <c r="G447" s="307" t="s">
        <v>717</v>
      </c>
      <c r="H447" s="147">
        <v>964621</v>
      </c>
      <c r="I447" s="118"/>
      <c r="J447" s="307" t="s">
        <v>191</v>
      </c>
      <c r="K447" s="560">
        <v>20</v>
      </c>
      <c r="L447" s="82">
        <v>24.978000000000002</v>
      </c>
      <c r="M447" s="562">
        <f>K447-(L447+L448)</f>
        <v>-214.631</v>
      </c>
      <c r="N447" s="564">
        <f>(L447+L448)/K447</f>
        <v>11.73155</v>
      </c>
    </row>
    <row r="448" spans="1:14">
      <c r="A448" s="307" t="s">
        <v>673</v>
      </c>
      <c r="B448" s="307" t="s">
        <v>335</v>
      </c>
      <c r="C448" s="124">
        <v>44664</v>
      </c>
      <c r="D448" s="307">
        <v>726</v>
      </c>
      <c r="E448" s="307" t="s">
        <v>670</v>
      </c>
      <c r="F448" s="307" t="s">
        <v>342</v>
      </c>
      <c r="G448" s="307" t="s">
        <v>718</v>
      </c>
      <c r="H448" s="147">
        <v>955809</v>
      </c>
      <c r="I448" s="118"/>
      <c r="J448" s="307" t="s">
        <v>191</v>
      </c>
      <c r="K448" s="561"/>
      <c r="L448" s="82">
        <v>209.65299999999999</v>
      </c>
      <c r="M448" s="563"/>
      <c r="N448" s="565"/>
    </row>
    <row r="449" spans="1:14">
      <c r="A449" s="307" t="s">
        <v>673</v>
      </c>
      <c r="B449" s="307" t="s">
        <v>335</v>
      </c>
      <c r="C449" s="124">
        <v>44664</v>
      </c>
      <c r="D449" s="307">
        <v>726</v>
      </c>
      <c r="E449" s="307" t="s">
        <v>670</v>
      </c>
      <c r="F449" s="307" t="s">
        <v>342</v>
      </c>
      <c r="G449" s="307" t="s">
        <v>717</v>
      </c>
      <c r="H449" s="307">
        <v>964621</v>
      </c>
      <c r="I449" s="118"/>
      <c r="J449" s="307" t="s">
        <v>192</v>
      </c>
      <c r="K449" s="560">
        <v>280</v>
      </c>
      <c r="L449" s="82">
        <v>31.888000000000002</v>
      </c>
      <c r="M449" s="562">
        <f>K449-(L449+L450)</f>
        <v>214.631</v>
      </c>
      <c r="N449" s="564">
        <f>(L449+L450)/K449</f>
        <v>0.23346071428571427</v>
      </c>
    </row>
    <row r="450" spans="1:14">
      <c r="A450" s="307" t="s">
        <v>673</v>
      </c>
      <c r="B450" s="307" t="s">
        <v>335</v>
      </c>
      <c r="C450" s="124">
        <v>44664</v>
      </c>
      <c r="D450" s="307">
        <v>726</v>
      </c>
      <c r="E450" s="307" t="s">
        <v>670</v>
      </c>
      <c r="F450" s="307" t="s">
        <v>342</v>
      </c>
      <c r="G450" s="307" t="s">
        <v>718</v>
      </c>
      <c r="H450" s="307">
        <v>955809</v>
      </c>
      <c r="I450" s="118"/>
      <c r="J450" s="307" t="s">
        <v>192</v>
      </c>
      <c r="K450" s="561"/>
      <c r="L450" s="82">
        <v>33.481000000000002</v>
      </c>
      <c r="M450" s="563"/>
      <c r="N450" s="565"/>
    </row>
    <row r="451" spans="1:14">
      <c r="A451" s="307" t="s">
        <v>673</v>
      </c>
      <c r="B451" s="307" t="s">
        <v>335</v>
      </c>
      <c r="C451" s="124">
        <v>44664</v>
      </c>
      <c r="D451" s="307">
        <v>726</v>
      </c>
      <c r="E451" s="307" t="s">
        <v>670</v>
      </c>
      <c r="F451" s="307" t="s">
        <v>342</v>
      </c>
      <c r="G451" s="307" t="s">
        <v>522</v>
      </c>
      <c r="H451" s="147">
        <v>697885</v>
      </c>
      <c r="I451" s="118"/>
      <c r="J451" s="307" t="s">
        <v>191</v>
      </c>
      <c r="K451" s="560">
        <v>15</v>
      </c>
      <c r="L451" s="82">
        <v>104.57</v>
      </c>
      <c r="M451" s="562">
        <f>K451-(L451+L452+L453)</f>
        <v>-217.488</v>
      </c>
      <c r="N451" s="564">
        <f>(L451+L452+L453)/K451</f>
        <v>15.4992</v>
      </c>
    </row>
    <row r="452" spans="1:14">
      <c r="A452" s="307" t="s">
        <v>673</v>
      </c>
      <c r="B452" s="307" t="s">
        <v>335</v>
      </c>
      <c r="C452" s="124">
        <v>44664</v>
      </c>
      <c r="D452" s="307">
        <v>726</v>
      </c>
      <c r="E452" s="307" t="s">
        <v>670</v>
      </c>
      <c r="F452" s="307" t="s">
        <v>342</v>
      </c>
      <c r="G452" s="307" t="s">
        <v>521</v>
      </c>
      <c r="H452" s="147">
        <v>968817</v>
      </c>
      <c r="I452" s="118"/>
      <c r="J452" s="307" t="s">
        <v>191</v>
      </c>
      <c r="K452" s="566"/>
      <c r="L452" s="82">
        <v>44.43</v>
      </c>
      <c r="M452" s="567"/>
      <c r="N452" s="568"/>
    </row>
    <row r="453" spans="1:14">
      <c r="A453" s="307" t="s">
        <v>673</v>
      </c>
      <c r="B453" s="307" t="s">
        <v>335</v>
      </c>
      <c r="C453" s="124">
        <v>44664</v>
      </c>
      <c r="D453" s="307">
        <v>726</v>
      </c>
      <c r="E453" s="307" t="s">
        <v>670</v>
      </c>
      <c r="F453" s="307" t="s">
        <v>342</v>
      </c>
      <c r="G453" s="307" t="s">
        <v>520</v>
      </c>
      <c r="H453" s="147">
        <v>697864</v>
      </c>
      <c r="I453" s="118"/>
      <c r="J453" s="307" t="s">
        <v>191</v>
      </c>
      <c r="K453" s="561"/>
      <c r="L453" s="82">
        <v>83.488</v>
      </c>
      <c r="M453" s="563"/>
      <c r="N453" s="565"/>
    </row>
    <row r="454" spans="1:14">
      <c r="A454" s="307" t="s">
        <v>673</v>
      </c>
      <c r="B454" s="307" t="s">
        <v>335</v>
      </c>
      <c r="C454" s="124">
        <v>44664</v>
      </c>
      <c r="D454" s="307">
        <v>726</v>
      </c>
      <c r="E454" s="307" t="s">
        <v>670</v>
      </c>
      <c r="F454" s="307" t="s">
        <v>342</v>
      </c>
      <c r="G454" s="307" t="s">
        <v>522</v>
      </c>
      <c r="H454" s="307">
        <v>697885</v>
      </c>
      <c r="I454" s="118"/>
      <c r="J454" s="307" t="s">
        <v>192</v>
      </c>
      <c r="K454" s="560">
        <v>235</v>
      </c>
      <c r="L454" s="82">
        <v>12.766999999999999</v>
      </c>
      <c r="M454" s="562">
        <f>K454-(L454+L455+L456)</f>
        <v>217.488</v>
      </c>
      <c r="N454" s="564">
        <f>(L454+L455+L456)/K454</f>
        <v>7.4519148936170218E-2</v>
      </c>
    </row>
    <row r="455" spans="1:14">
      <c r="A455" s="307" t="s">
        <v>673</v>
      </c>
      <c r="B455" s="307" t="s">
        <v>335</v>
      </c>
      <c r="C455" s="124">
        <v>44664</v>
      </c>
      <c r="D455" s="307">
        <v>726</v>
      </c>
      <c r="E455" s="307" t="s">
        <v>670</v>
      </c>
      <c r="F455" s="307" t="s">
        <v>342</v>
      </c>
      <c r="G455" s="307" t="s">
        <v>521</v>
      </c>
      <c r="H455" s="307">
        <v>968817</v>
      </c>
      <c r="I455" s="118"/>
      <c r="J455" s="307" t="s">
        <v>192</v>
      </c>
      <c r="K455" s="566"/>
      <c r="L455" s="82"/>
      <c r="M455" s="567"/>
      <c r="N455" s="568"/>
    </row>
    <row r="456" spans="1:14">
      <c r="A456" s="307" t="s">
        <v>673</v>
      </c>
      <c r="B456" s="307" t="s">
        <v>335</v>
      </c>
      <c r="C456" s="124">
        <v>44664</v>
      </c>
      <c r="D456" s="307">
        <v>726</v>
      </c>
      <c r="E456" s="307" t="s">
        <v>670</v>
      </c>
      <c r="F456" s="307" t="s">
        <v>342</v>
      </c>
      <c r="G456" s="118" t="s">
        <v>520</v>
      </c>
      <c r="H456" s="307">
        <v>697864</v>
      </c>
      <c r="I456" s="118"/>
      <c r="J456" s="307" t="s">
        <v>192</v>
      </c>
      <c r="K456" s="561"/>
      <c r="L456" s="82">
        <v>4.7450000000000001</v>
      </c>
      <c r="M456" s="563"/>
      <c r="N456" s="565"/>
    </row>
    <row r="457" spans="1:14">
      <c r="A457" s="307" t="s">
        <v>719</v>
      </c>
      <c r="B457" s="307" t="s">
        <v>335</v>
      </c>
      <c r="C457" s="124">
        <v>44664</v>
      </c>
      <c r="D457" s="147">
        <v>727</v>
      </c>
      <c r="E457" s="307" t="s">
        <v>670</v>
      </c>
      <c r="F457" s="307" t="s">
        <v>342</v>
      </c>
      <c r="G457" s="118" t="s">
        <v>502</v>
      </c>
      <c r="H457" s="147">
        <v>967342</v>
      </c>
      <c r="I457" s="118"/>
      <c r="J457" s="307" t="s">
        <v>192</v>
      </c>
      <c r="K457" s="560">
        <v>156.6</v>
      </c>
      <c r="L457" s="82"/>
      <c r="M457" s="562">
        <f>K457-(L457+L458+L459+L460)</f>
        <v>156.6</v>
      </c>
      <c r="N457" s="564">
        <f>(L457+L458+L459+L460)/K457</f>
        <v>0</v>
      </c>
    </row>
    <row r="458" spans="1:14">
      <c r="A458" s="307" t="s">
        <v>719</v>
      </c>
      <c r="B458" s="307" t="s">
        <v>335</v>
      </c>
      <c r="C458" s="124">
        <v>44664</v>
      </c>
      <c r="D458" s="307">
        <v>727</v>
      </c>
      <c r="E458" s="307" t="s">
        <v>670</v>
      </c>
      <c r="F458" s="307" t="s">
        <v>342</v>
      </c>
      <c r="G458" s="118" t="s">
        <v>529</v>
      </c>
      <c r="H458" s="147">
        <v>968797</v>
      </c>
      <c r="I458" s="118"/>
      <c r="J458" s="307" t="s">
        <v>192</v>
      </c>
      <c r="K458" s="566"/>
      <c r="L458" s="82"/>
      <c r="M458" s="567"/>
      <c r="N458" s="568"/>
    </row>
    <row r="459" spans="1:14">
      <c r="A459" s="307" t="s">
        <v>719</v>
      </c>
      <c r="B459" s="307" t="s">
        <v>335</v>
      </c>
      <c r="C459" s="124">
        <v>44664</v>
      </c>
      <c r="D459" s="307">
        <v>727</v>
      </c>
      <c r="E459" s="307" t="s">
        <v>670</v>
      </c>
      <c r="F459" s="307" t="s">
        <v>342</v>
      </c>
      <c r="G459" s="118" t="s">
        <v>530</v>
      </c>
      <c r="H459" s="147">
        <v>962289</v>
      </c>
      <c r="I459" s="118"/>
      <c r="J459" s="307" t="s">
        <v>192</v>
      </c>
      <c r="K459" s="566"/>
      <c r="L459" s="82"/>
      <c r="M459" s="567"/>
      <c r="N459" s="568"/>
    </row>
    <row r="460" spans="1:14">
      <c r="A460" s="307" t="s">
        <v>719</v>
      </c>
      <c r="B460" s="307" t="s">
        <v>335</v>
      </c>
      <c r="C460" s="124">
        <v>44664</v>
      </c>
      <c r="D460" s="307">
        <v>727</v>
      </c>
      <c r="E460" s="307" t="s">
        <v>670</v>
      </c>
      <c r="F460" s="307" t="s">
        <v>342</v>
      </c>
      <c r="G460" s="118" t="s">
        <v>531</v>
      </c>
      <c r="H460" s="147">
        <v>698086</v>
      </c>
      <c r="I460" s="118"/>
      <c r="J460" s="307" t="s">
        <v>192</v>
      </c>
      <c r="K460" s="561"/>
      <c r="L460" s="82"/>
      <c r="M460" s="563"/>
      <c r="N460" s="565"/>
    </row>
    <row r="461" spans="1:14">
      <c r="A461" s="307" t="s">
        <v>719</v>
      </c>
      <c r="B461" s="307" t="s">
        <v>335</v>
      </c>
      <c r="C461" s="124">
        <v>44664</v>
      </c>
      <c r="D461" s="307">
        <v>727</v>
      </c>
      <c r="E461" s="307" t="s">
        <v>670</v>
      </c>
      <c r="F461" s="307" t="s">
        <v>342</v>
      </c>
      <c r="G461" s="118" t="s">
        <v>499</v>
      </c>
      <c r="H461" s="147">
        <v>968160</v>
      </c>
      <c r="I461" s="118"/>
      <c r="J461" s="307" t="s">
        <v>192</v>
      </c>
      <c r="K461" s="560">
        <v>156.6</v>
      </c>
      <c r="L461" s="82"/>
      <c r="M461" s="562">
        <f>K461-(L461+L462)</f>
        <v>156.6</v>
      </c>
      <c r="N461" s="564">
        <f>(L461+L462)/K461</f>
        <v>0</v>
      </c>
    </row>
    <row r="462" spans="1:14">
      <c r="A462" s="307" t="s">
        <v>719</v>
      </c>
      <c r="B462" s="307" t="s">
        <v>335</v>
      </c>
      <c r="C462" s="124">
        <v>44664</v>
      </c>
      <c r="D462" s="307">
        <v>727</v>
      </c>
      <c r="E462" s="307" t="s">
        <v>670</v>
      </c>
      <c r="F462" s="307" t="s">
        <v>342</v>
      </c>
      <c r="G462" s="118" t="s">
        <v>498</v>
      </c>
      <c r="H462" s="147">
        <v>969106</v>
      </c>
      <c r="I462" s="118"/>
      <c r="J462" s="307" t="s">
        <v>192</v>
      </c>
      <c r="K462" s="561"/>
      <c r="L462" s="82"/>
      <c r="M462" s="563"/>
      <c r="N462" s="565"/>
    </row>
    <row r="463" spans="1:14">
      <c r="A463" s="307" t="s">
        <v>719</v>
      </c>
      <c r="B463" s="307" t="s">
        <v>335</v>
      </c>
      <c r="C463" s="124">
        <v>44664</v>
      </c>
      <c r="D463" s="307">
        <v>727</v>
      </c>
      <c r="E463" s="307" t="s">
        <v>670</v>
      </c>
      <c r="F463" s="307" t="s">
        <v>342</v>
      </c>
      <c r="G463" s="118" t="s">
        <v>521</v>
      </c>
      <c r="H463" s="307">
        <v>968817</v>
      </c>
      <c r="I463" s="118"/>
      <c r="J463" s="307" t="s">
        <v>192</v>
      </c>
      <c r="K463" s="560">
        <v>156.6</v>
      </c>
      <c r="L463" s="82">
        <v>88.498999999999995</v>
      </c>
      <c r="M463" s="562">
        <f>K463-(L463+L464+L465+L466)</f>
        <v>12.015000000000015</v>
      </c>
      <c r="N463" s="564">
        <f>(L463+L464+L465+L466)/K463</f>
        <v>0.92327586206896539</v>
      </c>
    </row>
    <row r="464" spans="1:14">
      <c r="A464" s="307" t="s">
        <v>719</v>
      </c>
      <c r="B464" s="307" t="s">
        <v>335</v>
      </c>
      <c r="C464" s="124">
        <v>44664</v>
      </c>
      <c r="D464" s="307">
        <v>727</v>
      </c>
      <c r="E464" s="307" t="s">
        <v>670</v>
      </c>
      <c r="F464" s="307" t="s">
        <v>342</v>
      </c>
      <c r="G464" s="118" t="s">
        <v>520</v>
      </c>
      <c r="H464" s="307">
        <v>697864</v>
      </c>
      <c r="I464" s="118"/>
      <c r="J464" s="307" t="s">
        <v>192</v>
      </c>
      <c r="K464" s="566"/>
      <c r="L464" s="82">
        <v>17.263999999999999</v>
      </c>
      <c r="M464" s="567"/>
      <c r="N464" s="568"/>
    </row>
    <row r="465" spans="1:14">
      <c r="A465" s="307" t="s">
        <v>719</v>
      </c>
      <c r="B465" s="307" t="s">
        <v>335</v>
      </c>
      <c r="C465" s="124">
        <v>44664</v>
      </c>
      <c r="D465" s="307">
        <v>727</v>
      </c>
      <c r="E465" s="307" t="s">
        <v>670</v>
      </c>
      <c r="F465" s="307" t="s">
        <v>342</v>
      </c>
      <c r="G465" s="118" t="s">
        <v>522</v>
      </c>
      <c r="H465" s="307">
        <v>697885</v>
      </c>
      <c r="I465" s="118"/>
      <c r="J465" s="307" t="s">
        <v>192</v>
      </c>
      <c r="K465" s="566"/>
      <c r="L465" s="82">
        <v>38.822000000000003</v>
      </c>
      <c r="M465" s="567"/>
      <c r="N465" s="568"/>
    </row>
    <row r="466" spans="1:14">
      <c r="A466" s="307" t="s">
        <v>719</v>
      </c>
      <c r="B466" s="307" t="s">
        <v>335</v>
      </c>
      <c r="C466" s="124">
        <v>44664</v>
      </c>
      <c r="D466" s="307">
        <v>727</v>
      </c>
      <c r="E466" s="307" t="s">
        <v>670</v>
      </c>
      <c r="F466" s="307" t="s">
        <v>342</v>
      </c>
      <c r="G466" s="118" t="s">
        <v>526</v>
      </c>
      <c r="H466" s="147">
        <v>697728</v>
      </c>
      <c r="I466" s="118"/>
      <c r="J466" s="307" t="s">
        <v>192</v>
      </c>
      <c r="K466" s="561"/>
      <c r="L466" s="82"/>
      <c r="M466" s="563"/>
      <c r="N466" s="565"/>
    </row>
    <row r="467" spans="1:14">
      <c r="A467" s="307" t="s">
        <v>720</v>
      </c>
      <c r="B467" s="307" t="s">
        <v>331</v>
      </c>
      <c r="C467" s="124">
        <v>44664</v>
      </c>
      <c r="D467" s="147">
        <v>730</v>
      </c>
      <c r="E467" s="307" t="s">
        <v>670</v>
      </c>
      <c r="F467" s="307" t="s">
        <v>342</v>
      </c>
      <c r="G467" s="307" t="s">
        <v>721</v>
      </c>
      <c r="H467" s="147">
        <v>698573</v>
      </c>
      <c r="I467" s="118"/>
      <c r="J467" s="307" t="s">
        <v>192</v>
      </c>
      <c r="K467" s="108">
        <v>429.73099999999999</v>
      </c>
      <c r="L467" s="82"/>
      <c r="M467" s="308">
        <f t="shared" ref="M467:M469" si="56">K467-L467</f>
        <v>429.73099999999999</v>
      </c>
      <c r="N467" s="310">
        <f t="shared" ref="N467:N469" si="57">L467/K467</f>
        <v>0</v>
      </c>
    </row>
    <row r="468" spans="1:14">
      <c r="A468" s="311" t="s">
        <v>585</v>
      </c>
      <c r="B468" s="311" t="s">
        <v>331</v>
      </c>
      <c r="C468" s="124">
        <v>44669</v>
      </c>
      <c r="D468" s="147">
        <v>29</v>
      </c>
      <c r="E468" s="311" t="s">
        <v>332</v>
      </c>
      <c r="F468" s="311" t="s">
        <v>333</v>
      </c>
      <c r="G468" s="311" t="s">
        <v>615</v>
      </c>
      <c r="H468" s="147">
        <v>968579</v>
      </c>
      <c r="I468" s="118"/>
      <c r="J468" s="311" t="s">
        <v>191</v>
      </c>
      <c r="K468" s="108">
        <v>150</v>
      </c>
      <c r="L468" s="82">
        <v>46.896000000000001</v>
      </c>
      <c r="M468" s="312">
        <f t="shared" si="56"/>
        <v>103.104</v>
      </c>
      <c r="N468" s="313">
        <f t="shared" si="57"/>
        <v>0.31264000000000003</v>
      </c>
    </row>
    <row r="469" spans="1:14">
      <c r="A469" s="311" t="s">
        <v>585</v>
      </c>
      <c r="B469" s="311" t="s">
        <v>331</v>
      </c>
      <c r="C469" s="124">
        <v>44669</v>
      </c>
      <c r="D469" s="311">
        <v>29</v>
      </c>
      <c r="E469" s="311" t="s">
        <v>332</v>
      </c>
      <c r="F469" s="311" t="s">
        <v>333</v>
      </c>
      <c r="G469" s="311" t="s">
        <v>615</v>
      </c>
      <c r="H469" s="311">
        <v>968579</v>
      </c>
      <c r="I469" s="118"/>
      <c r="J469" s="311" t="s">
        <v>192</v>
      </c>
      <c r="K469" s="108">
        <v>150</v>
      </c>
      <c r="L469" s="82">
        <v>9.3049999999999997</v>
      </c>
      <c r="M469" s="312">
        <f t="shared" si="56"/>
        <v>140.69499999999999</v>
      </c>
      <c r="N469" s="313">
        <f t="shared" si="57"/>
        <v>6.2033333333333329E-2</v>
      </c>
    </row>
    <row r="470" spans="1:14">
      <c r="A470" s="315" t="s">
        <v>723</v>
      </c>
      <c r="B470" s="315" t="s">
        <v>335</v>
      </c>
      <c r="C470" s="124">
        <v>44670</v>
      </c>
      <c r="D470" s="147">
        <v>31</v>
      </c>
      <c r="E470" s="315" t="s">
        <v>332</v>
      </c>
      <c r="F470" s="315" t="s">
        <v>333</v>
      </c>
      <c r="G470" s="118" t="s">
        <v>535</v>
      </c>
      <c r="H470" s="147">
        <v>954241</v>
      </c>
      <c r="I470" s="118"/>
      <c r="J470" s="315" t="s">
        <v>191</v>
      </c>
      <c r="K470" s="560">
        <v>40</v>
      </c>
      <c r="L470" s="82"/>
      <c r="M470" s="562">
        <f>K470-(L470+L471)</f>
        <v>40</v>
      </c>
      <c r="N470" s="564">
        <f>(L470+L471)/K470</f>
        <v>0</v>
      </c>
    </row>
    <row r="471" spans="1:14">
      <c r="A471" s="315" t="s">
        <v>723</v>
      </c>
      <c r="B471" s="315" t="s">
        <v>335</v>
      </c>
      <c r="C471" s="124">
        <v>44670</v>
      </c>
      <c r="D471" s="315">
        <v>31</v>
      </c>
      <c r="E471" s="315" t="s">
        <v>332</v>
      </c>
      <c r="F471" s="315" t="s">
        <v>333</v>
      </c>
      <c r="G471" s="118" t="s">
        <v>536</v>
      </c>
      <c r="H471" s="147">
        <v>969511</v>
      </c>
      <c r="I471" s="118"/>
      <c r="J471" s="315" t="s">
        <v>191</v>
      </c>
      <c r="K471" s="561"/>
      <c r="L471" s="82"/>
      <c r="M471" s="563"/>
      <c r="N471" s="565"/>
    </row>
    <row r="472" spans="1:14">
      <c r="A472" s="315" t="s">
        <v>723</v>
      </c>
      <c r="B472" s="315" t="s">
        <v>335</v>
      </c>
      <c r="C472" s="124">
        <v>44670</v>
      </c>
      <c r="D472" s="315">
        <v>31</v>
      </c>
      <c r="E472" s="315" t="s">
        <v>332</v>
      </c>
      <c r="F472" s="315" t="s">
        <v>333</v>
      </c>
      <c r="G472" s="118" t="s">
        <v>535</v>
      </c>
      <c r="H472" s="315">
        <v>954241</v>
      </c>
      <c r="I472" s="118"/>
      <c r="J472" s="315" t="s">
        <v>192</v>
      </c>
      <c r="K472" s="560">
        <v>120</v>
      </c>
      <c r="L472" s="82"/>
      <c r="M472" s="562">
        <f>K472-(L472+L473)</f>
        <v>120</v>
      </c>
      <c r="N472" s="564">
        <f>(L472+L473)/K472</f>
        <v>0</v>
      </c>
    </row>
    <row r="473" spans="1:14">
      <c r="A473" s="315" t="s">
        <v>723</v>
      </c>
      <c r="B473" s="315" t="s">
        <v>335</v>
      </c>
      <c r="C473" s="124">
        <v>44670</v>
      </c>
      <c r="D473" s="315">
        <v>31</v>
      </c>
      <c r="E473" s="315" t="s">
        <v>332</v>
      </c>
      <c r="F473" s="315" t="s">
        <v>333</v>
      </c>
      <c r="G473" s="118" t="s">
        <v>536</v>
      </c>
      <c r="H473" s="315">
        <v>969511</v>
      </c>
      <c r="I473" s="118"/>
      <c r="J473" s="315" t="s">
        <v>192</v>
      </c>
      <c r="K473" s="561"/>
      <c r="L473" s="82"/>
      <c r="M473" s="563"/>
      <c r="N473" s="565"/>
    </row>
    <row r="474" spans="1:14">
      <c r="A474" s="355" t="s">
        <v>689</v>
      </c>
      <c r="B474" s="355" t="s">
        <v>335</v>
      </c>
      <c r="C474" s="124">
        <v>44670</v>
      </c>
      <c r="D474" s="355">
        <v>773</v>
      </c>
      <c r="E474" s="355" t="s">
        <v>670</v>
      </c>
      <c r="F474" s="355" t="s">
        <v>342</v>
      </c>
      <c r="G474" s="355" t="s">
        <v>398</v>
      </c>
      <c r="H474" s="355">
        <v>958069</v>
      </c>
      <c r="I474" s="118"/>
      <c r="J474" s="355" t="s">
        <v>191</v>
      </c>
      <c r="K474" s="560">
        <v>90</v>
      </c>
      <c r="L474" s="80">
        <v>84.548000000000002</v>
      </c>
      <c r="M474" s="562">
        <f>K474-(L474+L475)</f>
        <v>5.4519999999999982</v>
      </c>
      <c r="N474" s="564">
        <f>(L474+L475)/K474</f>
        <v>0.93942222222222227</v>
      </c>
    </row>
    <row r="475" spans="1:14">
      <c r="A475" s="355" t="s">
        <v>689</v>
      </c>
      <c r="B475" s="355" t="s">
        <v>335</v>
      </c>
      <c r="C475" s="124">
        <v>44670</v>
      </c>
      <c r="D475" s="355">
        <v>773</v>
      </c>
      <c r="E475" s="355" t="s">
        <v>670</v>
      </c>
      <c r="F475" s="355" t="s">
        <v>342</v>
      </c>
      <c r="G475" s="355" t="s">
        <v>757</v>
      </c>
      <c r="H475" s="355">
        <v>698151</v>
      </c>
      <c r="I475" s="118"/>
      <c r="J475" s="355" t="s">
        <v>191</v>
      </c>
      <c r="K475" s="561"/>
      <c r="L475" s="82"/>
      <c r="M475" s="563"/>
      <c r="N475" s="565"/>
    </row>
    <row r="476" spans="1:14">
      <c r="A476" s="355" t="s">
        <v>689</v>
      </c>
      <c r="B476" s="355" t="s">
        <v>335</v>
      </c>
      <c r="C476" s="124">
        <v>44670</v>
      </c>
      <c r="D476" s="355">
        <v>773</v>
      </c>
      <c r="E476" s="355" t="s">
        <v>670</v>
      </c>
      <c r="F476" s="355" t="s">
        <v>342</v>
      </c>
      <c r="G476" s="355" t="s">
        <v>398</v>
      </c>
      <c r="H476" s="355">
        <v>958069</v>
      </c>
      <c r="I476" s="118"/>
      <c r="J476" s="355" t="s">
        <v>192</v>
      </c>
      <c r="K476" s="560">
        <v>200</v>
      </c>
      <c r="L476" s="82">
        <v>46.597000000000001</v>
      </c>
      <c r="M476" s="562">
        <f>K476-(L476+L477)</f>
        <v>153.40299999999999</v>
      </c>
      <c r="N476" s="564">
        <f>(L476+L477)/K476</f>
        <v>0.232985</v>
      </c>
    </row>
    <row r="477" spans="1:14">
      <c r="A477" s="355" t="s">
        <v>689</v>
      </c>
      <c r="B477" s="355" t="s">
        <v>335</v>
      </c>
      <c r="C477" s="124">
        <v>44670</v>
      </c>
      <c r="D477" s="355">
        <v>773</v>
      </c>
      <c r="E477" s="355" t="s">
        <v>670</v>
      </c>
      <c r="F477" s="355" t="s">
        <v>342</v>
      </c>
      <c r="G477" s="355" t="s">
        <v>757</v>
      </c>
      <c r="H477" s="355">
        <v>698151</v>
      </c>
      <c r="I477" s="118"/>
      <c r="J477" s="355" t="s">
        <v>192</v>
      </c>
      <c r="K477" s="561"/>
      <c r="L477" s="82"/>
      <c r="M477" s="563"/>
      <c r="N477" s="565"/>
    </row>
    <row r="478" spans="1:14">
      <c r="A478" s="315" t="s">
        <v>661</v>
      </c>
      <c r="B478" s="315" t="s">
        <v>331</v>
      </c>
      <c r="C478" s="124">
        <v>44671</v>
      </c>
      <c r="D478" s="147">
        <v>785</v>
      </c>
      <c r="E478" s="315" t="s">
        <v>670</v>
      </c>
      <c r="F478" s="315" t="s">
        <v>333</v>
      </c>
      <c r="G478" s="315" t="s">
        <v>701</v>
      </c>
      <c r="H478" s="147">
        <v>968614</v>
      </c>
      <c r="I478" s="118"/>
      <c r="J478" s="315" t="s">
        <v>191</v>
      </c>
      <c r="K478" s="108">
        <v>100</v>
      </c>
      <c r="L478" s="82"/>
      <c r="M478" s="316">
        <f t="shared" ref="M478:M480" si="58">K478-L478</f>
        <v>100</v>
      </c>
      <c r="N478" s="318">
        <f t="shared" ref="N478:N480" si="59">L478/K478</f>
        <v>0</v>
      </c>
    </row>
    <row r="479" spans="1:14">
      <c r="A479" s="315" t="s">
        <v>661</v>
      </c>
      <c r="B479" s="315" t="s">
        <v>331</v>
      </c>
      <c r="C479" s="124">
        <v>44671</v>
      </c>
      <c r="D479" s="315">
        <v>785</v>
      </c>
      <c r="E479" s="315" t="s">
        <v>670</v>
      </c>
      <c r="F479" s="315" t="s">
        <v>333</v>
      </c>
      <c r="G479" s="315" t="s">
        <v>588</v>
      </c>
      <c r="H479" s="147">
        <v>964054</v>
      </c>
      <c r="I479" s="118"/>
      <c r="J479" s="315" t="s">
        <v>191</v>
      </c>
      <c r="K479" s="108">
        <v>50</v>
      </c>
      <c r="L479" s="82"/>
      <c r="M479" s="316">
        <f t="shared" si="58"/>
        <v>50</v>
      </c>
      <c r="N479" s="318">
        <f t="shared" si="59"/>
        <v>0</v>
      </c>
    </row>
    <row r="480" spans="1:14">
      <c r="A480" s="315" t="s">
        <v>661</v>
      </c>
      <c r="B480" s="315" t="s">
        <v>331</v>
      </c>
      <c r="C480" s="124">
        <v>44671</v>
      </c>
      <c r="D480" s="315">
        <v>785</v>
      </c>
      <c r="E480" s="315" t="s">
        <v>670</v>
      </c>
      <c r="F480" s="315" t="s">
        <v>333</v>
      </c>
      <c r="G480" s="315" t="s">
        <v>588</v>
      </c>
      <c r="H480" s="315">
        <v>964054</v>
      </c>
      <c r="I480" s="118"/>
      <c r="J480" s="315" t="s">
        <v>192</v>
      </c>
      <c r="K480" s="108">
        <v>100</v>
      </c>
      <c r="L480" s="82"/>
      <c r="M480" s="316">
        <f t="shared" si="58"/>
        <v>100</v>
      </c>
      <c r="N480" s="318">
        <f t="shared" si="59"/>
        <v>0</v>
      </c>
    </row>
    <row r="481" spans="1:14">
      <c r="A481" s="315" t="s">
        <v>661</v>
      </c>
      <c r="B481" s="315" t="s">
        <v>331</v>
      </c>
      <c r="C481" s="124">
        <v>44671</v>
      </c>
      <c r="D481" s="315">
        <v>785</v>
      </c>
      <c r="E481" s="315" t="s">
        <v>670</v>
      </c>
      <c r="F481" s="315" t="s">
        <v>333</v>
      </c>
      <c r="G481" s="315" t="s">
        <v>343</v>
      </c>
      <c r="H481" s="147">
        <v>968532</v>
      </c>
      <c r="I481" s="118"/>
      <c r="J481" s="315" t="s">
        <v>191</v>
      </c>
      <c r="K481" s="108">
        <v>450</v>
      </c>
      <c r="L481" s="82">
        <v>85.74</v>
      </c>
      <c r="M481" s="316">
        <f t="shared" ref="M481:M482" si="60">K481-L481</f>
        <v>364.26</v>
      </c>
      <c r="N481" s="318">
        <f t="shared" ref="N481:N482" si="61">L481/K481</f>
        <v>0.19053333333333333</v>
      </c>
    </row>
    <row r="482" spans="1:14">
      <c r="A482" s="315" t="s">
        <v>661</v>
      </c>
      <c r="B482" s="315" t="s">
        <v>331</v>
      </c>
      <c r="C482" s="124">
        <v>44671</v>
      </c>
      <c r="D482" s="315">
        <v>785</v>
      </c>
      <c r="E482" s="315" t="s">
        <v>670</v>
      </c>
      <c r="F482" s="315" t="s">
        <v>333</v>
      </c>
      <c r="G482" s="315" t="s">
        <v>343</v>
      </c>
      <c r="H482" s="315">
        <v>968532</v>
      </c>
      <c r="I482" s="118"/>
      <c r="J482" s="315" t="s">
        <v>192</v>
      </c>
      <c r="K482" s="108">
        <v>100</v>
      </c>
      <c r="L482" s="82"/>
      <c r="M482" s="316">
        <f t="shared" si="60"/>
        <v>100</v>
      </c>
      <c r="N482" s="318">
        <f t="shared" si="61"/>
        <v>0</v>
      </c>
    </row>
    <row r="483" spans="1:14">
      <c r="A483" s="315" t="s">
        <v>661</v>
      </c>
      <c r="B483" s="315" t="s">
        <v>331</v>
      </c>
      <c r="C483" s="124">
        <v>44671</v>
      </c>
      <c r="D483" s="315">
        <v>785</v>
      </c>
      <c r="E483" s="315" t="s">
        <v>670</v>
      </c>
      <c r="F483" s="315" t="s">
        <v>333</v>
      </c>
      <c r="G483" s="315" t="s">
        <v>435</v>
      </c>
      <c r="H483" s="147">
        <v>697391</v>
      </c>
      <c r="I483" s="118"/>
      <c r="J483" s="315" t="s">
        <v>191</v>
      </c>
      <c r="K483" s="108">
        <v>150</v>
      </c>
      <c r="L483" s="82"/>
      <c r="M483" s="316">
        <f t="shared" ref="M483:M484" si="62">K483-L483</f>
        <v>150</v>
      </c>
      <c r="N483" s="318">
        <f t="shared" ref="N483:N484" si="63">L483/K483</f>
        <v>0</v>
      </c>
    </row>
    <row r="484" spans="1:14">
      <c r="A484" s="315" t="s">
        <v>661</v>
      </c>
      <c r="B484" s="315" t="s">
        <v>331</v>
      </c>
      <c r="C484" s="124">
        <v>44671</v>
      </c>
      <c r="D484" s="315">
        <v>785</v>
      </c>
      <c r="E484" s="315" t="s">
        <v>670</v>
      </c>
      <c r="F484" s="315" t="s">
        <v>333</v>
      </c>
      <c r="G484" s="315" t="s">
        <v>435</v>
      </c>
      <c r="H484" s="315">
        <v>697391</v>
      </c>
      <c r="I484" s="118"/>
      <c r="J484" s="315" t="s">
        <v>192</v>
      </c>
      <c r="K484" s="108">
        <v>100</v>
      </c>
      <c r="L484" s="82"/>
      <c r="M484" s="316">
        <f t="shared" si="62"/>
        <v>100</v>
      </c>
      <c r="N484" s="318">
        <f t="shared" si="63"/>
        <v>0</v>
      </c>
    </row>
    <row r="485" spans="1:14">
      <c r="A485" s="315" t="s">
        <v>724</v>
      </c>
      <c r="B485" s="315" t="s">
        <v>331</v>
      </c>
      <c r="C485" s="124">
        <v>44671</v>
      </c>
      <c r="D485" s="147">
        <v>790</v>
      </c>
      <c r="E485" s="315" t="s">
        <v>670</v>
      </c>
      <c r="F485" s="315" t="s">
        <v>342</v>
      </c>
      <c r="G485" s="315" t="s">
        <v>364</v>
      </c>
      <c r="H485" s="147">
        <v>950818</v>
      </c>
      <c r="I485" s="118"/>
      <c r="J485" s="315" t="s">
        <v>191</v>
      </c>
      <c r="K485" s="108">
        <v>522.60799999999995</v>
      </c>
      <c r="L485" s="82">
        <v>712.48800000000006</v>
      </c>
      <c r="M485" s="316">
        <f t="shared" ref="M485:M487" si="64">K485-L485</f>
        <v>-189.88000000000011</v>
      </c>
      <c r="N485" s="318">
        <f t="shared" ref="N485:N487" si="65">L485/K485</f>
        <v>1.3633315984447236</v>
      </c>
    </row>
    <row r="486" spans="1:14">
      <c r="A486" s="319" t="s">
        <v>692</v>
      </c>
      <c r="B486" s="319" t="s">
        <v>331</v>
      </c>
      <c r="C486" s="124">
        <v>44676</v>
      </c>
      <c r="D486" s="147">
        <v>816</v>
      </c>
      <c r="E486" s="319" t="s">
        <v>670</v>
      </c>
      <c r="F486" s="319" t="s">
        <v>342</v>
      </c>
      <c r="G486" s="319" t="s">
        <v>727</v>
      </c>
      <c r="H486" s="147">
        <v>923163</v>
      </c>
      <c r="I486" s="118"/>
      <c r="J486" s="319" t="s">
        <v>191</v>
      </c>
      <c r="K486" s="108">
        <v>150</v>
      </c>
      <c r="L486" s="82"/>
      <c r="M486" s="320">
        <f t="shared" si="64"/>
        <v>150</v>
      </c>
      <c r="N486" s="322">
        <f t="shared" si="65"/>
        <v>0</v>
      </c>
    </row>
    <row r="487" spans="1:14">
      <c r="A487" s="319" t="s">
        <v>692</v>
      </c>
      <c r="B487" s="319" t="s">
        <v>331</v>
      </c>
      <c r="C487" s="124">
        <v>44676</v>
      </c>
      <c r="D487" s="319">
        <v>816</v>
      </c>
      <c r="E487" s="319" t="s">
        <v>670</v>
      </c>
      <c r="F487" s="319" t="s">
        <v>342</v>
      </c>
      <c r="G487" s="319" t="s">
        <v>727</v>
      </c>
      <c r="H487" s="319">
        <v>923163</v>
      </c>
      <c r="I487" s="118"/>
      <c r="J487" s="319" t="s">
        <v>192</v>
      </c>
      <c r="K487" s="108">
        <v>150</v>
      </c>
      <c r="L487" s="82"/>
      <c r="M487" s="320">
        <f t="shared" si="64"/>
        <v>150</v>
      </c>
      <c r="N487" s="322">
        <f t="shared" si="65"/>
        <v>0</v>
      </c>
    </row>
    <row r="488" spans="1:14">
      <c r="A488" s="319" t="s">
        <v>692</v>
      </c>
      <c r="B488" s="319" t="s">
        <v>331</v>
      </c>
      <c r="C488" s="124">
        <v>44676</v>
      </c>
      <c r="D488" s="319">
        <v>816</v>
      </c>
      <c r="E488" s="319" t="s">
        <v>670</v>
      </c>
      <c r="F488" s="319" t="s">
        <v>342</v>
      </c>
      <c r="G488" s="319" t="s">
        <v>345</v>
      </c>
      <c r="H488" s="147">
        <v>923977</v>
      </c>
      <c r="I488" s="118"/>
      <c r="J488" s="319" t="s">
        <v>191</v>
      </c>
      <c r="K488" s="108">
        <v>100</v>
      </c>
      <c r="L488" s="82"/>
      <c r="M488" s="320">
        <f t="shared" ref="M488:M491" si="66">K488-L488</f>
        <v>100</v>
      </c>
      <c r="N488" s="322">
        <f t="shared" ref="N488:N491" si="67">L488/K488</f>
        <v>0</v>
      </c>
    </row>
    <row r="489" spans="1:14">
      <c r="A489" s="319" t="s">
        <v>692</v>
      </c>
      <c r="B489" s="319" t="s">
        <v>331</v>
      </c>
      <c r="C489" s="124">
        <v>44676</v>
      </c>
      <c r="D489" s="319">
        <v>816</v>
      </c>
      <c r="E489" s="319" t="s">
        <v>670</v>
      </c>
      <c r="F489" s="319" t="s">
        <v>342</v>
      </c>
      <c r="G489" s="319" t="s">
        <v>345</v>
      </c>
      <c r="H489" s="319">
        <v>923977</v>
      </c>
      <c r="I489" s="118"/>
      <c r="J489" s="319" t="s">
        <v>192</v>
      </c>
      <c r="K489" s="108">
        <v>200</v>
      </c>
      <c r="L489" s="82"/>
      <c r="M489" s="320">
        <f t="shared" si="66"/>
        <v>200</v>
      </c>
      <c r="N489" s="322">
        <f t="shared" si="67"/>
        <v>0</v>
      </c>
    </row>
    <row r="490" spans="1:14">
      <c r="A490" s="319" t="s">
        <v>692</v>
      </c>
      <c r="B490" s="319" t="s">
        <v>331</v>
      </c>
      <c r="C490" s="124">
        <v>44676</v>
      </c>
      <c r="D490" s="319">
        <v>816</v>
      </c>
      <c r="E490" s="319" t="s">
        <v>670</v>
      </c>
      <c r="F490" s="319" t="s">
        <v>342</v>
      </c>
      <c r="G490" s="319" t="s">
        <v>728</v>
      </c>
      <c r="H490" s="147">
        <v>968680</v>
      </c>
      <c r="I490" s="118"/>
      <c r="J490" s="319" t="s">
        <v>191</v>
      </c>
      <c r="K490" s="108">
        <v>15</v>
      </c>
      <c r="L490" s="82"/>
      <c r="M490" s="320">
        <f t="shared" si="66"/>
        <v>15</v>
      </c>
      <c r="N490" s="322">
        <f t="shared" si="67"/>
        <v>0</v>
      </c>
    </row>
    <row r="491" spans="1:14">
      <c r="A491" s="319" t="s">
        <v>692</v>
      </c>
      <c r="B491" s="319" t="s">
        <v>331</v>
      </c>
      <c r="C491" s="124">
        <v>44676</v>
      </c>
      <c r="D491" s="319">
        <v>816</v>
      </c>
      <c r="E491" s="319" t="s">
        <v>670</v>
      </c>
      <c r="F491" s="319" t="s">
        <v>342</v>
      </c>
      <c r="G491" s="319" t="s">
        <v>728</v>
      </c>
      <c r="H491" s="319">
        <v>968680</v>
      </c>
      <c r="I491" s="118"/>
      <c r="J491" s="319" t="s">
        <v>192</v>
      </c>
      <c r="K491" s="108">
        <v>20</v>
      </c>
      <c r="L491" s="82"/>
      <c r="M491" s="320">
        <f t="shared" si="66"/>
        <v>20</v>
      </c>
      <c r="N491" s="322">
        <f t="shared" si="67"/>
        <v>0</v>
      </c>
    </row>
    <row r="492" spans="1:14">
      <c r="A492" s="319" t="s">
        <v>692</v>
      </c>
      <c r="B492" s="319" t="s">
        <v>335</v>
      </c>
      <c r="C492" s="124">
        <v>44676</v>
      </c>
      <c r="D492" s="147">
        <v>818</v>
      </c>
      <c r="E492" s="319" t="s">
        <v>670</v>
      </c>
      <c r="F492" s="319" t="s">
        <v>342</v>
      </c>
      <c r="G492" s="319" t="s">
        <v>515</v>
      </c>
      <c r="H492" s="147">
        <v>31015</v>
      </c>
      <c r="I492" s="118"/>
      <c r="J492" s="319" t="s">
        <v>191</v>
      </c>
      <c r="K492" s="560">
        <v>200</v>
      </c>
      <c r="L492" s="82">
        <v>30.39</v>
      </c>
      <c r="M492" s="562">
        <f>K492-(L492+L493+L494+L495)</f>
        <v>-52.769999999999982</v>
      </c>
      <c r="N492" s="564">
        <f>(L492+L493+L494+L495)/K492</f>
        <v>1.2638499999999999</v>
      </c>
    </row>
    <row r="493" spans="1:14">
      <c r="A493" s="319" t="s">
        <v>692</v>
      </c>
      <c r="B493" s="319" t="s">
        <v>335</v>
      </c>
      <c r="C493" s="124">
        <v>44676</v>
      </c>
      <c r="D493" s="319">
        <v>818</v>
      </c>
      <c r="E493" s="319" t="s">
        <v>670</v>
      </c>
      <c r="F493" s="319" t="s">
        <v>342</v>
      </c>
      <c r="G493" s="319" t="s">
        <v>400</v>
      </c>
      <c r="H493" s="147">
        <v>968938</v>
      </c>
      <c r="I493" s="118"/>
      <c r="J493" s="319" t="s">
        <v>191</v>
      </c>
      <c r="K493" s="566"/>
      <c r="L493" s="82">
        <v>98.64</v>
      </c>
      <c r="M493" s="567"/>
      <c r="N493" s="568"/>
    </row>
    <row r="494" spans="1:14">
      <c r="A494" s="319" t="s">
        <v>692</v>
      </c>
      <c r="B494" s="319" t="s">
        <v>335</v>
      </c>
      <c r="C494" s="124">
        <v>44676</v>
      </c>
      <c r="D494" s="319">
        <v>818</v>
      </c>
      <c r="E494" s="319" t="s">
        <v>670</v>
      </c>
      <c r="F494" s="319" t="s">
        <v>342</v>
      </c>
      <c r="G494" s="319" t="s">
        <v>489</v>
      </c>
      <c r="H494" s="147">
        <v>966410</v>
      </c>
      <c r="I494" s="118"/>
      <c r="J494" s="319" t="s">
        <v>191</v>
      </c>
      <c r="K494" s="566"/>
      <c r="L494" s="82">
        <v>123.74</v>
      </c>
      <c r="M494" s="567"/>
      <c r="N494" s="568"/>
    </row>
    <row r="495" spans="1:14">
      <c r="A495" s="319" t="s">
        <v>692</v>
      </c>
      <c r="B495" s="319" t="s">
        <v>335</v>
      </c>
      <c r="C495" s="124">
        <v>44676</v>
      </c>
      <c r="D495" s="319">
        <v>818</v>
      </c>
      <c r="E495" s="319" t="s">
        <v>670</v>
      </c>
      <c r="F495" s="319" t="s">
        <v>342</v>
      </c>
      <c r="G495" s="319" t="s">
        <v>600</v>
      </c>
      <c r="H495" s="147">
        <v>922492</v>
      </c>
      <c r="I495" s="118"/>
      <c r="J495" s="319" t="s">
        <v>191</v>
      </c>
      <c r="K495" s="561"/>
      <c r="L495" s="82"/>
      <c r="M495" s="563"/>
      <c r="N495" s="565"/>
    </row>
    <row r="496" spans="1:14">
      <c r="A496" s="319" t="s">
        <v>692</v>
      </c>
      <c r="B496" s="319" t="s">
        <v>335</v>
      </c>
      <c r="C496" s="124">
        <v>44676</v>
      </c>
      <c r="D496" s="319">
        <v>818</v>
      </c>
      <c r="E496" s="319" t="s">
        <v>670</v>
      </c>
      <c r="F496" s="319" t="s">
        <v>342</v>
      </c>
      <c r="G496" s="319" t="s">
        <v>515</v>
      </c>
      <c r="H496" s="319">
        <v>31015</v>
      </c>
      <c r="I496" s="118"/>
      <c r="J496" s="319" t="s">
        <v>192</v>
      </c>
      <c r="K496" s="560">
        <v>135.75</v>
      </c>
      <c r="L496" s="82"/>
      <c r="M496" s="562">
        <f>K496-(L496+L497+L498+L499)</f>
        <v>135.75</v>
      </c>
      <c r="N496" s="564">
        <f>(L496+L497+L498+L499)/K496</f>
        <v>0</v>
      </c>
    </row>
    <row r="497" spans="1:14">
      <c r="A497" s="319" t="s">
        <v>692</v>
      </c>
      <c r="B497" s="319" t="s">
        <v>335</v>
      </c>
      <c r="C497" s="124">
        <v>44676</v>
      </c>
      <c r="D497" s="319">
        <v>818</v>
      </c>
      <c r="E497" s="319" t="s">
        <v>670</v>
      </c>
      <c r="F497" s="319" t="s">
        <v>342</v>
      </c>
      <c r="G497" s="319" t="s">
        <v>400</v>
      </c>
      <c r="H497" s="319">
        <v>968938</v>
      </c>
      <c r="I497" s="118"/>
      <c r="J497" s="319" t="s">
        <v>192</v>
      </c>
      <c r="K497" s="566"/>
      <c r="L497" s="82"/>
      <c r="M497" s="567"/>
      <c r="N497" s="568"/>
    </row>
    <row r="498" spans="1:14">
      <c r="A498" s="319" t="s">
        <v>692</v>
      </c>
      <c r="B498" s="319" t="s">
        <v>335</v>
      </c>
      <c r="C498" s="124">
        <v>44676</v>
      </c>
      <c r="D498" s="319">
        <v>818</v>
      </c>
      <c r="E498" s="319" t="s">
        <v>670</v>
      </c>
      <c r="F498" s="319" t="s">
        <v>342</v>
      </c>
      <c r="G498" s="319" t="s">
        <v>489</v>
      </c>
      <c r="H498" s="319">
        <v>966410</v>
      </c>
      <c r="I498" s="118"/>
      <c r="J498" s="319" t="s">
        <v>192</v>
      </c>
      <c r="K498" s="566"/>
      <c r="L498" s="82"/>
      <c r="M498" s="567"/>
      <c r="N498" s="568"/>
    </row>
    <row r="499" spans="1:14">
      <c r="A499" s="319" t="s">
        <v>692</v>
      </c>
      <c r="B499" s="319" t="s">
        <v>335</v>
      </c>
      <c r="C499" s="124">
        <v>44676</v>
      </c>
      <c r="D499" s="319">
        <v>818</v>
      </c>
      <c r="E499" s="319" t="s">
        <v>670</v>
      </c>
      <c r="F499" s="319" t="s">
        <v>342</v>
      </c>
      <c r="G499" s="319" t="s">
        <v>600</v>
      </c>
      <c r="H499" s="319">
        <v>922492</v>
      </c>
      <c r="I499" s="118"/>
      <c r="J499" s="319" t="s">
        <v>192</v>
      </c>
      <c r="K499" s="561"/>
      <c r="L499" s="82"/>
      <c r="M499" s="563"/>
      <c r="N499" s="565"/>
    </row>
    <row r="500" spans="1:14">
      <c r="A500" s="319" t="s">
        <v>694</v>
      </c>
      <c r="B500" s="319" t="s">
        <v>331</v>
      </c>
      <c r="C500" s="124">
        <v>44676</v>
      </c>
      <c r="D500" s="147">
        <v>820</v>
      </c>
      <c r="E500" s="319" t="s">
        <v>670</v>
      </c>
      <c r="F500" s="319" t="s">
        <v>342</v>
      </c>
      <c r="G500" s="319" t="s">
        <v>462</v>
      </c>
      <c r="H500" s="147">
        <v>955404</v>
      </c>
      <c r="I500" s="118"/>
      <c r="J500" s="319" t="s">
        <v>191</v>
      </c>
      <c r="K500" s="108">
        <v>100</v>
      </c>
      <c r="L500" s="82">
        <v>16.206</v>
      </c>
      <c r="M500" s="320">
        <f t="shared" ref="M500:M501" si="68">K500-L500</f>
        <v>83.793999999999997</v>
      </c>
      <c r="N500" s="322">
        <f t="shared" ref="N500:N501" si="69">L500/K500</f>
        <v>0.16205999999999998</v>
      </c>
    </row>
    <row r="501" spans="1:14">
      <c r="A501" s="319" t="s">
        <v>694</v>
      </c>
      <c r="B501" s="319" t="s">
        <v>331</v>
      </c>
      <c r="C501" s="124">
        <v>44676</v>
      </c>
      <c r="D501" s="319">
        <v>820</v>
      </c>
      <c r="E501" s="319" t="s">
        <v>670</v>
      </c>
      <c r="F501" s="319" t="s">
        <v>342</v>
      </c>
      <c r="G501" s="319" t="s">
        <v>462</v>
      </c>
      <c r="H501" s="319">
        <v>955404</v>
      </c>
      <c r="I501" s="118"/>
      <c r="J501" s="319" t="s">
        <v>192</v>
      </c>
      <c r="K501" s="108">
        <v>150</v>
      </c>
      <c r="L501" s="82">
        <v>9.3740000000000006</v>
      </c>
      <c r="M501" s="320">
        <f t="shared" si="68"/>
        <v>140.626</v>
      </c>
      <c r="N501" s="322">
        <f t="shared" si="69"/>
        <v>6.2493333333333338E-2</v>
      </c>
    </row>
    <row r="502" spans="1:14">
      <c r="A502" s="319" t="s">
        <v>731</v>
      </c>
      <c r="B502" s="319" t="s">
        <v>331</v>
      </c>
      <c r="C502" s="124">
        <v>44676</v>
      </c>
      <c r="D502" s="147">
        <v>823</v>
      </c>
      <c r="E502" s="319" t="s">
        <v>670</v>
      </c>
      <c r="F502" s="319" t="s">
        <v>342</v>
      </c>
      <c r="G502" s="319" t="s">
        <v>467</v>
      </c>
      <c r="H502" s="147">
        <v>959987</v>
      </c>
      <c r="I502" s="118"/>
      <c r="J502" s="319" t="s">
        <v>191</v>
      </c>
      <c r="K502" s="108">
        <v>373.29399999999998</v>
      </c>
      <c r="L502" s="82">
        <v>388.37700000000001</v>
      </c>
      <c r="M502" s="320">
        <f t="shared" ref="M502" si="70">K502-L502</f>
        <v>-15.083000000000027</v>
      </c>
      <c r="N502" s="322">
        <f t="shared" ref="N502" si="71">L502/K502</f>
        <v>1.0404051498282856</v>
      </c>
    </row>
    <row r="503" spans="1:14">
      <c r="A503" s="319" t="s">
        <v>732</v>
      </c>
      <c r="B503" s="319" t="s">
        <v>331</v>
      </c>
      <c r="C503" s="124">
        <v>44676</v>
      </c>
      <c r="D503" s="147">
        <v>824</v>
      </c>
      <c r="E503" s="319" t="s">
        <v>670</v>
      </c>
      <c r="F503" s="319" t="s">
        <v>342</v>
      </c>
      <c r="G503" s="319" t="s">
        <v>733</v>
      </c>
      <c r="H503" s="147">
        <v>960769</v>
      </c>
      <c r="I503" s="118"/>
      <c r="J503" s="319" t="s">
        <v>191</v>
      </c>
      <c r="K503" s="108">
        <v>149.31700000000001</v>
      </c>
      <c r="L503" s="82">
        <v>149.31700000000001</v>
      </c>
      <c r="M503" s="320">
        <f t="shared" ref="M503:M505" si="72">K503-L503</f>
        <v>0</v>
      </c>
      <c r="N503" s="322">
        <f t="shared" ref="N503:N505" si="73">L503/K503</f>
        <v>1</v>
      </c>
    </row>
    <row r="504" spans="1:14">
      <c r="A504" s="323" t="s">
        <v>734</v>
      </c>
      <c r="B504" s="323" t="s">
        <v>331</v>
      </c>
      <c r="C504" s="124">
        <v>44673</v>
      </c>
      <c r="D504" s="147">
        <v>33</v>
      </c>
      <c r="E504" s="323" t="s">
        <v>332</v>
      </c>
      <c r="F504" s="323" t="s">
        <v>333</v>
      </c>
      <c r="G504" s="323" t="s">
        <v>383</v>
      </c>
      <c r="H504" s="147">
        <v>953832</v>
      </c>
      <c r="I504" s="118"/>
      <c r="J504" s="323" t="s">
        <v>191</v>
      </c>
      <c r="K504" s="108">
        <v>1.4</v>
      </c>
      <c r="L504" s="82"/>
      <c r="M504" s="324">
        <f t="shared" si="72"/>
        <v>1.4</v>
      </c>
      <c r="N504" s="326">
        <f t="shared" si="73"/>
        <v>0</v>
      </c>
    </row>
    <row r="505" spans="1:14">
      <c r="A505" s="323" t="s">
        <v>734</v>
      </c>
      <c r="B505" s="323" t="s">
        <v>331</v>
      </c>
      <c r="C505" s="124">
        <v>44673</v>
      </c>
      <c r="D505" s="323">
        <v>33</v>
      </c>
      <c r="E505" s="323" t="s">
        <v>332</v>
      </c>
      <c r="F505" s="323" t="s">
        <v>333</v>
      </c>
      <c r="G505" s="323" t="s">
        <v>383</v>
      </c>
      <c r="H505" s="323">
        <v>953832</v>
      </c>
      <c r="I505" s="118"/>
      <c r="J505" s="323" t="s">
        <v>192</v>
      </c>
      <c r="K505" s="108">
        <v>2.6</v>
      </c>
      <c r="L505" s="82"/>
      <c r="M505" s="324">
        <f t="shared" si="72"/>
        <v>2.6</v>
      </c>
      <c r="N505" s="326">
        <f t="shared" si="73"/>
        <v>0</v>
      </c>
    </row>
    <row r="506" spans="1:14">
      <c r="A506" s="331" t="s">
        <v>737</v>
      </c>
      <c r="B506" s="331" t="s">
        <v>335</v>
      </c>
      <c r="C506" s="124">
        <v>44680</v>
      </c>
      <c r="D506" s="147">
        <v>843</v>
      </c>
      <c r="E506" s="331" t="s">
        <v>670</v>
      </c>
      <c r="F506" s="331" t="s">
        <v>342</v>
      </c>
      <c r="G506" s="331" t="s">
        <v>499</v>
      </c>
      <c r="H506" s="147">
        <v>968160</v>
      </c>
      <c r="I506" s="118"/>
      <c r="J506" s="331" t="s">
        <v>191</v>
      </c>
      <c r="K506" s="560">
        <v>0</v>
      </c>
      <c r="L506" s="82"/>
      <c r="M506" s="562">
        <f>K506-(L506+L507)</f>
        <v>0</v>
      </c>
      <c r="N506" s="564" t="e">
        <f>(L506+L507)/K506</f>
        <v>#DIV/0!</v>
      </c>
    </row>
    <row r="507" spans="1:14">
      <c r="A507" s="331" t="s">
        <v>737</v>
      </c>
      <c r="B507" s="331" t="s">
        <v>335</v>
      </c>
      <c r="C507" s="124">
        <v>44680</v>
      </c>
      <c r="D507" s="331">
        <v>843</v>
      </c>
      <c r="E507" s="331" t="s">
        <v>670</v>
      </c>
      <c r="F507" s="331" t="s">
        <v>342</v>
      </c>
      <c r="G507" s="331" t="s">
        <v>498</v>
      </c>
      <c r="H507" s="147">
        <v>969106</v>
      </c>
      <c r="I507" s="118"/>
      <c r="J507" s="331" t="s">
        <v>191</v>
      </c>
      <c r="K507" s="561"/>
      <c r="L507" s="82"/>
      <c r="M507" s="563"/>
      <c r="N507" s="565"/>
    </row>
    <row r="508" spans="1:14">
      <c r="A508" s="331" t="s">
        <v>737</v>
      </c>
      <c r="B508" s="331" t="s">
        <v>335</v>
      </c>
      <c r="C508" s="124">
        <v>44680</v>
      </c>
      <c r="D508" s="331">
        <v>843</v>
      </c>
      <c r="E508" s="331" t="s">
        <v>670</v>
      </c>
      <c r="F508" s="331" t="s">
        <v>342</v>
      </c>
      <c r="G508" s="331" t="s">
        <v>499</v>
      </c>
      <c r="H508" s="331">
        <v>968160</v>
      </c>
      <c r="I508" s="118"/>
      <c r="J508" s="331" t="s">
        <v>192</v>
      </c>
      <c r="K508" s="560">
        <v>71.924000000000007</v>
      </c>
      <c r="L508" s="82"/>
      <c r="M508" s="562">
        <f>K508-(L508+L509)</f>
        <v>71.924000000000007</v>
      </c>
      <c r="N508" s="564">
        <f>(L508+L509)/K508</f>
        <v>0</v>
      </c>
    </row>
    <row r="509" spans="1:14">
      <c r="A509" s="331" t="s">
        <v>737</v>
      </c>
      <c r="B509" s="331" t="s">
        <v>335</v>
      </c>
      <c r="C509" s="124">
        <v>44680</v>
      </c>
      <c r="D509" s="331">
        <v>843</v>
      </c>
      <c r="E509" s="331" t="s">
        <v>670</v>
      </c>
      <c r="F509" s="331" t="s">
        <v>342</v>
      </c>
      <c r="G509" s="331" t="s">
        <v>498</v>
      </c>
      <c r="H509" s="331">
        <v>969106</v>
      </c>
      <c r="I509" s="118"/>
      <c r="J509" s="331" t="s">
        <v>192</v>
      </c>
      <c r="K509" s="561"/>
      <c r="L509" s="82"/>
      <c r="M509" s="563"/>
      <c r="N509" s="565"/>
    </row>
    <row r="510" spans="1:14">
      <c r="A510" s="331" t="s">
        <v>737</v>
      </c>
      <c r="B510" s="331" t="s">
        <v>335</v>
      </c>
      <c r="C510" s="124">
        <v>44680</v>
      </c>
      <c r="D510" s="331">
        <v>843</v>
      </c>
      <c r="E510" s="331" t="s">
        <v>670</v>
      </c>
      <c r="F510" s="331" t="s">
        <v>342</v>
      </c>
      <c r="G510" s="331" t="s">
        <v>356</v>
      </c>
      <c r="H510" s="147">
        <v>966146</v>
      </c>
      <c r="I510" s="118"/>
      <c r="J510" s="331" t="s">
        <v>191</v>
      </c>
      <c r="K510" s="560">
        <v>31.731000000000002</v>
      </c>
      <c r="L510" s="82">
        <v>6.7210000000000001</v>
      </c>
      <c r="M510" s="562">
        <f>K510-(L510+L511)</f>
        <v>25.01</v>
      </c>
      <c r="N510" s="564">
        <f>(L510+L511)/K510</f>
        <v>0.21181179288393054</v>
      </c>
    </row>
    <row r="511" spans="1:14">
      <c r="A511" s="331" t="s">
        <v>737</v>
      </c>
      <c r="B511" s="331" t="s">
        <v>335</v>
      </c>
      <c r="C511" s="124">
        <v>44680</v>
      </c>
      <c r="D511" s="331">
        <v>843</v>
      </c>
      <c r="E511" s="331" t="s">
        <v>670</v>
      </c>
      <c r="F511" s="331" t="s">
        <v>342</v>
      </c>
      <c r="G511" s="331" t="s">
        <v>350</v>
      </c>
      <c r="H511" s="147">
        <v>697484</v>
      </c>
      <c r="I511" s="118"/>
      <c r="J511" s="331" t="s">
        <v>191</v>
      </c>
      <c r="K511" s="561"/>
      <c r="L511" s="82"/>
      <c r="M511" s="563"/>
      <c r="N511" s="565"/>
    </row>
    <row r="512" spans="1:14">
      <c r="A512" s="331" t="s">
        <v>737</v>
      </c>
      <c r="B512" s="331" t="s">
        <v>335</v>
      </c>
      <c r="C512" s="124">
        <v>44680</v>
      </c>
      <c r="D512" s="331">
        <v>843</v>
      </c>
      <c r="E512" s="331" t="s">
        <v>670</v>
      </c>
      <c r="F512" s="331" t="s">
        <v>342</v>
      </c>
      <c r="G512" s="331" t="s">
        <v>356</v>
      </c>
      <c r="H512" s="331">
        <v>966146</v>
      </c>
      <c r="I512" s="118"/>
      <c r="J512" s="331" t="s">
        <v>192</v>
      </c>
      <c r="K512" s="560">
        <v>124.629</v>
      </c>
      <c r="L512" s="82">
        <v>23.771000000000001</v>
      </c>
      <c r="M512" s="562">
        <f>K512-(L512+L513)</f>
        <v>100.858</v>
      </c>
      <c r="N512" s="564">
        <f>(L512+L513)/K512</f>
        <v>0.19073409880525399</v>
      </c>
    </row>
    <row r="513" spans="1:14">
      <c r="A513" s="331" t="s">
        <v>737</v>
      </c>
      <c r="B513" s="331" t="s">
        <v>335</v>
      </c>
      <c r="C513" s="124">
        <v>44680</v>
      </c>
      <c r="D513" s="331">
        <v>843</v>
      </c>
      <c r="E513" s="331" t="s">
        <v>670</v>
      </c>
      <c r="F513" s="331" t="s">
        <v>342</v>
      </c>
      <c r="G513" s="331" t="s">
        <v>350</v>
      </c>
      <c r="H513" s="331">
        <v>697484</v>
      </c>
      <c r="I513" s="118"/>
      <c r="J513" s="331" t="s">
        <v>192</v>
      </c>
      <c r="K513" s="561"/>
      <c r="L513" s="82"/>
      <c r="M513" s="563"/>
      <c r="N513" s="565"/>
    </row>
    <row r="514" spans="1:14">
      <c r="A514" s="331" t="s">
        <v>737</v>
      </c>
      <c r="B514" s="331" t="s">
        <v>335</v>
      </c>
      <c r="C514" s="124">
        <v>44680</v>
      </c>
      <c r="D514" s="331">
        <v>843</v>
      </c>
      <c r="E514" s="331" t="s">
        <v>670</v>
      </c>
      <c r="F514" s="331" t="s">
        <v>342</v>
      </c>
      <c r="G514" s="331" t="s">
        <v>521</v>
      </c>
      <c r="H514" s="147">
        <v>968817</v>
      </c>
      <c r="I514" s="118"/>
      <c r="J514" s="331" t="s">
        <v>191</v>
      </c>
      <c r="K514" s="560">
        <v>76.86</v>
      </c>
      <c r="L514" s="82"/>
      <c r="M514" s="562">
        <f>K514-(L514+L515+L516+L517)</f>
        <v>76.86</v>
      </c>
      <c r="N514" s="564">
        <f>(L514+L515+L516+L517)/K514</f>
        <v>0</v>
      </c>
    </row>
    <row r="515" spans="1:14">
      <c r="A515" s="331" t="s">
        <v>737</v>
      </c>
      <c r="B515" s="331" t="s">
        <v>335</v>
      </c>
      <c r="C515" s="124">
        <v>44680</v>
      </c>
      <c r="D515" s="331">
        <v>843</v>
      </c>
      <c r="E515" s="331" t="s">
        <v>670</v>
      </c>
      <c r="F515" s="331" t="s">
        <v>342</v>
      </c>
      <c r="G515" s="331" t="s">
        <v>520</v>
      </c>
      <c r="H515" s="147">
        <v>697864</v>
      </c>
      <c r="I515" s="118"/>
      <c r="J515" s="331" t="s">
        <v>191</v>
      </c>
      <c r="K515" s="566"/>
      <c r="L515" s="82"/>
      <c r="M515" s="567"/>
      <c r="N515" s="568"/>
    </row>
    <row r="516" spans="1:14">
      <c r="A516" s="331" t="s">
        <v>737</v>
      </c>
      <c r="B516" s="331" t="s">
        <v>335</v>
      </c>
      <c r="C516" s="124">
        <v>44680</v>
      </c>
      <c r="D516" s="331">
        <v>843</v>
      </c>
      <c r="E516" s="331" t="s">
        <v>670</v>
      </c>
      <c r="F516" s="331" t="s">
        <v>342</v>
      </c>
      <c r="G516" s="331" t="s">
        <v>522</v>
      </c>
      <c r="H516" s="147">
        <v>697885</v>
      </c>
      <c r="I516" s="118"/>
      <c r="J516" s="331" t="s">
        <v>191</v>
      </c>
      <c r="K516" s="566"/>
      <c r="L516" s="82"/>
      <c r="M516" s="567"/>
      <c r="N516" s="568"/>
    </row>
    <row r="517" spans="1:14">
      <c r="A517" s="331" t="s">
        <v>737</v>
      </c>
      <c r="B517" s="331" t="s">
        <v>335</v>
      </c>
      <c r="C517" s="124">
        <v>44680</v>
      </c>
      <c r="D517" s="331">
        <v>843</v>
      </c>
      <c r="E517" s="331" t="s">
        <v>670</v>
      </c>
      <c r="F517" s="331" t="s">
        <v>342</v>
      </c>
      <c r="G517" s="331" t="s">
        <v>526</v>
      </c>
      <c r="H517" s="147">
        <v>697728</v>
      </c>
      <c r="I517" s="118"/>
      <c r="J517" s="331" t="s">
        <v>191</v>
      </c>
      <c r="K517" s="561"/>
      <c r="L517" s="82"/>
      <c r="M517" s="563"/>
      <c r="N517" s="565"/>
    </row>
    <row r="518" spans="1:14">
      <c r="A518" s="331" t="s">
        <v>737</v>
      </c>
      <c r="B518" s="331" t="s">
        <v>335</v>
      </c>
      <c r="C518" s="124">
        <v>44680</v>
      </c>
      <c r="D518" s="331">
        <v>843</v>
      </c>
      <c r="E518" s="331" t="s">
        <v>670</v>
      </c>
      <c r="F518" s="331" t="s">
        <v>342</v>
      </c>
      <c r="G518" s="331" t="s">
        <v>521</v>
      </c>
      <c r="H518" s="331">
        <v>968817</v>
      </c>
      <c r="I518" s="118"/>
      <c r="J518" s="331" t="s">
        <v>192</v>
      </c>
      <c r="K518" s="560">
        <v>429.58699999999999</v>
      </c>
      <c r="L518" s="82"/>
      <c r="M518" s="562">
        <f>K518-(L518+L519+L520+L521)</f>
        <v>429.58699999999999</v>
      </c>
      <c r="N518" s="564">
        <f>(L518+L519+L520+L521)/K518</f>
        <v>0</v>
      </c>
    </row>
    <row r="519" spans="1:14">
      <c r="A519" s="331" t="s">
        <v>737</v>
      </c>
      <c r="B519" s="331" t="s">
        <v>335</v>
      </c>
      <c r="C519" s="124">
        <v>44680</v>
      </c>
      <c r="D519" s="331">
        <v>843</v>
      </c>
      <c r="E519" s="331" t="s">
        <v>670</v>
      </c>
      <c r="F519" s="331" t="s">
        <v>342</v>
      </c>
      <c r="G519" s="331" t="s">
        <v>520</v>
      </c>
      <c r="H519" s="331">
        <v>697864</v>
      </c>
      <c r="I519" s="118"/>
      <c r="J519" s="331" t="s">
        <v>192</v>
      </c>
      <c r="K519" s="566"/>
      <c r="L519" s="82"/>
      <c r="M519" s="567"/>
      <c r="N519" s="568"/>
    </row>
    <row r="520" spans="1:14">
      <c r="A520" s="331" t="s">
        <v>737</v>
      </c>
      <c r="B520" s="331" t="s">
        <v>335</v>
      </c>
      <c r="C520" s="124">
        <v>44680</v>
      </c>
      <c r="D520" s="331">
        <v>843</v>
      </c>
      <c r="E520" s="331" t="s">
        <v>670</v>
      </c>
      <c r="F520" s="331" t="s">
        <v>342</v>
      </c>
      <c r="G520" s="331" t="s">
        <v>522</v>
      </c>
      <c r="H520" s="331">
        <v>697885</v>
      </c>
      <c r="I520" s="118"/>
      <c r="J520" s="331" t="s">
        <v>192</v>
      </c>
      <c r="K520" s="566"/>
      <c r="L520" s="82"/>
      <c r="M520" s="567"/>
      <c r="N520" s="568"/>
    </row>
    <row r="521" spans="1:14">
      <c r="A521" s="331" t="s">
        <v>737</v>
      </c>
      <c r="B521" s="331" t="s">
        <v>335</v>
      </c>
      <c r="C521" s="124">
        <v>44680</v>
      </c>
      <c r="D521" s="331">
        <v>843</v>
      </c>
      <c r="E521" s="331" t="s">
        <v>670</v>
      </c>
      <c r="F521" s="331" t="s">
        <v>342</v>
      </c>
      <c r="G521" s="331" t="s">
        <v>526</v>
      </c>
      <c r="H521" s="331">
        <v>697728</v>
      </c>
      <c r="I521" s="118"/>
      <c r="J521" s="331" t="s">
        <v>192</v>
      </c>
      <c r="K521" s="561"/>
      <c r="L521" s="82"/>
      <c r="M521" s="563"/>
      <c r="N521" s="565"/>
    </row>
    <row r="522" spans="1:14">
      <c r="A522" s="331" t="s">
        <v>737</v>
      </c>
      <c r="B522" s="331" t="s">
        <v>335</v>
      </c>
      <c r="C522" s="124">
        <v>44680</v>
      </c>
      <c r="D522" s="331">
        <v>843</v>
      </c>
      <c r="E522" s="331" t="s">
        <v>670</v>
      </c>
      <c r="F522" s="331" t="s">
        <v>342</v>
      </c>
      <c r="G522" s="331" t="s">
        <v>523</v>
      </c>
      <c r="H522" s="147">
        <v>968833</v>
      </c>
      <c r="I522" s="118"/>
      <c r="J522" s="331" t="s">
        <v>191</v>
      </c>
      <c r="K522" s="560">
        <v>58.878999999999998</v>
      </c>
      <c r="L522" s="82">
        <v>187.029</v>
      </c>
      <c r="M522" s="562">
        <f>K522-(L522+L523)</f>
        <v>-182.191</v>
      </c>
      <c r="N522" s="564">
        <f>(L522+L523)/K522</f>
        <v>4.094329047708011</v>
      </c>
    </row>
    <row r="523" spans="1:14">
      <c r="A523" s="331" t="s">
        <v>737</v>
      </c>
      <c r="B523" s="331" t="s">
        <v>335</v>
      </c>
      <c r="C523" s="124">
        <v>44680</v>
      </c>
      <c r="D523" s="331">
        <v>843</v>
      </c>
      <c r="E523" s="331" t="s">
        <v>670</v>
      </c>
      <c r="F523" s="331" t="s">
        <v>342</v>
      </c>
      <c r="G523" s="331" t="s">
        <v>501</v>
      </c>
      <c r="H523" s="147">
        <v>959370</v>
      </c>
      <c r="I523" s="118"/>
      <c r="J523" s="331" t="s">
        <v>191</v>
      </c>
      <c r="K523" s="561"/>
      <c r="L523" s="82">
        <v>54.040999999999997</v>
      </c>
      <c r="M523" s="563"/>
      <c r="N523" s="565"/>
    </row>
    <row r="524" spans="1:14">
      <c r="A524" s="331" t="s">
        <v>737</v>
      </c>
      <c r="B524" s="331" t="s">
        <v>335</v>
      </c>
      <c r="C524" s="124">
        <v>44680</v>
      </c>
      <c r="D524" s="331">
        <v>843</v>
      </c>
      <c r="E524" s="331" t="s">
        <v>670</v>
      </c>
      <c r="F524" s="331" t="s">
        <v>342</v>
      </c>
      <c r="G524" s="331" t="s">
        <v>523</v>
      </c>
      <c r="H524" s="331">
        <v>968833</v>
      </c>
      <c r="I524" s="118"/>
      <c r="J524" s="331" t="s">
        <v>192</v>
      </c>
      <c r="K524" s="560">
        <v>0</v>
      </c>
      <c r="L524" s="82"/>
      <c r="M524" s="562">
        <f>K524-(L524+L525)</f>
        <v>0</v>
      </c>
      <c r="N524" s="564" t="e">
        <f>(L524+L525)/K524</f>
        <v>#DIV/0!</v>
      </c>
    </row>
    <row r="525" spans="1:14">
      <c r="A525" s="331" t="s">
        <v>737</v>
      </c>
      <c r="B525" s="331" t="s">
        <v>335</v>
      </c>
      <c r="C525" s="124">
        <v>44680</v>
      </c>
      <c r="D525" s="331">
        <v>843</v>
      </c>
      <c r="E525" s="331" t="s">
        <v>670</v>
      </c>
      <c r="F525" s="331" t="s">
        <v>342</v>
      </c>
      <c r="G525" s="331" t="s">
        <v>501</v>
      </c>
      <c r="H525" s="331">
        <v>959370</v>
      </c>
      <c r="I525" s="118"/>
      <c r="J525" s="331" t="s">
        <v>192</v>
      </c>
      <c r="K525" s="561"/>
      <c r="L525" s="82"/>
      <c r="M525" s="563"/>
      <c r="N525" s="565"/>
    </row>
    <row r="526" spans="1:14">
      <c r="A526" s="331" t="s">
        <v>737</v>
      </c>
      <c r="B526" s="331" t="s">
        <v>331</v>
      </c>
      <c r="C526" s="124">
        <v>44680</v>
      </c>
      <c r="D526" s="331">
        <v>843</v>
      </c>
      <c r="E526" s="331" t="s">
        <v>670</v>
      </c>
      <c r="F526" s="331" t="s">
        <v>342</v>
      </c>
      <c r="G526" s="331" t="s">
        <v>721</v>
      </c>
      <c r="H526" s="331">
        <v>698573</v>
      </c>
      <c r="I526" s="118"/>
      <c r="J526" s="331" t="s">
        <v>191</v>
      </c>
      <c r="K526" s="108">
        <v>75.097999999999999</v>
      </c>
      <c r="L526" s="82"/>
      <c r="M526" s="332">
        <f t="shared" ref="M526:M527" si="74">K526-L526</f>
        <v>75.097999999999999</v>
      </c>
      <c r="N526" s="333">
        <f t="shared" ref="N526:N527" si="75">L526/K526</f>
        <v>0</v>
      </c>
    </row>
    <row r="527" spans="1:14">
      <c r="A527" s="331" t="s">
        <v>737</v>
      </c>
      <c r="B527" s="331" t="s">
        <v>331</v>
      </c>
      <c r="C527" s="124">
        <v>44680</v>
      </c>
      <c r="D527" s="331">
        <v>843</v>
      </c>
      <c r="E527" s="331" t="s">
        <v>670</v>
      </c>
      <c r="F527" s="331" t="s">
        <v>342</v>
      </c>
      <c r="G527" s="331" t="s">
        <v>721</v>
      </c>
      <c r="H527" s="147">
        <v>698573</v>
      </c>
      <c r="I527" s="118"/>
      <c r="J527" s="331" t="s">
        <v>192</v>
      </c>
      <c r="K527" s="108">
        <v>0</v>
      </c>
      <c r="L527" s="82"/>
      <c r="M527" s="332">
        <f t="shared" si="74"/>
        <v>0</v>
      </c>
      <c r="N527" s="333" t="e">
        <f t="shared" si="75"/>
        <v>#DIV/0!</v>
      </c>
    </row>
    <row r="528" spans="1:14">
      <c r="A528" s="331" t="s">
        <v>720</v>
      </c>
      <c r="B528" s="331" t="s">
        <v>335</v>
      </c>
      <c r="C528" s="124">
        <v>44680</v>
      </c>
      <c r="D528" s="147">
        <v>844</v>
      </c>
      <c r="E528" s="331" t="s">
        <v>670</v>
      </c>
      <c r="F528" s="331" t="s">
        <v>342</v>
      </c>
      <c r="G528" s="73" t="s">
        <v>502</v>
      </c>
      <c r="H528" s="331">
        <v>967342</v>
      </c>
      <c r="I528" s="118"/>
      <c r="J528" s="331" t="s">
        <v>191</v>
      </c>
      <c r="K528" s="560">
        <v>197.68899999999999</v>
      </c>
      <c r="L528" s="82"/>
      <c r="M528" s="562">
        <f>K528-(L528+L529+L530+L531)</f>
        <v>197.68899999999999</v>
      </c>
      <c r="N528" s="564">
        <f>(L528+L529+L530+L531)/K528</f>
        <v>0</v>
      </c>
    </row>
    <row r="529" spans="1:14">
      <c r="A529" s="331" t="s">
        <v>720</v>
      </c>
      <c r="B529" s="331" t="s">
        <v>335</v>
      </c>
      <c r="C529" s="124">
        <v>44680</v>
      </c>
      <c r="D529" s="331">
        <v>844</v>
      </c>
      <c r="E529" s="331" t="s">
        <v>670</v>
      </c>
      <c r="F529" s="331" t="s">
        <v>342</v>
      </c>
      <c r="G529" s="331" t="s">
        <v>529</v>
      </c>
      <c r="H529" s="147">
        <v>968797</v>
      </c>
      <c r="I529" s="118"/>
      <c r="J529" s="331" t="s">
        <v>191</v>
      </c>
      <c r="K529" s="566"/>
      <c r="L529" s="82"/>
      <c r="M529" s="567"/>
      <c r="N529" s="568"/>
    </row>
    <row r="530" spans="1:14">
      <c r="A530" s="331" t="s">
        <v>720</v>
      </c>
      <c r="B530" s="331" t="s">
        <v>335</v>
      </c>
      <c r="C530" s="124">
        <v>44680</v>
      </c>
      <c r="D530" s="331">
        <v>844</v>
      </c>
      <c r="E530" s="331" t="s">
        <v>670</v>
      </c>
      <c r="F530" s="331" t="s">
        <v>342</v>
      </c>
      <c r="G530" s="331" t="s">
        <v>530</v>
      </c>
      <c r="H530" s="147">
        <v>962289</v>
      </c>
      <c r="I530" s="118"/>
      <c r="J530" s="331" t="s">
        <v>191</v>
      </c>
      <c r="K530" s="566"/>
      <c r="L530" s="82"/>
      <c r="M530" s="567"/>
      <c r="N530" s="568"/>
    </row>
    <row r="531" spans="1:14">
      <c r="A531" s="331" t="s">
        <v>720</v>
      </c>
      <c r="B531" s="331" t="s">
        <v>335</v>
      </c>
      <c r="C531" s="124">
        <v>44680</v>
      </c>
      <c r="D531" s="331">
        <v>844</v>
      </c>
      <c r="E531" s="331" t="s">
        <v>670</v>
      </c>
      <c r="F531" s="331" t="s">
        <v>342</v>
      </c>
      <c r="G531" s="331" t="s">
        <v>531</v>
      </c>
      <c r="H531" s="147">
        <v>698086</v>
      </c>
      <c r="I531" s="118"/>
      <c r="J531" s="331" t="s">
        <v>191</v>
      </c>
      <c r="K531" s="561"/>
      <c r="L531" s="82"/>
      <c r="M531" s="563"/>
      <c r="N531" s="565"/>
    </row>
    <row r="532" spans="1:14">
      <c r="A532" s="331" t="s">
        <v>720</v>
      </c>
      <c r="B532" s="331" t="s">
        <v>335</v>
      </c>
      <c r="C532" s="124">
        <v>44680</v>
      </c>
      <c r="D532" s="331">
        <v>844</v>
      </c>
      <c r="E532" s="331" t="s">
        <v>670</v>
      </c>
      <c r="F532" s="331" t="s">
        <v>342</v>
      </c>
      <c r="G532" s="73" t="s">
        <v>502</v>
      </c>
      <c r="H532" s="331">
        <v>967342</v>
      </c>
      <c r="I532" s="118"/>
      <c r="J532" s="331" t="s">
        <v>192</v>
      </c>
      <c r="K532" s="560">
        <v>1456.8140000000001</v>
      </c>
      <c r="L532" s="82"/>
      <c r="M532" s="562">
        <f>K532-(L532+L533+L534+L535)</f>
        <v>1456.8140000000001</v>
      </c>
      <c r="N532" s="564">
        <f>(L532+L533+L534+L535)/K532</f>
        <v>0</v>
      </c>
    </row>
    <row r="533" spans="1:14">
      <c r="A533" s="331" t="s">
        <v>720</v>
      </c>
      <c r="B533" s="331" t="s">
        <v>335</v>
      </c>
      <c r="C533" s="124">
        <v>44680</v>
      </c>
      <c r="D533" s="331">
        <v>844</v>
      </c>
      <c r="E533" s="331" t="s">
        <v>670</v>
      </c>
      <c r="F533" s="331" t="s">
        <v>342</v>
      </c>
      <c r="G533" s="331" t="s">
        <v>529</v>
      </c>
      <c r="H533" s="331">
        <v>968797</v>
      </c>
      <c r="I533" s="118"/>
      <c r="J533" s="331" t="s">
        <v>192</v>
      </c>
      <c r="K533" s="566"/>
      <c r="L533" s="82"/>
      <c r="M533" s="567"/>
      <c r="N533" s="568"/>
    </row>
    <row r="534" spans="1:14">
      <c r="A534" s="331" t="s">
        <v>720</v>
      </c>
      <c r="B534" s="331" t="s">
        <v>335</v>
      </c>
      <c r="C534" s="124">
        <v>44680</v>
      </c>
      <c r="D534" s="331">
        <v>844</v>
      </c>
      <c r="E534" s="331" t="s">
        <v>670</v>
      </c>
      <c r="F534" s="331" t="s">
        <v>342</v>
      </c>
      <c r="G534" s="331" t="s">
        <v>530</v>
      </c>
      <c r="H534" s="331">
        <v>962289</v>
      </c>
      <c r="I534" s="118"/>
      <c r="J534" s="331" t="s">
        <v>192</v>
      </c>
      <c r="K534" s="566"/>
      <c r="L534" s="82"/>
      <c r="M534" s="567"/>
      <c r="N534" s="568"/>
    </row>
    <row r="535" spans="1:14">
      <c r="A535" s="331" t="s">
        <v>720</v>
      </c>
      <c r="B535" s="331" t="s">
        <v>335</v>
      </c>
      <c r="C535" s="124">
        <v>44680</v>
      </c>
      <c r="D535" s="331">
        <v>844</v>
      </c>
      <c r="E535" s="331" t="s">
        <v>670</v>
      </c>
      <c r="F535" s="331" t="s">
        <v>342</v>
      </c>
      <c r="G535" s="331" t="s">
        <v>531</v>
      </c>
      <c r="H535" s="331">
        <v>698086</v>
      </c>
      <c r="I535" s="118"/>
      <c r="J535" s="331" t="s">
        <v>192</v>
      </c>
      <c r="K535" s="561"/>
      <c r="L535" s="82"/>
      <c r="M535" s="563"/>
      <c r="N535" s="565"/>
    </row>
    <row r="536" spans="1:14">
      <c r="A536" s="331" t="s">
        <v>720</v>
      </c>
      <c r="B536" s="331" t="s">
        <v>335</v>
      </c>
      <c r="C536" s="124">
        <v>44680</v>
      </c>
      <c r="D536" s="331">
        <v>844</v>
      </c>
      <c r="E536" s="331" t="s">
        <v>670</v>
      </c>
      <c r="F536" s="331" t="s">
        <v>342</v>
      </c>
      <c r="G536" s="331" t="s">
        <v>499</v>
      </c>
      <c r="H536" s="147">
        <v>968160</v>
      </c>
      <c r="I536" s="118"/>
      <c r="J536" s="331" t="s">
        <v>191</v>
      </c>
      <c r="K536" s="560">
        <v>0</v>
      </c>
      <c r="L536" s="82"/>
      <c r="M536" s="562">
        <f>K536-(L536+L537)</f>
        <v>0</v>
      </c>
      <c r="N536" s="564" t="e">
        <f>(L536+L537)/K536</f>
        <v>#DIV/0!</v>
      </c>
    </row>
    <row r="537" spans="1:14">
      <c r="A537" s="331" t="s">
        <v>720</v>
      </c>
      <c r="B537" s="331" t="s">
        <v>335</v>
      </c>
      <c r="C537" s="124">
        <v>44680</v>
      </c>
      <c r="D537" s="331">
        <v>844</v>
      </c>
      <c r="E537" s="331" t="s">
        <v>670</v>
      </c>
      <c r="F537" s="331" t="s">
        <v>342</v>
      </c>
      <c r="G537" s="331" t="s">
        <v>498</v>
      </c>
      <c r="H537" s="147">
        <v>969106</v>
      </c>
      <c r="I537" s="118"/>
      <c r="J537" s="331" t="s">
        <v>191</v>
      </c>
      <c r="K537" s="561"/>
      <c r="L537" s="82"/>
      <c r="M537" s="563"/>
      <c r="N537" s="565"/>
    </row>
    <row r="538" spans="1:14">
      <c r="A538" s="331" t="s">
        <v>720</v>
      </c>
      <c r="B538" s="331" t="s">
        <v>335</v>
      </c>
      <c r="C538" s="124">
        <v>44680</v>
      </c>
      <c r="D538" s="331">
        <v>844</v>
      </c>
      <c r="E538" s="331" t="s">
        <v>670</v>
      </c>
      <c r="F538" s="331" t="s">
        <v>342</v>
      </c>
      <c r="G538" s="331" t="s">
        <v>499</v>
      </c>
      <c r="H538" s="331">
        <v>968160</v>
      </c>
      <c r="I538" s="118"/>
      <c r="J538" s="331" t="s">
        <v>192</v>
      </c>
      <c r="K538" s="560">
        <v>981.80600000000004</v>
      </c>
      <c r="L538" s="82"/>
      <c r="M538" s="562">
        <f>K538-(L538+L539)</f>
        <v>981.80600000000004</v>
      </c>
      <c r="N538" s="564">
        <f>(L538+L539)/K538</f>
        <v>0</v>
      </c>
    </row>
    <row r="539" spans="1:14">
      <c r="A539" s="331" t="s">
        <v>720</v>
      </c>
      <c r="B539" s="331" t="s">
        <v>335</v>
      </c>
      <c r="C539" s="124">
        <v>44680</v>
      </c>
      <c r="D539" s="331">
        <v>844</v>
      </c>
      <c r="E539" s="331" t="s">
        <v>670</v>
      </c>
      <c r="F539" s="331" t="s">
        <v>342</v>
      </c>
      <c r="G539" s="331" t="s">
        <v>498</v>
      </c>
      <c r="H539" s="331">
        <v>969106</v>
      </c>
      <c r="I539" s="118"/>
      <c r="J539" s="331" t="s">
        <v>192</v>
      </c>
      <c r="K539" s="561"/>
      <c r="L539" s="82"/>
      <c r="M539" s="563"/>
      <c r="N539" s="565"/>
    </row>
    <row r="540" spans="1:14">
      <c r="A540" s="331" t="s">
        <v>720</v>
      </c>
      <c r="B540" s="331" t="s">
        <v>335</v>
      </c>
      <c r="C540" s="124">
        <v>44680</v>
      </c>
      <c r="D540" s="331">
        <v>844</v>
      </c>
      <c r="E540" s="331" t="s">
        <v>670</v>
      </c>
      <c r="F540" s="331" t="s">
        <v>342</v>
      </c>
      <c r="G540" s="331" t="s">
        <v>523</v>
      </c>
      <c r="H540" s="147">
        <v>968833</v>
      </c>
      <c r="I540" s="118"/>
      <c r="J540" s="331" t="s">
        <v>191</v>
      </c>
      <c r="K540" s="560">
        <v>0</v>
      </c>
      <c r="L540" s="82"/>
      <c r="M540" s="562">
        <f>K540-(L540+L541)</f>
        <v>0</v>
      </c>
      <c r="N540" s="564" t="e">
        <f>(L540+L541)/K540</f>
        <v>#DIV/0!</v>
      </c>
    </row>
    <row r="541" spans="1:14">
      <c r="A541" s="331" t="s">
        <v>720</v>
      </c>
      <c r="B541" s="331" t="s">
        <v>335</v>
      </c>
      <c r="C541" s="124">
        <v>44680</v>
      </c>
      <c r="D541" s="331">
        <v>844</v>
      </c>
      <c r="E541" s="331" t="s">
        <v>670</v>
      </c>
      <c r="F541" s="331" t="s">
        <v>342</v>
      </c>
      <c r="G541" s="331" t="s">
        <v>501</v>
      </c>
      <c r="H541" s="147">
        <v>959370</v>
      </c>
      <c r="I541" s="118"/>
      <c r="J541" s="331" t="s">
        <v>191</v>
      </c>
      <c r="K541" s="561"/>
      <c r="L541" s="82"/>
      <c r="M541" s="563"/>
      <c r="N541" s="565"/>
    </row>
    <row r="542" spans="1:14">
      <c r="A542" s="331" t="s">
        <v>720</v>
      </c>
      <c r="B542" s="331" t="s">
        <v>335</v>
      </c>
      <c r="C542" s="124">
        <v>44680</v>
      </c>
      <c r="D542" s="331">
        <v>844</v>
      </c>
      <c r="E542" s="331" t="s">
        <v>670</v>
      </c>
      <c r="F542" s="331" t="s">
        <v>342</v>
      </c>
      <c r="G542" s="331" t="s">
        <v>523</v>
      </c>
      <c r="H542" s="331">
        <v>968833</v>
      </c>
      <c r="I542" s="118"/>
      <c r="J542" s="331" t="s">
        <v>192</v>
      </c>
      <c r="K542" s="560">
        <v>480.31200000000001</v>
      </c>
      <c r="L542" s="82">
        <v>181.035</v>
      </c>
      <c r="M542" s="562">
        <f>K542-(L542+L543)</f>
        <v>182.19100000000003</v>
      </c>
      <c r="N542" s="564">
        <f>(L542+L543)/K542</f>
        <v>0.62068197338396702</v>
      </c>
    </row>
    <row r="543" spans="1:14">
      <c r="A543" s="331" t="s">
        <v>720</v>
      </c>
      <c r="B543" s="331" t="s">
        <v>335</v>
      </c>
      <c r="C543" s="124">
        <v>44680</v>
      </c>
      <c r="D543" s="331">
        <v>844</v>
      </c>
      <c r="E543" s="331" t="s">
        <v>670</v>
      </c>
      <c r="F543" s="331" t="s">
        <v>342</v>
      </c>
      <c r="G543" s="331" t="s">
        <v>501</v>
      </c>
      <c r="H543" s="331">
        <v>959370</v>
      </c>
      <c r="I543" s="118"/>
      <c r="J543" s="331" t="s">
        <v>192</v>
      </c>
      <c r="K543" s="561"/>
      <c r="L543" s="82">
        <v>117.086</v>
      </c>
      <c r="M543" s="563"/>
      <c r="N543" s="565"/>
    </row>
    <row r="544" spans="1:14">
      <c r="A544" s="331" t="s">
        <v>720</v>
      </c>
      <c r="B544" s="331" t="s">
        <v>331</v>
      </c>
      <c r="C544" s="124">
        <v>44680</v>
      </c>
      <c r="D544" s="331">
        <v>844</v>
      </c>
      <c r="E544" s="331" t="s">
        <v>670</v>
      </c>
      <c r="F544" s="331" t="s">
        <v>342</v>
      </c>
      <c r="G544" s="331" t="s">
        <v>403</v>
      </c>
      <c r="H544" s="147">
        <v>953964</v>
      </c>
      <c r="I544" s="118"/>
      <c r="J544" s="331" t="s">
        <v>191</v>
      </c>
      <c r="K544" s="108">
        <v>40.387</v>
      </c>
      <c r="L544" s="82"/>
      <c r="M544" s="332">
        <f t="shared" ref="M544:M545" si="76">K544-L544</f>
        <v>40.387</v>
      </c>
      <c r="N544" s="333">
        <f t="shared" ref="N544:N545" si="77">L544/K544</f>
        <v>0</v>
      </c>
    </row>
    <row r="545" spans="1:14">
      <c r="A545" s="331" t="s">
        <v>720</v>
      </c>
      <c r="B545" s="331" t="s">
        <v>331</v>
      </c>
      <c r="C545" s="124">
        <v>44680</v>
      </c>
      <c r="D545" s="331">
        <v>844</v>
      </c>
      <c r="E545" s="331" t="s">
        <v>670</v>
      </c>
      <c r="F545" s="331" t="s">
        <v>342</v>
      </c>
      <c r="G545" s="331" t="s">
        <v>403</v>
      </c>
      <c r="H545" s="331">
        <v>953964</v>
      </c>
      <c r="I545" s="118"/>
      <c r="J545" s="331" t="s">
        <v>192</v>
      </c>
      <c r="K545" s="108">
        <v>270.62</v>
      </c>
      <c r="L545" s="82"/>
      <c r="M545" s="332">
        <f t="shared" si="76"/>
        <v>270.62</v>
      </c>
      <c r="N545" s="333">
        <f t="shared" si="77"/>
        <v>0</v>
      </c>
    </row>
    <row r="546" spans="1:14">
      <c r="A546" s="331" t="s">
        <v>720</v>
      </c>
      <c r="B546" s="331" t="s">
        <v>331</v>
      </c>
      <c r="C546" s="124">
        <v>44680</v>
      </c>
      <c r="D546" s="331">
        <v>844</v>
      </c>
      <c r="E546" s="331" t="s">
        <v>670</v>
      </c>
      <c r="F546" s="331" t="s">
        <v>342</v>
      </c>
      <c r="G546" s="331" t="s">
        <v>738</v>
      </c>
      <c r="H546" s="331">
        <v>697641</v>
      </c>
      <c r="I546" s="118"/>
      <c r="J546" s="331" t="s">
        <v>191</v>
      </c>
      <c r="K546" s="108">
        <v>40.069000000000003</v>
      </c>
      <c r="L546" s="82">
        <v>21.914000000000001</v>
      </c>
      <c r="M546" s="332">
        <f t="shared" ref="M546:M549" si="78">K546-L546</f>
        <v>18.155000000000001</v>
      </c>
      <c r="N546" s="333">
        <f t="shared" ref="N546:N549" si="79">L546/K546</f>
        <v>0.54690658613891041</v>
      </c>
    </row>
    <row r="547" spans="1:14">
      <c r="A547" s="331" t="s">
        <v>720</v>
      </c>
      <c r="B547" s="331" t="s">
        <v>331</v>
      </c>
      <c r="C547" s="124">
        <v>44680</v>
      </c>
      <c r="D547" s="331">
        <v>844</v>
      </c>
      <c r="E547" s="331" t="s">
        <v>670</v>
      </c>
      <c r="F547" s="331" t="s">
        <v>342</v>
      </c>
      <c r="G547" s="331" t="s">
        <v>738</v>
      </c>
      <c r="H547" s="331">
        <v>697641</v>
      </c>
      <c r="I547" s="118"/>
      <c r="J547" s="331" t="s">
        <v>192</v>
      </c>
      <c r="K547" s="108">
        <v>70.444999999999993</v>
      </c>
      <c r="L547" s="82">
        <v>11.827999999999999</v>
      </c>
      <c r="M547" s="332">
        <f t="shared" si="78"/>
        <v>58.61699999999999</v>
      </c>
      <c r="N547" s="333">
        <f t="shared" si="79"/>
        <v>0.16790403861168288</v>
      </c>
    </row>
    <row r="548" spans="1:14">
      <c r="A548" s="331" t="s">
        <v>720</v>
      </c>
      <c r="B548" s="331" t="s">
        <v>331</v>
      </c>
      <c r="C548" s="124">
        <v>44680</v>
      </c>
      <c r="D548" s="331">
        <v>844</v>
      </c>
      <c r="E548" s="331" t="s">
        <v>670</v>
      </c>
      <c r="F548" s="331" t="s">
        <v>342</v>
      </c>
      <c r="G548" s="331" t="s">
        <v>739</v>
      </c>
      <c r="H548" s="331">
        <v>968716</v>
      </c>
      <c r="I548" s="118"/>
      <c r="J548" s="331" t="s">
        <v>191</v>
      </c>
      <c r="K548" s="108">
        <v>20.943000000000001</v>
      </c>
      <c r="L548" s="82">
        <v>4.4880000000000004</v>
      </c>
      <c r="M548" s="332">
        <f t="shared" si="78"/>
        <v>16.455000000000002</v>
      </c>
      <c r="N548" s="333">
        <f t="shared" si="79"/>
        <v>0.21429594613952158</v>
      </c>
    </row>
    <row r="549" spans="1:14">
      <c r="A549" s="331" t="s">
        <v>720</v>
      </c>
      <c r="B549" s="331" t="s">
        <v>331</v>
      </c>
      <c r="C549" s="124">
        <v>44680</v>
      </c>
      <c r="D549" s="331">
        <v>844</v>
      </c>
      <c r="E549" s="331" t="s">
        <v>670</v>
      </c>
      <c r="F549" s="331" t="s">
        <v>342</v>
      </c>
      <c r="G549" s="331" t="s">
        <v>739</v>
      </c>
      <c r="H549" s="331">
        <v>968716</v>
      </c>
      <c r="I549" s="118"/>
      <c r="J549" s="331" t="s">
        <v>192</v>
      </c>
      <c r="K549" s="108">
        <v>80.209500000000006</v>
      </c>
      <c r="L549" s="82">
        <v>56.262</v>
      </c>
      <c r="M549" s="332">
        <f t="shared" si="78"/>
        <v>23.947500000000005</v>
      </c>
      <c r="N549" s="333">
        <f t="shared" si="79"/>
        <v>0.70143810895218139</v>
      </c>
    </row>
    <row r="550" spans="1:14">
      <c r="A550" s="331" t="s">
        <v>673</v>
      </c>
      <c r="B550" s="331" t="s">
        <v>331</v>
      </c>
      <c r="C550" s="124">
        <v>44680</v>
      </c>
      <c r="D550" s="147">
        <v>845</v>
      </c>
      <c r="E550" s="331" t="s">
        <v>670</v>
      </c>
      <c r="F550" s="331" t="s">
        <v>342</v>
      </c>
      <c r="G550" s="331" t="s">
        <v>453</v>
      </c>
      <c r="H550" s="147">
        <v>956608</v>
      </c>
      <c r="I550" s="118"/>
      <c r="J550" s="331" t="s">
        <v>191</v>
      </c>
      <c r="K550" s="348" t="s">
        <v>284</v>
      </c>
      <c r="L550" s="82"/>
      <c r="M550" s="332" t="e">
        <f t="shared" ref="M550:M551" si="80">K550-L550</f>
        <v>#VALUE!</v>
      </c>
      <c r="N550" s="333" t="e">
        <f t="shared" ref="N550:N551" si="81">L550/K550</f>
        <v>#VALUE!</v>
      </c>
    </row>
    <row r="551" spans="1:14">
      <c r="A551" s="331" t="s">
        <v>673</v>
      </c>
      <c r="B551" s="331" t="s">
        <v>331</v>
      </c>
      <c r="C551" s="124">
        <v>44680</v>
      </c>
      <c r="D551" s="347">
        <v>845</v>
      </c>
      <c r="E551" s="331" t="s">
        <v>670</v>
      </c>
      <c r="F551" s="331" t="s">
        <v>342</v>
      </c>
      <c r="G551" s="331" t="s">
        <v>453</v>
      </c>
      <c r="H551" s="331">
        <v>956608</v>
      </c>
      <c r="I551" s="118"/>
      <c r="J551" s="331" t="s">
        <v>192</v>
      </c>
      <c r="K551" s="348" t="s">
        <v>284</v>
      </c>
      <c r="L551" s="82"/>
      <c r="M551" s="332" t="e">
        <f t="shared" si="80"/>
        <v>#VALUE!</v>
      </c>
      <c r="N551" s="333" t="e">
        <f t="shared" si="81"/>
        <v>#VALUE!</v>
      </c>
    </row>
    <row r="552" spans="1:14">
      <c r="A552" s="331" t="s">
        <v>673</v>
      </c>
      <c r="B552" s="331" t="s">
        <v>331</v>
      </c>
      <c r="C552" s="124">
        <v>44680</v>
      </c>
      <c r="D552" s="347">
        <v>845</v>
      </c>
      <c r="E552" s="331" t="s">
        <v>670</v>
      </c>
      <c r="F552" s="331" t="s">
        <v>342</v>
      </c>
      <c r="G552" s="331" t="s">
        <v>463</v>
      </c>
      <c r="H552" s="147">
        <v>902733</v>
      </c>
      <c r="I552" s="118"/>
      <c r="J552" s="331" t="s">
        <v>191</v>
      </c>
      <c r="K552" s="348" t="s">
        <v>284</v>
      </c>
      <c r="L552" s="82"/>
      <c r="M552" s="332" t="e">
        <f t="shared" ref="M552:M557" si="82">K552-L552</f>
        <v>#VALUE!</v>
      </c>
      <c r="N552" s="333" t="e">
        <f t="shared" ref="N552:N557" si="83">L552/K552</f>
        <v>#VALUE!</v>
      </c>
    </row>
    <row r="553" spans="1:14">
      <c r="A553" s="331" t="s">
        <v>673</v>
      </c>
      <c r="B553" s="331" t="s">
        <v>331</v>
      </c>
      <c r="C553" s="124">
        <v>44680</v>
      </c>
      <c r="D553" s="347">
        <v>845</v>
      </c>
      <c r="E553" s="331" t="s">
        <v>670</v>
      </c>
      <c r="F553" s="331" t="s">
        <v>342</v>
      </c>
      <c r="G553" s="331" t="s">
        <v>463</v>
      </c>
      <c r="H553" s="331">
        <v>902733</v>
      </c>
      <c r="I553" s="118"/>
      <c r="J553" s="331" t="s">
        <v>192</v>
      </c>
      <c r="K553" s="348" t="s">
        <v>284</v>
      </c>
      <c r="L553" s="82"/>
      <c r="M553" s="332" t="e">
        <f t="shared" si="82"/>
        <v>#VALUE!</v>
      </c>
      <c r="N553" s="333" t="e">
        <f t="shared" si="83"/>
        <v>#VALUE!</v>
      </c>
    </row>
    <row r="554" spans="1:14">
      <c r="A554" s="331" t="s">
        <v>673</v>
      </c>
      <c r="B554" s="331" t="s">
        <v>331</v>
      </c>
      <c r="C554" s="124">
        <v>44680</v>
      </c>
      <c r="D554" s="347">
        <v>845</v>
      </c>
      <c r="E554" s="331" t="s">
        <v>670</v>
      </c>
      <c r="F554" s="331" t="s">
        <v>342</v>
      </c>
      <c r="G554" s="331" t="s">
        <v>480</v>
      </c>
      <c r="H554" s="147">
        <v>953883</v>
      </c>
      <c r="I554" s="118"/>
      <c r="J554" s="331" t="s">
        <v>191</v>
      </c>
      <c r="K554" s="348" t="s">
        <v>284</v>
      </c>
      <c r="L554" s="82"/>
      <c r="M554" s="332" t="e">
        <f t="shared" si="82"/>
        <v>#VALUE!</v>
      </c>
      <c r="N554" s="333" t="e">
        <f t="shared" si="83"/>
        <v>#VALUE!</v>
      </c>
    </row>
    <row r="555" spans="1:14">
      <c r="A555" s="331" t="s">
        <v>673</v>
      </c>
      <c r="B555" s="331" t="s">
        <v>331</v>
      </c>
      <c r="C555" s="124">
        <v>44680</v>
      </c>
      <c r="D555" s="347">
        <v>845</v>
      </c>
      <c r="E555" s="331" t="s">
        <v>670</v>
      </c>
      <c r="F555" s="331" t="s">
        <v>342</v>
      </c>
      <c r="G555" s="331" t="s">
        <v>480</v>
      </c>
      <c r="H555" s="331">
        <v>953883</v>
      </c>
      <c r="I555" s="118"/>
      <c r="J555" s="331" t="s">
        <v>192</v>
      </c>
      <c r="K555" s="348" t="s">
        <v>284</v>
      </c>
      <c r="L555" s="82"/>
      <c r="M555" s="332" t="e">
        <f t="shared" si="82"/>
        <v>#VALUE!</v>
      </c>
      <c r="N555" s="333" t="e">
        <f t="shared" si="83"/>
        <v>#VALUE!</v>
      </c>
    </row>
    <row r="556" spans="1:14">
      <c r="A556" s="331" t="s">
        <v>673</v>
      </c>
      <c r="B556" s="331" t="s">
        <v>331</v>
      </c>
      <c r="C556" s="124">
        <v>44680</v>
      </c>
      <c r="D556" s="347">
        <v>845</v>
      </c>
      <c r="E556" s="331" t="s">
        <v>670</v>
      </c>
      <c r="F556" s="331" t="s">
        <v>342</v>
      </c>
      <c r="G556" s="331" t="s">
        <v>488</v>
      </c>
      <c r="H556" s="147">
        <v>969061</v>
      </c>
      <c r="I556" s="118"/>
      <c r="J556" s="331" t="s">
        <v>191</v>
      </c>
      <c r="K556" s="348" t="s">
        <v>284</v>
      </c>
      <c r="L556" s="82"/>
      <c r="M556" s="332" t="e">
        <f t="shared" si="82"/>
        <v>#VALUE!</v>
      </c>
      <c r="N556" s="333" t="e">
        <f t="shared" si="83"/>
        <v>#VALUE!</v>
      </c>
    </row>
    <row r="557" spans="1:14">
      <c r="A557" s="331" t="s">
        <v>673</v>
      </c>
      <c r="B557" s="331" t="s">
        <v>331</v>
      </c>
      <c r="C557" s="124">
        <v>44680</v>
      </c>
      <c r="D557" s="347">
        <v>845</v>
      </c>
      <c r="E557" s="331" t="s">
        <v>670</v>
      </c>
      <c r="F557" s="331" t="s">
        <v>342</v>
      </c>
      <c r="G557" s="331" t="s">
        <v>488</v>
      </c>
      <c r="H557" s="331">
        <v>969061</v>
      </c>
      <c r="I557" s="118"/>
      <c r="J557" s="331" t="s">
        <v>192</v>
      </c>
      <c r="K557" s="348" t="s">
        <v>284</v>
      </c>
      <c r="L557" s="82"/>
      <c r="M557" s="332" t="e">
        <f t="shared" si="82"/>
        <v>#VALUE!</v>
      </c>
      <c r="N557" s="333" t="e">
        <f t="shared" si="83"/>
        <v>#VALUE!</v>
      </c>
    </row>
    <row r="558" spans="1:14">
      <c r="A558" s="331" t="s">
        <v>673</v>
      </c>
      <c r="B558" s="331" t="s">
        <v>335</v>
      </c>
      <c r="C558" s="124">
        <v>44680</v>
      </c>
      <c r="D558" s="347">
        <v>845</v>
      </c>
      <c r="E558" s="331" t="s">
        <v>670</v>
      </c>
      <c r="F558" s="331" t="s">
        <v>342</v>
      </c>
      <c r="G558" s="331" t="s">
        <v>504</v>
      </c>
      <c r="H558" s="147">
        <v>922996</v>
      </c>
      <c r="I558" s="118"/>
      <c r="J558" s="331" t="s">
        <v>191</v>
      </c>
      <c r="K558" s="562" t="s">
        <v>284</v>
      </c>
      <c r="L558" s="82"/>
      <c r="M558" s="562" t="e">
        <f>K558-(L558+L559+L560+L561)</f>
        <v>#VALUE!</v>
      </c>
      <c r="N558" s="564" t="e">
        <f>(L558+L559+L560+L561)/K558</f>
        <v>#VALUE!</v>
      </c>
    </row>
    <row r="559" spans="1:14">
      <c r="A559" s="331" t="s">
        <v>673</v>
      </c>
      <c r="B559" s="331" t="s">
        <v>335</v>
      </c>
      <c r="C559" s="124">
        <v>44680</v>
      </c>
      <c r="D559" s="347">
        <v>845</v>
      </c>
      <c r="E559" s="331" t="s">
        <v>670</v>
      </c>
      <c r="F559" s="331" t="s">
        <v>342</v>
      </c>
      <c r="G559" s="331" t="s">
        <v>505</v>
      </c>
      <c r="H559" s="147">
        <v>698090</v>
      </c>
      <c r="I559" s="118"/>
      <c r="J559" s="331" t="s">
        <v>191</v>
      </c>
      <c r="K559" s="566"/>
      <c r="L559" s="82"/>
      <c r="M559" s="567"/>
      <c r="N559" s="568"/>
    </row>
    <row r="560" spans="1:14">
      <c r="A560" s="331" t="s">
        <v>673</v>
      </c>
      <c r="B560" s="331" t="s">
        <v>335</v>
      </c>
      <c r="C560" s="124">
        <v>44680</v>
      </c>
      <c r="D560" s="347">
        <v>845</v>
      </c>
      <c r="E560" s="331" t="s">
        <v>670</v>
      </c>
      <c r="F560" s="331" t="s">
        <v>342</v>
      </c>
      <c r="G560" s="331" t="s">
        <v>506</v>
      </c>
      <c r="H560" s="147">
        <v>968922</v>
      </c>
      <c r="I560" s="118"/>
      <c r="J560" s="331" t="s">
        <v>191</v>
      </c>
      <c r="K560" s="566"/>
      <c r="L560" s="82"/>
      <c r="M560" s="567"/>
      <c r="N560" s="568"/>
    </row>
    <row r="561" spans="1:14">
      <c r="A561" s="331" t="s">
        <v>673</v>
      </c>
      <c r="B561" s="331" t="s">
        <v>335</v>
      </c>
      <c r="C561" s="124">
        <v>44680</v>
      </c>
      <c r="D561" s="347">
        <v>845</v>
      </c>
      <c r="E561" s="331" t="s">
        <v>670</v>
      </c>
      <c r="F561" s="331" t="s">
        <v>342</v>
      </c>
      <c r="G561" s="331" t="s">
        <v>507</v>
      </c>
      <c r="H561" s="147">
        <v>926655</v>
      </c>
      <c r="I561" s="118"/>
      <c r="J561" s="331" t="s">
        <v>191</v>
      </c>
      <c r="K561" s="561"/>
      <c r="L561" s="82"/>
      <c r="M561" s="563"/>
      <c r="N561" s="565"/>
    </row>
    <row r="562" spans="1:14">
      <c r="A562" s="331" t="s">
        <v>673</v>
      </c>
      <c r="B562" s="331" t="s">
        <v>335</v>
      </c>
      <c r="C562" s="124">
        <v>44680</v>
      </c>
      <c r="D562" s="347">
        <v>845</v>
      </c>
      <c r="E562" s="331" t="s">
        <v>670</v>
      </c>
      <c r="F562" s="331" t="s">
        <v>342</v>
      </c>
      <c r="G562" s="331" t="s">
        <v>504</v>
      </c>
      <c r="H562" s="331">
        <v>922996</v>
      </c>
      <c r="I562" s="118"/>
      <c r="J562" s="331" t="s">
        <v>192</v>
      </c>
      <c r="K562" s="562" t="s">
        <v>284</v>
      </c>
      <c r="L562" s="82"/>
      <c r="M562" s="562" t="e">
        <f>K562-(L562+L563+L564+L565)</f>
        <v>#VALUE!</v>
      </c>
      <c r="N562" s="564" t="e">
        <f>(L562+L563+L564+L565)/K562</f>
        <v>#VALUE!</v>
      </c>
    </row>
    <row r="563" spans="1:14">
      <c r="A563" s="331" t="s">
        <v>673</v>
      </c>
      <c r="B563" s="331" t="s">
        <v>335</v>
      </c>
      <c r="C563" s="124">
        <v>44680</v>
      </c>
      <c r="D563" s="347">
        <v>845</v>
      </c>
      <c r="E563" s="331" t="s">
        <v>670</v>
      </c>
      <c r="F563" s="331" t="s">
        <v>342</v>
      </c>
      <c r="G563" s="331" t="s">
        <v>505</v>
      </c>
      <c r="H563" s="331">
        <v>698090</v>
      </c>
      <c r="I563" s="118"/>
      <c r="J563" s="331" t="s">
        <v>192</v>
      </c>
      <c r="K563" s="566"/>
      <c r="L563" s="82"/>
      <c r="M563" s="567"/>
      <c r="N563" s="568"/>
    </row>
    <row r="564" spans="1:14">
      <c r="A564" s="331" t="s">
        <v>673</v>
      </c>
      <c r="B564" s="331" t="s">
        <v>335</v>
      </c>
      <c r="C564" s="124">
        <v>44680</v>
      </c>
      <c r="D564" s="347">
        <v>845</v>
      </c>
      <c r="E564" s="331" t="s">
        <v>670</v>
      </c>
      <c r="F564" s="331" t="s">
        <v>342</v>
      </c>
      <c r="G564" s="331" t="s">
        <v>506</v>
      </c>
      <c r="H564" s="331">
        <v>968922</v>
      </c>
      <c r="I564" s="118"/>
      <c r="J564" s="331" t="s">
        <v>192</v>
      </c>
      <c r="K564" s="566"/>
      <c r="L564" s="82"/>
      <c r="M564" s="567"/>
      <c r="N564" s="568"/>
    </row>
    <row r="565" spans="1:14">
      <c r="A565" s="331" t="s">
        <v>673</v>
      </c>
      <c r="B565" s="331" t="s">
        <v>335</v>
      </c>
      <c r="C565" s="124">
        <v>44680</v>
      </c>
      <c r="D565" s="347">
        <v>845</v>
      </c>
      <c r="E565" s="331" t="s">
        <v>670</v>
      </c>
      <c r="F565" s="331" t="s">
        <v>342</v>
      </c>
      <c r="G565" s="331" t="s">
        <v>507</v>
      </c>
      <c r="H565" s="331">
        <v>926655</v>
      </c>
      <c r="I565" s="118"/>
      <c r="J565" s="331" t="s">
        <v>192</v>
      </c>
      <c r="K565" s="561"/>
      <c r="L565" s="82"/>
      <c r="M565" s="563"/>
      <c r="N565" s="565"/>
    </row>
    <row r="566" spans="1:14">
      <c r="A566" s="331" t="s">
        <v>689</v>
      </c>
      <c r="B566" s="331" t="s">
        <v>335</v>
      </c>
      <c r="C566" s="124">
        <v>44680</v>
      </c>
      <c r="D566" s="147">
        <v>846</v>
      </c>
      <c r="E566" s="331" t="s">
        <v>670</v>
      </c>
      <c r="F566" s="331" t="s">
        <v>342</v>
      </c>
      <c r="G566" s="331" t="s">
        <v>740</v>
      </c>
      <c r="H566" s="147">
        <v>910612</v>
      </c>
      <c r="I566" s="118"/>
      <c r="J566" s="331" t="s">
        <v>191</v>
      </c>
      <c r="K566" s="560">
        <v>266</v>
      </c>
      <c r="L566" s="82">
        <v>134.911</v>
      </c>
      <c r="M566" s="562">
        <f>K566-(L566+L567+L568)</f>
        <v>33.218000000000018</v>
      </c>
      <c r="N566" s="564">
        <f>(L566+L567+L568)/K566</f>
        <v>0.87512030075187963</v>
      </c>
    </row>
    <row r="567" spans="1:14">
      <c r="A567" s="331" t="s">
        <v>689</v>
      </c>
      <c r="B567" s="331" t="s">
        <v>335</v>
      </c>
      <c r="C567" s="124">
        <v>44680</v>
      </c>
      <c r="D567" s="331">
        <v>846</v>
      </c>
      <c r="E567" s="331" t="s">
        <v>670</v>
      </c>
      <c r="F567" s="331" t="s">
        <v>342</v>
      </c>
      <c r="G567" s="331" t="s">
        <v>741</v>
      </c>
      <c r="H567" s="147">
        <v>698209</v>
      </c>
      <c r="I567" s="118"/>
      <c r="J567" s="331" t="s">
        <v>191</v>
      </c>
      <c r="K567" s="566"/>
      <c r="L567" s="82">
        <v>97.870999999999995</v>
      </c>
      <c r="M567" s="567"/>
      <c r="N567" s="568"/>
    </row>
    <row r="568" spans="1:14">
      <c r="A568" s="331" t="s">
        <v>689</v>
      </c>
      <c r="B568" s="331" t="s">
        <v>335</v>
      </c>
      <c r="C568" s="124">
        <v>44680</v>
      </c>
      <c r="D568" s="331">
        <v>846</v>
      </c>
      <c r="E568" s="331" t="s">
        <v>670</v>
      </c>
      <c r="F568" s="331" t="s">
        <v>342</v>
      </c>
      <c r="G568" s="331" t="s">
        <v>742</v>
      </c>
      <c r="H568" s="147">
        <v>698990</v>
      </c>
      <c r="I568" s="118"/>
      <c r="J568" s="331" t="s">
        <v>191</v>
      </c>
      <c r="K568" s="561"/>
      <c r="L568" s="82"/>
      <c r="M568" s="563"/>
      <c r="N568" s="565"/>
    </row>
    <row r="569" spans="1:14">
      <c r="A569" s="331" t="s">
        <v>689</v>
      </c>
      <c r="B569" s="331" t="s">
        <v>335</v>
      </c>
      <c r="C569" s="124">
        <v>44680</v>
      </c>
      <c r="D569" s="331">
        <v>846</v>
      </c>
      <c r="E569" s="331" t="s">
        <v>670</v>
      </c>
      <c r="F569" s="331" t="s">
        <v>342</v>
      </c>
      <c r="G569" s="331" t="s">
        <v>740</v>
      </c>
      <c r="H569" s="331">
        <v>910612</v>
      </c>
      <c r="I569" s="118"/>
      <c r="J569" s="331" t="s">
        <v>192</v>
      </c>
      <c r="K569" s="560">
        <v>534</v>
      </c>
      <c r="L569" s="82">
        <v>10.762</v>
      </c>
      <c r="M569" s="562">
        <f>K569-(L569+L570+L571)</f>
        <v>518.57899999999995</v>
      </c>
      <c r="N569" s="564">
        <f>(L569+L570+L571)/K569</f>
        <v>2.8878277153558052E-2</v>
      </c>
    </row>
    <row r="570" spans="1:14">
      <c r="A570" s="331" t="s">
        <v>689</v>
      </c>
      <c r="B570" s="331" t="s">
        <v>335</v>
      </c>
      <c r="C570" s="124">
        <v>44680</v>
      </c>
      <c r="D570" s="331">
        <v>846</v>
      </c>
      <c r="E570" s="331" t="s">
        <v>670</v>
      </c>
      <c r="F570" s="331" t="s">
        <v>342</v>
      </c>
      <c r="G570" s="331" t="s">
        <v>741</v>
      </c>
      <c r="H570" s="331">
        <v>698209</v>
      </c>
      <c r="I570" s="118"/>
      <c r="J570" s="331" t="s">
        <v>192</v>
      </c>
      <c r="K570" s="566"/>
      <c r="L570" s="82">
        <v>4.6589999999999998</v>
      </c>
      <c r="M570" s="567"/>
      <c r="N570" s="568"/>
    </row>
    <row r="571" spans="1:14">
      <c r="A571" s="331" t="s">
        <v>689</v>
      </c>
      <c r="B571" s="331" t="s">
        <v>335</v>
      </c>
      <c r="C571" s="124">
        <v>44680</v>
      </c>
      <c r="D571" s="331">
        <v>846</v>
      </c>
      <c r="E571" s="331" t="s">
        <v>670</v>
      </c>
      <c r="F571" s="331" t="s">
        <v>342</v>
      </c>
      <c r="G571" s="331" t="s">
        <v>742</v>
      </c>
      <c r="H571" s="331">
        <v>698990</v>
      </c>
      <c r="I571" s="118"/>
      <c r="J571" s="331" t="s">
        <v>192</v>
      </c>
      <c r="K571" s="561"/>
      <c r="L571" s="82"/>
      <c r="M571" s="563"/>
      <c r="N571" s="565"/>
    </row>
    <row r="572" spans="1:14">
      <c r="A572" s="331" t="s">
        <v>689</v>
      </c>
      <c r="B572" s="331" t="s">
        <v>335</v>
      </c>
      <c r="C572" s="124">
        <v>44680</v>
      </c>
      <c r="D572" s="331">
        <v>846</v>
      </c>
      <c r="E572" s="331" t="s">
        <v>670</v>
      </c>
      <c r="F572" s="331" t="s">
        <v>342</v>
      </c>
      <c r="G572" s="331" t="s">
        <v>524</v>
      </c>
      <c r="H572" s="147">
        <v>968423</v>
      </c>
      <c r="I572" s="118"/>
      <c r="J572" s="331" t="s">
        <v>191</v>
      </c>
      <c r="K572" s="560">
        <v>358</v>
      </c>
      <c r="L572" s="82"/>
      <c r="M572" s="562">
        <f>K572-(L572+L573+L574)</f>
        <v>358</v>
      </c>
      <c r="N572" s="564">
        <f>(L572+L573+L574)/K572</f>
        <v>0</v>
      </c>
    </row>
    <row r="573" spans="1:14">
      <c r="A573" s="331" t="s">
        <v>689</v>
      </c>
      <c r="B573" s="331" t="s">
        <v>335</v>
      </c>
      <c r="C573" s="124">
        <v>44680</v>
      </c>
      <c r="D573" s="331">
        <v>846</v>
      </c>
      <c r="E573" s="331" t="s">
        <v>670</v>
      </c>
      <c r="F573" s="331" t="s">
        <v>342</v>
      </c>
      <c r="G573" s="331" t="s">
        <v>525</v>
      </c>
      <c r="H573" s="147">
        <v>967692</v>
      </c>
      <c r="I573" s="118"/>
      <c r="J573" s="331" t="s">
        <v>191</v>
      </c>
      <c r="K573" s="566"/>
      <c r="L573" s="82"/>
      <c r="M573" s="567"/>
      <c r="N573" s="568"/>
    </row>
    <row r="574" spans="1:14">
      <c r="A574" s="331" t="s">
        <v>689</v>
      </c>
      <c r="B574" s="331" t="s">
        <v>335</v>
      </c>
      <c r="C574" s="124">
        <v>44680</v>
      </c>
      <c r="D574" s="331">
        <v>846</v>
      </c>
      <c r="E574" s="331" t="s">
        <v>670</v>
      </c>
      <c r="F574" s="331" t="s">
        <v>342</v>
      </c>
      <c r="G574" s="331" t="s">
        <v>385</v>
      </c>
      <c r="H574" s="147">
        <v>698133</v>
      </c>
      <c r="I574" s="118"/>
      <c r="J574" s="331" t="s">
        <v>191</v>
      </c>
      <c r="K574" s="561"/>
      <c r="L574" s="82"/>
      <c r="M574" s="563"/>
      <c r="N574" s="565"/>
    </row>
    <row r="575" spans="1:14">
      <c r="A575" s="331" t="s">
        <v>689</v>
      </c>
      <c r="B575" s="331" t="s">
        <v>335</v>
      </c>
      <c r="C575" s="124">
        <v>44680</v>
      </c>
      <c r="D575" s="331">
        <v>846</v>
      </c>
      <c r="E575" s="331" t="s">
        <v>670</v>
      </c>
      <c r="F575" s="331" t="s">
        <v>342</v>
      </c>
      <c r="G575" s="331" t="s">
        <v>524</v>
      </c>
      <c r="H575" s="331">
        <v>968423</v>
      </c>
      <c r="I575" s="118"/>
      <c r="J575" s="331" t="s">
        <v>192</v>
      </c>
      <c r="K575" s="560">
        <v>642</v>
      </c>
      <c r="L575" s="82"/>
      <c r="M575" s="562">
        <f>K575-(L575+L576+L577)</f>
        <v>642</v>
      </c>
      <c r="N575" s="564">
        <f>(L575+L576+L577)/K575</f>
        <v>0</v>
      </c>
    </row>
    <row r="576" spans="1:14">
      <c r="A576" s="331" t="s">
        <v>689</v>
      </c>
      <c r="B576" s="331" t="s">
        <v>335</v>
      </c>
      <c r="C576" s="124">
        <v>44680</v>
      </c>
      <c r="D576" s="331">
        <v>846</v>
      </c>
      <c r="E576" s="331" t="s">
        <v>670</v>
      </c>
      <c r="F576" s="331" t="s">
        <v>342</v>
      </c>
      <c r="G576" s="331" t="s">
        <v>525</v>
      </c>
      <c r="H576" s="331">
        <v>967692</v>
      </c>
      <c r="I576" s="118"/>
      <c r="J576" s="331" t="s">
        <v>192</v>
      </c>
      <c r="K576" s="566"/>
      <c r="L576" s="82"/>
      <c r="M576" s="567"/>
      <c r="N576" s="568"/>
    </row>
    <row r="577" spans="1:14">
      <c r="A577" s="331" t="s">
        <v>689</v>
      </c>
      <c r="B577" s="331" t="s">
        <v>335</v>
      </c>
      <c r="C577" s="124">
        <v>44680</v>
      </c>
      <c r="D577" s="331">
        <v>846</v>
      </c>
      <c r="E577" s="331" t="s">
        <v>670</v>
      </c>
      <c r="F577" s="331" t="s">
        <v>342</v>
      </c>
      <c r="G577" s="331" t="s">
        <v>385</v>
      </c>
      <c r="H577" s="331">
        <v>698133</v>
      </c>
      <c r="I577" s="118"/>
      <c r="J577" s="331" t="s">
        <v>192</v>
      </c>
      <c r="K577" s="561"/>
      <c r="L577" s="82"/>
      <c r="M577" s="563"/>
      <c r="N577" s="565"/>
    </row>
    <row r="578" spans="1:14">
      <c r="A578" s="331" t="s">
        <v>689</v>
      </c>
      <c r="B578" s="331" t="s">
        <v>335</v>
      </c>
      <c r="C578" s="124">
        <v>44680</v>
      </c>
      <c r="D578" s="331">
        <v>846</v>
      </c>
      <c r="E578" s="331" t="s">
        <v>670</v>
      </c>
      <c r="F578" s="331" t="s">
        <v>342</v>
      </c>
      <c r="G578" s="331" t="s">
        <v>516</v>
      </c>
      <c r="H578" s="147">
        <v>926064</v>
      </c>
      <c r="I578" s="118"/>
      <c r="J578" s="331" t="s">
        <v>191</v>
      </c>
      <c r="K578" s="560">
        <v>540</v>
      </c>
      <c r="L578" s="82"/>
      <c r="M578" s="562">
        <f>K578-(L578+L579)</f>
        <v>540</v>
      </c>
      <c r="N578" s="564">
        <f>(L578+L579)/K578</f>
        <v>0</v>
      </c>
    </row>
    <row r="579" spans="1:14">
      <c r="A579" s="331" t="s">
        <v>689</v>
      </c>
      <c r="B579" s="331" t="s">
        <v>335</v>
      </c>
      <c r="C579" s="124">
        <v>44680</v>
      </c>
      <c r="D579" s="331">
        <v>846</v>
      </c>
      <c r="E579" s="331" t="s">
        <v>670</v>
      </c>
      <c r="F579" s="331" t="s">
        <v>342</v>
      </c>
      <c r="G579" s="331" t="s">
        <v>517</v>
      </c>
      <c r="H579" s="147">
        <v>913373</v>
      </c>
      <c r="I579" s="118"/>
      <c r="J579" s="331" t="s">
        <v>191</v>
      </c>
      <c r="K579" s="561"/>
      <c r="L579" s="82"/>
      <c r="M579" s="563"/>
      <c r="N579" s="565"/>
    </row>
    <row r="580" spans="1:14">
      <c r="A580" s="331" t="s">
        <v>689</v>
      </c>
      <c r="B580" s="331" t="s">
        <v>335</v>
      </c>
      <c r="C580" s="124">
        <v>44680</v>
      </c>
      <c r="D580" s="331">
        <v>846</v>
      </c>
      <c r="E580" s="331" t="s">
        <v>670</v>
      </c>
      <c r="F580" s="331" t="s">
        <v>342</v>
      </c>
      <c r="G580" s="331" t="s">
        <v>516</v>
      </c>
      <c r="H580" s="331">
        <v>926064</v>
      </c>
      <c r="I580" s="118"/>
      <c r="J580" s="331" t="s">
        <v>192</v>
      </c>
      <c r="K580" s="560">
        <v>966</v>
      </c>
      <c r="L580" s="82"/>
      <c r="M580" s="562">
        <f>K580-(L580+L581)</f>
        <v>966</v>
      </c>
      <c r="N580" s="564">
        <f>(L580+L581)/K580</f>
        <v>0</v>
      </c>
    </row>
    <row r="581" spans="1:14">
      <c r="A581" s="331" t="s">
        <v>689</v>
      </c>
      <c r="B581" s="331" t="s">
        <v>335</v>
      </c>
      <c r="C581" s="124">
        <v>44680</v>
      </c>
      <c r="D581" s="331">
        <v>846</v>
      </c>
      <c r="E581" s="331" t="s">
        <v>670</v>
      </c>
      <c r="F581" s="331" t="s">
        <v>342</v>
      </c>
      <c r="G581" s="331" t="s">
        <v>517</v>
      </c>
      <c r="H581" s="331">
        <v>913373</v>
      </c>
      <c r="I581" s="118"/>
      <c r="J581" s="331" t="s">
        <v>192</v>
      </c>
      <c r="K581" s="561"/>
      <c r="L581" s="82"/>
      <c r="M581" s="563"/>
      <c r="N581" s="565"/>
    </row>
    <row r="582" spans="1:14">
      <c r="A582" s="331" t="s">
        <v>689</v>
      </c>
      <c r="B582" s="331" t="s">
        <v>331</v>
      </c>
      <c r="C582" s="124">
        <v>44680</v>
      </c>
      <c r="D582" s="331">
        <v>846</v>
      </c>
      <c r="E582" s="331" t="s">
        <v>670</v>
      </c>
      <c r="F582" s="331" t="s">
        <v>342</v>
      </c>
      <c r="G582" s="331" t="s">
        <v>431</v>
      </c>
      <c r="H582" s="147">
        <v>953084</v>
      </c>
      <c r="I582" s="118"/>
      <c r="J582" s="331" t="s">
        <v>191</v>
      </c>
      <c r="K582" s="108">
        <v>260</v>
      </c>
      <c r="L582" s="82">
        <v>407.536</v>
      </c>
      <c r="M582" s="332">
        <f t="shared" ref="M582:M583" si="84">K582-L582</f>
        <v>-147.536</v>
      </c>
      <c r="N582" s="333">
        <f t="shared" ref="N582:N583" si="85">L582/K582</f>
        <v>1.5674461538461539</v>
      </c>
    </row>
    <row r="583" spans="1:14">
      <c r="A583" s="331" t="s">
        <v>689</v>
      </c>
      <c r="B583" s="331" t="s">
        <v>331</v>
      </c>
      <c r="C583" s="124">
        <v>44680</v>
      </c>
      <c r="D583" s="331">
        <v>846</v>
      </c>
      <c r="E583" s="331" t="s">
        <v>670</v>
      </c>
      <c r="F583" s="331" t="s">
        <v>342</v>
      </c>
      <c r="G583" s="331" t="s">
        <v>431</v>
      </c>
      <c r="H583" s="331">
        <v>953084</v>
      </c>
      <c r="I583" s="118"/>
      <c r="J583" s="331" t="s">
        <v>192</v>
      </c>
      <c r="K583" s="108">
        <v>522</v>
      </c>
      <c r="L583" s="82">
        <v>347.024</v>
      </c>
      <c r="M583" s="332">
        <f t="shared" si="84"/>
        <v>174.976</v>
      </c>
      <c r="N583" s="333">
        <f t="shared" si="85"/>
        <v>0.66479693486590041</v>
      </c>
    </row>
    <row r="584" spans="1:14">
      <c r="A584" s="334" t="s">
        <v>656</v>
      </c>
      <c r="B584" s="334" t="s">
        <v>331</v>
      </c>
      <c r="C584" s="124">
        <v>44683</v>
      </c>
      <c r="D584" s="147">
        <v>40</v>
      </c>
      <c r="E584" s="334" t="s">
        <v>332</v>
      </c>
      <c r="F584" s="334" t="s">
        <v>333</v>
      </c>
      <c r="G584" s="334" t="s">
        <v>657</v>
      </c>
      <c r="H584" s="147">
        <v>968886</v>
      </c>
      <c r="I584" s="118"/>
      <c r="J584" s="334" t="s">
        <v>191</v>
      </c>
      <c r="K584" s="108">
        <v>0</v>
      </c>
      <c r="L584" s="82"/>
      <c r="M584" s="335">
        <f t="shared" ref="M584:M585" si="86">K584-L584</f>
        <v>0</v>
      </c>
      <c r="N584" s="336" t="e">
        <f t="shared" ref="N584:N585" si="87">L584/K584</f>
        <v>#DIV/0!</v>
      </c>
    </row>
    <row r="585" spans="1:14">
      <c r="A585" s="334" t="s">
        <v>656</v>
      </c>
      <c r="B585" s="334" t="s">
        <v>331</v>
      </c>
      <c r="C585" s="124">
        <v>44683</v>
      </c>
      <c r="D585" s="394">
        <v>40</v>
      </c>
      <c r="E585" s="334" t="s">
        <v>332</v>
      </c>
      <c r="F585" s="334" t="s">
        <v>333</v>
      </c>
      <c r="G585" s="334" t="s">
        <v>657</v>
      </c>
      <c r="H585" s="334">
        <v>968886</v>
      </c>
      <c r="I585" s="118"/>
      <c r="J585" s="334" t="s">
        <v>192</v>
      </c>
      <c r="K585" s="108">
        <v>0</v>
      </c>
      <c r="L585" s="82"/>
      <c r="M585" s="335">
        <f t="shared" si="86"/>
        <v>0</v>
      </c>
      <c r="N585" s="336" t="e">
        <f t="shared" si="87"/>
        <v>#DIV/0!</v>
      </c>
    </row>
    <row r="586" spans="1:14">
      <c r="A586" s="334" t="s">
        <v>743</v>
      </c>
      <c r="B586" s="334" t="s">
        <v>331</v>
      </c>
      <c r="C586" s="124">
        <v>44683</v>
      </c>
      <c r="D586" s="147">
        <v>41</v>
      </c>
      <c r="E586" s="334" t="s">
        <v>332</v>
      </c>
      <c r="F586" s="334" t="s">
        <v>333</v>
      </c>
      <c r="G586" s="334" t="s">
        <v>383</v>
      </c>
      <c r="H586" s="147">
        <v>953832</v>
      </c>
      <c r="I586" s="118"/>
      <c r="J586" s="334" t="s">
        <v>191</v>
      </c>
      <c r="K586" s="108">
        <v>82</v>
      </c>
      <c r="L586" s="82">
        <v>59.417999999999999</v>
      </c>
      <c r="M586" s="335">
        <f t="shared" ref="M586:M587" si="88">K586-L586</f>
        <v>22.582000000000001</v>
      </c>
      <c r="N586" s="336">
        <f t="shared" ref="N586:N587" si="89">L586/K586</f>
        <v>0.72460975609756095</v>
      </c>
    </row>
    <row r="587" spans="1:14">
      <c r="A587" s="334" t="s">
        <v>743</v>
      </c>
      <c r="B587" s="334" t="s">
        <v>331</v>
      </c>
      <c r="C587" s="124">
        <v>44683</v>
      </c>
      <c r="D587" s="334">
        <v>41</v>
      </c>
      <c r="E587" s="334" t="s">
        <v>332</v>
      </c>
      <c r="F587" s="334" t="s">
        <v>333</v>
      </c>
      <c r="G587" s="334" t="s">
        <v>383</v>
      </c>
      <c r="H587" s="334">
        <v>953832</v>
      </c>
      <c r="I587" s="118"/>
      <c r="J587" s="334" t="s">
        <v>192</v>
      </c>
      <c r="K587" s="108">
        <v>118</v>
      </c>
      <c r="L587" s="82">
        <v>33.286999999999999</v>
      </c>
      <c r="M587" s="335">
        <f t="shared" si="88"/>
        <v>84.712999999999994</v>
      </c>
      <c r="N587" s="336">
        <f t="shared" si="89"/>
        <v>0.28209322033898304</v>
      </c>
    </row>
    <row r="588" spans="1:14">
      <c r="A588" s="334" t="s">
        <v>743</v>
      </c>
      <c r="B588" s="334" t="s">
        <v>331</v>
      </c>
      <c r="C588" s="124">
        <v>44683</v>
      </c>
      <c r="D588" s="334">
        <v>41</v>
      </c>
      <c r="E588" s="334" t="s">
        <v>332</v>
      </c>
      <c r="F588" s="334" t="s">
        <v>333</v>
      </c>
      <c r="G588" s="334" t="s">
        <v>350</v>
      </c>
      <c r="H588" s="147">
        <v>697484</v>
      </c>
      <c r="I588" s="118"/>
      <c r="J588" s="334" t="s">
        <v>191</v>
      </c>
      <c r="K588" s="108">
        <v>82</v>
      </c>
      <c r="L588" s="82">
        <v>159.22399999999999</v>
      </c>
      <c r="M588" s="335">
        <f t="shared" ref="M588:M589" si="90">K588-L588</f>
        <v>-77.22399999999999</v>
      </c>
      <c r="N588" s="336">
        <f t="shared" ref="N588:N589" si="91">L588/K588</f>
        <v>1.9417560975609756</v>
      </c>
    </row>
    <row r="589" spans="1:14">
      <c r="A589" s="334" t="s">
        <v>743</v>
      </c>
      <c r="B589" s="334" t="s">
        <v>331</v>
      </c>
      <c r="C589" s="124">
        <v>44683</v>
      </c>
      <c r="D589" s="334">
        <v>41</v>
      </c>
      <c r="E589" s="334" t="s">
        <v>332</v>
      </c>
      <c r="F589" s="334" t="s">
        <v>333</v>
      </c>
      <c r="G589" s="334" t="s">
        <v>350</v>
      </c>
      <c r="H589" s="334">
        <v>697484</v>
      </c>
      <c r="I589" s="118"/>
      <c r="J589" s="334" t="s">
        <v>192</v>
      </c>
      <c r="K589" s="108">
        <v>118</v>
      </c>
      <c r="L589" s="82">
        <v>45.06</v>
      </c>
      <c r="M589" s="335">
        <f t="shared" si="90"/>
        <v>72.94</v>
      </c>
      <c r="N589" s="336">
        <f t="shared" si="91"/>
        <v>0.38186440677966105</v>
      </c>
    </row>
    <row r="590" spans="1:14">
      <c r="A590" s="338" t="s">
        <v>691</v>
      </c>
      <c r="B590" s="338" t="s">
        <v>335</v>
      </c>
      <c r="C590" s="124">
        <v>44687</v>
      </c>
      <c r="D590" s="147">
        <v>935</v>
      </c>
      <c r="E590" s="338" t="s">
        <v>670</v>
      </c>
      <c r="F590" s="338" t="s">
        <v>342</v>
      </c>
      <c r="G590" s="338" t="s">
        <v>502</v>
      </c>
      <c r="H590" s="147">
        <v>967342</v>
      </c>
      <c r="I590" s="118"/>
      <c r="J590" s="338" t="s">
        <v>191</v>
      </c>
      <c r="K590" s="560">
        <v>182</v>
      </c>
      <c r="L590" s="82"/>
      <c r="M590" s="562">
        <f>K590-(L590+L591)</f>
        <v>182</v>
      </c>
      <c r="N590" s="564">
        <f>(L590+L591)/K590</f>
        <v>0</v>
      </c>
    </row>
    <row r="591" spans="1:14">
      <c r="A591" s="338" t="s">
        <v>691</v>
      </c>
      <c r="B591" s="338" t="s">
        <v>335</v>
      </c>
      <c r="C591" s="124">
        <v>44687</v>
      </c>
      <c r="D591" s="338">
        <v>935</v>
      </c>
      <c r="E591" s="338" t="s">
        <v>670</v>
      </c>
      <c r="F591" s="338" t="s">
        <v>342</v>
      </c>
      <c r="G591" s="338" t="s">
        <v>503</v>
      </c>
      <c r="H591" s="147">
        <v>967281</v>
      </c>
      <c r="I591" s="118"/>
      <c r="J591" s="338" t="s">
        <v>191</v>
      </c>
      <c r="K591" s="561"/>
      <c r="L591" s="82"/>
      <c r="M591" s="563"/>
      <c r="N591" s="565"/>
    </row>
    <row r="592" spans="1:14">
      <c r="A592" s="338" t="s">
        <v>691</v>
      </c>
      <c r="B592" s="338" t="s">
        <v>335</v>
      </c>
      <c r="C592" s="124">
        <v>44687</v>
      </c>
      <c r="D592" s="338">
        <v>935</v>
      </c>
      <c r="E592" s="338" t="s">
        <v>670</v>
      </c>
      <c r="F592" s="338" t="s">
        <v>342</v>
      </c>
      <c r="G592" s="338" t="s">
        <v>502</v>
      </c>
      <c r="H592" s="338">
        <v>967342</v>
      </c>
      <c r="I592" s="118"/>
      <c r="J592" s="338" t="s">
        <v>192</v>
      </c>
      <c r="K592" s="560">
        <v>318</v>
      </c>
      <c r="L592" s="82"/>
      <c r="M592" s="562">
        <f>K592-(L592+L593)</f>
        <v>318</v>
      </c>
      <c r="N592" s="564">
        <f>(L592+L593)/K592</f>
        <v>0</v>
      </c>
    </row>
    <row r="593" spans="1:14">
      <c r="A593" s="338" t="s">
        <v>691</v>
      </c>
      <c r="B593" s="338" t="s">
        <v>335</v>
      </c>
      <c r="C593" s="124">
        <v>44687</v>
      </c>
      <c r="D593" s="338">
        <v>935</v>
      </c>
      <c r="E593" s="338" t="s">
        <v>670</v>
      </c>
      <c r="F593" s="338" t="s">
        <v>342</v>
      </c>
      <c r="G593" s="338" t="s">
        <v>503</v>
      </c>
      <c r="H593" s="338">
        <v>967281</v>
      </c>
      <c r="I593" s="118"/>
      <c r="J593" s="338" t="s">
        <v>192</v>
      </c>
      <c r="K593" s="561"/>
      <c r="L593" s="82"/>
      <c r="M593" s="563"/>
      <c r="N593" s="565"/>
    </row>
    <row r="594" spans="1:14">
      <c r="A594" s="338" t="s">
        <v>746</v>
      </c>
      <c r="B594" s="338" t="s">
        <v>335</v>
      </c>
      <c r="C594" s="124">
        <v>44687</v>
      </c>
      <c r="D594" s="147">
        <v>937</v>
      </c>
      <c r="E594" s="338" t="s">
        <v>670</v>
      </c>
      <c r="F594" s="338" t="s">
        <v>342</v>
      </c>
      <c r="G594" s="338" t="s">
        <v>362</v>
      </c>
      <c r="H594" s="147">
        <v>952452</v>
      </c>
      <c r="I594" s="118"/>
      <c r="J594" s="338" t="s">
        <v>191</v>
      </c>
      <c r="K594" s="560">
        <v>653.25800000000004</v>
      </c>
      <c r="L594" s="82">
        <v>552.04899999999998</v>
      </c>
      <c r="M594" s="562">
        <f>K594-(L594+L595)</f>
        <v>-126.29699999999991</v>
      </c>
      <c r="N594" s="564">
        <f>(L594+L595)/K594</f>
        <v>1.1933340272909017</v>
      </c>
    </row>
    <row r="595" spans="1:14">
      <c r="A595" s="338" t="s">
        <v>746</v>
      </c>
      <c r="B595" s="338" t="s">
        <v>335</v>
      </c>
      <c r="C595" s="124">
        <v>44687</v>
      </c>
      <c r="D595" s="338">
        <v>937</v>
      </c>
      <c r="E595" s="338" t="s">
        <v>670</v>
      </c>
      <c r="F595" s="338" t="s">
        <v>342</v>
      </c>
      <c r="G595" s="338" t="s">
        <v>357</v>
      </c>
      <c r="H595" s="147">
        <v>30822</v>
      </c>
      <c r="I595" s="118"/>
      <c r="J595" s="338" t="s">
        <v>191</v>
      </c>
      <c r="K595" s="561"/>
      <c r="L595" s="82">
        <v>227.506</v>
      </c>
      <c r="M595" s="563"/>
      <c r="N595" s="565"/>
    </row>
    <row r="596" spans="1:14">
      <c r="A596" s="343" t="s">
        <v>720</v>
      </c>
      <c r="B596" s="343" t="s">
        <v>335</v>
      </c>
      <c r="C596" s="124">
        <v>44693</v>
      </c>
      <c r="D596" s="147">
        <v>956</v>
      </c>
      <c r="E596" s="343" t="s">
        <v>670</v>
      </c>
      <c r="F596" s="343" t="s">
        <v>342</v>
      </c>
      <c r="G596" s="343" t="s">
        <v>529</v>
      </c>
      <c r="H596" s="147">
        <v>968797</v>
      </c>
      <c r="I596" s="118"/>
      <c r="J596" s="343" t="s">
        <v>191</v>
      </c>
      <c r="K596" s="560">
        <v>94.878</v>
      </c>
      <c r="L596" s="82"/>
      <c r="M596" s="562">
        <f>K596-(L596+L597+L598+L599)</f>
        <v>94.878</v>
      </c>
      <c r="N596" s="564">
        <f>(L596+L597+L598+L599)/K596</f>
        <v>0</v>
      </c>
    </row>
    <row r="597" spans="1:14">
      <c r="A597" s="343" t="s">
        <v>720</v>
      </c>
      <c r="B597" s="343" t="s">
        <v>335</v>
      </c>
      <c r="C597" s="124">
        <v>44693</v>
      </c>
      <c r="D597" s="343">
        <v>956</v>
      </c>
      <c r="E597" s="343" t="s">
        <v>670</v>
      </c>
      <c r="F597" s="343" t="s">
        <v>342</v>
      </c>
      <c r="G597" s="343" t="s">
        <v>530</v>
      </c>
      <c r="H597" s="147">
        <v>962289</v>
      </c>
      <c r="I597" s="118"/>
      <c r="J597" s="343" t="s">
        <v>191</v>
      </c>
      <c r="K597" s="566"/>
      <c r="L597" s="82"/>
      <c r="M597" s="567"/>
      <c r="N597" s="568"/>
    </row>
    <row r="598" spans="1:14">
      <c r="A598" s="343" t="s">
        <v>720</v>
      </c>
      <c r="B598" s="343" t="s">
        <v>335</v>
      </c>
      <c r="C598" s="124">
        <v>44693</v>
      </c>
      <c r="D598" s="343">
        <v>956</v>
      </c>
      <c r="E598" s="343" t="s">
        <v>670</v>
      </c>
      <c r="F598" s="343" t="s">
        <v>342</v>
      </c>
      <c r="G598" s="343" t="s">
        <v>531</v>
      </c>
      <c r="H598" s="147">
        <v>698086</v>
      </c>
      <c r="I598" s="118"/>
      <c r="J598" s="343" t="s">
        <v>191</v>
      </c>
      <c r="K598" s="566"/>
      <c r="L598" s="82"/>
      <c r="M598" s="567"/>
      <c r="N598" s="568"/>
    </row>
    <row r="599" spans="1:14">
      <c r="A599" s="343" t="s">
        <v>720</v>
      </c>
      <c r="B599" s="343" t="s">
        <v>335</v>
      </c>
      <c r="C599" s="124">
        <v>44693</v>
      </c>
      <c r="D599" s="343">
        <v>956</v>
      </c>
      <c r="E599" s="343" t="s">
        <v>670</v>
      </c>
      <c r="F599" s="343" t="s">
        <v>342</v>
      </c>
      <c r="G599" s="343" t="s">
        <v>528</v>
      </c>
      <c r="H599" s="147">
        <v>968981</v>
      </c>
      <c r="I599" s="118"/>
      <c r="J599" s="343" t="s">
        <v>191</v>
      </c>
      <c r="K599" s="561"/>
      <c r="L599" s="82"/>
      <c r="M599" s="563"/>
      <c r="N599" s="565"/>
    </row>
    <row r="600" spans="1:14">
      <c r="A600" s="343" t="s">
        <v>720</v>
      </c>
      <c r="B600" s="343" t="s">
        <v>335</v>
      </c>
      <c r="C600" s="124">
        <v>44693</v>
      </c>
      <c r="D600" s="343">
        <v>956</v>
      </c>
      <c r="E600" s="343" t="s">
        <v>670</v>
      </c>
      <c r="F600" s="343" t="s">
        <v>342</v>
      </c>
      <c r="G600" s="343" t="s">
        <v>529</v>
      </c>
      <c r="H600" s="343">
        <v>968797</v>
      </c>
      <c r="I600" s="118"/>
      <c r="J600" s="343" t="s">
        <v>192</v>
      </c>
      <c r="K600" s="560">
        <v>716.56</v>
      </c>
      <c r="L600" s="82"/>
      <c r="M600" s="562">
        <f>K600-(L600+L601+L602+L603)</f>
        <v>716.56</v>
      </c>
      <c r="N600" s="564">
        <f>(L600+L601+L602+L603)/K600</f>
        <v>0</v>
      </c>
    </row>
    <row r="601" spans="1:14">
      <c r="A601" s="343" t="s">
        <v>720</v>
      </c>
      <c r="B601" s="343" t="s">
        <v>335</v>
      </c>
      <c r="C601" s="124">
        <v>44693</v>
      </c>
      <c r="D601" s="343">
        <v>956</v>
      </c>
      <c r="E601" s="343" t="s">
        <v>670</v>
      </c>
      <c r="F601" s="343" t="s">
        <v>342</v>
      </c>
      <c r="G601" s="343" t="s">
        <v>530</v>
      </c>
      <c r="H601" s="343">
        <v>962289</v>
      </c>
      <c r="I601" s="118"/>
      <c r="J601" s="343" t="s">
        <v>192</v>
      </c>
      <c r="K601" s="566"/>
      <c r="L601" s="82"/>
      <c r="M601" s="567"/>
      <c r="N601" s="568"/>
    </row>
    <row r="602" spans="1:14">
      <c r="A602" s="343" t="s">
        <v>720</v>
      </c>
      <c r="B602" s="343" t="s">
        <v>335</v>
      </c>
      <c r="C602" s="124">
        <v>44693</v>
      </c>
      <c r="D602" s="343">
        <v>956</v>
      </c>
      <c r="E602" s="343" t="s">
        <v>670</v>
      </c>
      <c r="F602" s="343" t="s">
        <v>342</v>
      </c>
      <c r="G602" s="343" t="s">
        <v>531</v>
      </c>
      <c r="H602" s="343">
        <v>698086</v>
      </c>
      <c r="I602" s="118"/>
      <c r="J602" s="343" t="s">
        <v>192</v>
      </c>
      <c r="K602" s="566"/>
      <c r="L602" s="82"/>
      <c r="M602" s="567"/>
      <c r="N602" s="568"/>
    </row>
    <row r="603" spans="1:14">
      <c r="A603" s="343" t="s">
        <v>720</v>
      </c>
      <c r="B603" s="343" t="s">
        <v>335</v>
      </c>
      <c r="C603" s="124">
        <v>44693</v>
      </c>
      <c r="D603" s="343">
        <v>956</v>
      </c>
      <c r="E603" s="343" t="s">
        <v>670</v>
      </c>
      <c r="F603" s="343" t="s">
        <v>342</v>
      </c>
      <c r="G603" s="343" t="s">
        <v>528</v>
      </c>
      <c r="H603" s="343">
        <v>968981</v>
      </c>
      <c r="I603" s="118"/>
      <c r="J603" s="343" t="s">
        <v>192</v>
      </c>
      <c r="K603" s="561"/>
      <c r="L603" s="82"/>
      <c r="M603" s="563"/>
      <c r="N603" s="565"/>
    </row>
    <row r="604" spans="1:14">
      <c r="A604" s="344" t="s">
        <v>748</v>
      </c>
      <c r="B604" s="344" t="s">
        <v>331</v>
      </c>
      <c r="C604" s="124">
        <v>44698</v>
      </c>
      <c r="D604" s="147">
        <v>991</v>
      </c>
      <c r="E604" s="344" t="s">
        <v>670</v>
      </c>
      <c r="F604" s="344" t="s">
        <v>342</v>
      </c>
      <c r="G604" s="344" t="s">
        <v>422</v>
      </c>
      <c r="H604" s="147">
        <v>963197</v>
      </c>
      <c r="I604" s="118"/>
      <c r="J604" s="344" t="s">
        <v>191</v>
      </c>
      <c r="K604" s="108">
        <v>149.31700000000001</v>
      </c>
      <c r="L604" s="82">
        <v>149.31700000000001</v>
      </c>
      <c r="M604" s="345">
        <f t="shared" ref="M604:M606" si="92">K604-L604</f>
        <v>0</v>
      </c>
      <c r="N604" s="346">
        <f t="shared" ref="N604:N606" si="93">L604/K604</f>
        <v>1</v>
      </c>
    </row>
    <row r="605" spans="1:14">
      <c r="A605" s="344" t="s">
        <v>691</v>
      </c>
      <c r="B605" s="344" t="s">
        <v>331</v>
      </c>
      <c r="C605" s="124">
        <v>44698</v>
      </c>
      <c r="D605" s="147">
        <v>992</v>
      </c>
      <c r="E605" s="344" t="s">
        <v>670</v>
      </c>
      <c r="F605" s="344" t="s">
        <v>342</v>
      </c>
      <c r="G605" s="344" t="s">
        <v>749</v>
      </c>
      <c r="H605" s="147">
        <v>699134</v>
      </c>
      <c r="I605" s="118"/>
      <c r="J605" s="344" t="s">
        <v>191</v>
      </c>
      <c r="K605" s="108">
        <v>73</v>
      </c>
      <c r="L605" s="82"/>
      <c r="M605" s="345">
        <f t="shared" si="92"/>
        <v>73</v>
      </c>
      <c r="N605" s="346">
        <f t="shared" si="93"/>
        <v>0</v>
      </c>
    </row>
    <row r="606" spans="1:14">
      <c r="A606" s="344" t="s">
        <v>691</v>
      </c>
      <c r="B606" s="344" t="s">
        <v>331</v>
      </c>
      <c r="C606" s="124">
        <v>44698</v>
      </c>
      <c r="D606" s="344">
        <v>992</v>
      </c>
      <c r="E606" s="344" t="s">
        <v>670</v>
      </c>
      <c r="F606" s="344" t="s">
        <v>342</v>
      </c>
      <c r="G606" s="344" t="s">
        <v>749</v>
      </c>
      <c r="H606" s="344">
        <v>699134</v>
      </c>
      <c r="I606" s="118"/>
      <c r="J606" s="344" t="s">
        <v>192</v>
      </c>
      <c r="K606" s="108">
        <v>127</v>
      </c>
      <c r="L606" s="82"/>
      <c r="M606" s="345">
        <f t="shared" si="92"/>
        <v>127</v>
      </c>
      <c r="N606" s="346">
        <f t="shared" si="93"/>
        <v>0</v>
      </c>
    </row>
    <row r="607" spans="1:14">
      <c r="A607" s="344" t="s">
        <v>691</v>
      </c>
      <c r="B607" s="344" t="s">
        <v>331</v>
      </c>
      <c r="C607" s="124">
        <v>44698</v>
      </c>
      <c r="D607" s="344">
        <v>992</v>
      </c>
      <c r="E607" s="344" t="s">
        <v>670</v>
      </c>
      <c r="F607" s="344" t="s">
        <v>342</v>
      </c>
      <c r="G607" s="344" t="s">
        <v>365</v>
      </c>
      <c r="H607" s="147">
        <v>961126</v>
      </c>
      <c r="I607" s="118"/>
      <c r="J607" s="344" t="s">
        <v>191</v>
      </c>
      <c r="K607" s="108">
        <v>73</v>
      </c>
      <c r="L607" s="82"/>
      <c r="M607" s="345">
        <f t="shared" ref="M607:M660" si="94">K607-L607</f>
        <v>73</v>
      </c>
      <c r="N607" s="346">
        <f t="shared" ref="N607:N660" si="95">L607/K607</f>
        <v>0</v>
      </c>
    </row>
    <row r="608" spans="1:14">
      <c r="A608" s="344" t="s">
        <v>691</v>
      </c>
      <c r="B608" s="344" t="s">
        <v>331</v>
      </c>
      <c r="C608" s="124">
        <v>44698</v>
      </c>
      <c r="D608" s="344">
        <v>992</v>
      </c>
      <c r="E608" s="344" t="s">
        <v>670</v>
      </c>
      <c r="F608" s="344" t="s">
        <v>342</v>
      </c>
      <c r="G608" s="344" t="s">
        <v>365</v>
      </c>
      <c r="H608" s="344">
        <v>961126</v>
      </c>
      <c r="I608" s="118"/>
      <c r="J608" s="344" t="s">
        <v>192</v>
      </c>
      <c r="K608" s="108">
        <v>127</v>
      </c>
      <c r="L608" s="82"/>
      <c r="M608" s="345">
        <f t="shared" si="94"/>
        <v>127</v>
      </c>
      <c r="N608" s="346">
        <f t="shared" si="95"/>
        <v>0</v>
      </c>
    </row>
    <row r="609" spans="1:14">
      <c r="A609" s="344" t="s">
        <v>691</v>
      </c>
      <c r="B609" s="344" t="s">
        <v>331</v>
      </c>
      <c r="C609" s="124">
        <v>44698</v>
      </c>
      <c r="D609" s="344">
        <v>992</v>
      </c>
      <c r="E609" s="344" t="s">
        <v>670</v>
      </c>
      <c r="F609" s="344" t="s">
        <v>342</v>
      </c>
      <c r="G609" s="344" t="s">
        <v>484</v>
      </c>
      <c r="H609" s="343">
        <v>969525</v>
      </c>
      <c r="I609" s="118"/>
      <c r="J609" s="344" t="s">
        <v>191</v>
      </c>
      <c r="K609" s="108">
        <v>73</v>
      </c>
      <c r="L609" s="82"/>
      <c r="M609" s="345">
        <f t="shared" si="94"/>
        <v>73</v>
      </c>
      <c r="N609" s="346">
        <f t="shared" si="95"/>
        <v>0</v>
      </c>
    </row>
    <row r="610" spans="1:14">
      <c r="A610" s="344" t="s">
        <v>691</v>
      </c>
      <c r="B610" s="344" t="s">
        <v>331</v>
      </c>
      <c r="C610" s="124">
        <v>44698</v>
      </c>
      <c r="D610" s="344">
        <v>992</v>
      </c>
      <c r="E610" s="344" t="s">
        <v>670</v>
      </c>
      <c r="F610" s="344" t="s">
        <v>342</v>
      </c>
      <c r="G610" s="344" t="s">
        <v>484</v>
      </c>
      <c r="H610" s="344">
        <v>969525</v>
      </c>
      <c r="I610" s="118"/>
      <c r="J610" s="344" t="s">
        <v>192</v>
      </c>
      <c r="K610" s="108">
        <v>127</v>
      </c>
      <c r="L610" s="82"/>
      <c r="M610" s="345">
        <f t="shared" si="94"/>
        <v>127</v>
      </c>
      <c r="N610" s="346">
        <f t="shared" si="95"/>
        <v>0</v>
      </c>
    </row>
    <row r="611" spans="1:14">
      <c r="A611" s="344" t="s">
        <v>691</v>
      </c>
      <c r="B611" s="344" t="s">
        <v>331</v>
      </c>
      <c r="C611" s="124">
        <v>44698</v>
      </c>
      <c r="D611" s="344">
        <v>992</v>
      </c>
      <c r="E611" s="344" t="s">
        <v>670</v>
      </c>
      <c r="F611" s="344" t="s">
        <v>342</v>
      </c>
      <c r="G611" s="344" t="s">
        <v>373</v>
      </c>
      <c r="H611" s="343">
        <v>951974</v>
      </c>
      <c r="I611" s="118"/>
      <c r="J611" s="344" t="s">
        <v>191</v>
      </c>
      <c r="K611" s="108">
        <v>91</v>
      </c>
      <c r="L611" s="82"/>
      <c r="M611" s="345">
        <f t="shared" si="94"/>
        <v>91</v>
      </c>
      <c r="N611" s="346">
        <f t="shared" si="95"/>
        <v>0</v>
      </c>
    </row>
    <row r="612" spans="1:14">
      <c r="A612" s="344" t="s">
        <v>691</v>
      </c>
      <c r="B612" s="344" t="s">
        <v>331</v>
      </c>
      <c r="C612" s="124">
        <v>44698</v>
      </c>
      <c r="D612" s="344">
        <v>992</v>
      </c>
      <c r="E612" s="344" t="s">
        <v>670</v>
      </c>
      <c r="F612" s="344" t="s">
        <v>342</v>
      </c>
      <c r="G612" s="344" t="s">
        <v>373</v>
      </c>
      <c r="H612" s="344">
        <v>951974</v>
      </c>
      <c r="I612" s="118"/>
      <c r="J612" s="344" t="s">
        <v>192</v>
      </c>
      <c r="K612" s="108">
        <v>159</v>
      </c>
      <c r="L612" s="82"/>
      <c r="M612" s="345">
        <f t="shared" si="94"/>
        <v>159</v>
      </c>
      <c r="N612" s="346">
        <f t="shared" si="95"/>
        <v>0</v>
      </c>
    </row>
    <row r="613" spans="1:14">
      <c r="A613" s="344" t="s">
        <v>691</v>
      </c>
      <c r="B613" s="344" t="s">
        <v>331</v>
      </c>
      <c r="C613" s="124">
        <v>44698</v>
      </c>
      <c r="D613" s="344">
        <v>992</v>
      </c>
      <c r="E613" s="344" t="s">
        <v>670</v>
      </c>
      <c r="F613" s="344" t="s">
        <v>342</v>
      </c>
      <c r="G613" s="344" t="s">
        <v>420</v>
      </c>
      <c r="H613" s="343">
        <v>958573</v>
      </c>
      <c r="I613" s="118"/>
      <c r="J613" s="344" t="s">
        <v>191</v>
      </c>
      <c r="K613" s="108">
        <v>73</v>
      </c>
      <c r="L613" s="82">
        <v>110.68300000000001</v>
      </c>
      <c r="M613" s="345">
        <f t="shared" si="94"/>
        <v>-37.683000000000007</v>
      </c>
      <c r="N613" s="346">
        <f t="shared" si="95"/>
        <v>1.516205479452055</v>
      </c>
    </row>
    <row r="614" spans="1:14">
      <c r="A614" s="344" t="s">
        <v>691</v>
      </c>
      <c r="B614" s="344" t="s">
        <v>331</v>
      </c>
      <c r="C614" s="124">
        <v>44698</v>
      </c>
      <c r="D614" s="344">
        <v>992</v>
      </c>
      <c r="E614" s="344" t="s">
        <v>670</v>
      </c>
      <c r="F614" s="344" t="s">
        <v>342</v>
      </c>
      <c r="G614" s="344" t="s">
        <v>420</v>
      </c>
      <c r="H614" s="344">
        <v>958573</v>
      </c>
      <c r="I614" s="118"/>
      <c r="J614" s="344" t="s">
        <v>192</v>
      </c>
      <c r="K614" s="108">
        <v>127</v>
      </c>
      <c r="L614" s="82">
        <v>27.773</v>
      </c>
      <c r="M614" s="345">
        <f t="shared" si="94"/>
        <v>99.227000000000004</v>
      </c>
      <c r="N614" s="346">
        <f t="shared" si="95"/>
        <v>0.21868503937007874</v>
      </c>
    </row>
    <row r="615" spans="1:14">
      <c r="A615" s="344" t="s">
        <v>691</v>
      </c>
      <c r="B615" s="344" t="s">
        <v>331</v>
      </c>
      <c r="C615" s="124">
        <v>44698</v>
      </c>
      <c r="D615" s="344">
        <v>992</v>
      </c>
      <c r="E615" s="344" t="s">
        <v>670</v>
      </c>
      <c r="F615" s="344" t="s">
        <v>342</v>
      </c>
      <c r="G615" s="344" t="s">
        <v>381</v>
      </c>
      <c r="H615" s="343">
        <v>958078</v>
      </c>
      <c r="I615" s="118"/>
      <c r="J615" s="344" t="s">
        <v>191</v>
      </c>
      <c r="K615" s="108">
        <v>73</v>
      </c>
      <c r="L615" s="82"/>
      <c r="M615" s="345">
        <f t="shared" si="94"/>
        <v>73</v>
      </c>
      <c r="N615" s="346">
        <f t="shared" si="95"/>
        <v>0</v>
      </c>
    </row>
    <row r="616" spans="1:14">
      <c r="A616" s="344" t="s">
        <v>691</v>
      </c>
      <c r="B616" s="344" t="s">
        <v>331</v>
      </c>
      <c r="C616" s="124">
        <v>44698</v>
      </c>
      <c r="D616" s="344">
        <v>992</v>
      </c>
      <c r="E616" s="344" t="s">
        <v>670</v>
      </c>
      <c r="F616" s="344" t="s">
        <v>342</v>
      </c>
      <c r="G616" s="344" t="s">
        <v>381</v>
      </c>
      <c r="H616" s="344">
        <v>958078</v>
      </c>
      <c r="I616" s="118"/>
      <c r="J616" s="344" t="s">
        <v>192</v>
      </c>
      <c r="K616" s="108">
        <v>127</v>
      </c>
      <c r="L616" s="82"/>
      <c r="M616" s="345">
        <f t="shared" si="94"/>
        <v>127</v>
      </c>
      <c r="N616" s="346">
        <f t="shared" si="95"/>
        <v>0</v>
      </c>
    </row>
    <row r="617" spans="1:14">
      <c r="A617" s="344" t="s">
        <v>691</v>
      </c>
      <c r="B617" s="344" t="s">
        <v>331</v>
      </c>
      <c r="C617" s="124">
        <v>44698</v>
      </c>
      <c r="D617" s="344">
        <v>992</v>
      </c>
      <c r="E617" s="344" t="s">
        <v>670</v>
      </c>
      <c r="F617" s="344" t="s">
        <v>342</v>
      </c>
      <c r="G617" s="344" t="s">
        <v>369</v>
      </c>
      <c r="H617" s="343">
        <v>958713</v>
      </c>
      <c r="I617" s="118"/>
      <c r="J617" s="344" t="s">
        <v>191</v>
      </c>
      <c r="K617" s="108">
        <v>73</v>
      </c>
      <c r="L617" s="82"/>
      <c r="M617" s="345">
        <f t="shared" si="94"/>
        <v>73</v>
      </c>
      <c r="N617" s="346">
        <f t="shared" si="95"/>
        <v>0</v>
      </c>
    </row>
    <row r="618" spans="1:14">
      <c r="A618" s="344" t="s">
        <v>691</v>
      </c>
      <c r="B618" s="344" t="s">
        <v>331</v>
      </c>
      <c r="C618" s="124">
        <v>44698</v>
      </c>
      <c r="D618" s="344">
        <v>992</v>
      </c>
      <c r="E618" s="344" t="s">
        <v>670</v>
      </c>
      <c r="F618" s="344" t="s">
        <v>342</v>
      </c>
      <c r="G618" s="344" t="s">
        <v>369</v>
      </c>
      <c r="H618" s="344">
        <v>958713</v>
      </c>
      <c r="I618" s="118"/>
      <c r="J618" s="344" t="s">
        <v>192</v>
      </c>
      <c r="K618" s="108">
        <v>127</v>
      </c>
      <c r="L618" s="82"/>
      <c r="M618" s="345">
        <f t="shared" si="94"/>
        <v>127</v>
      </c>
      <c r="N618" s="346">
        <f t="shared" si="95"/>
        <v>0</v>
      </c>
    </row>
    <row r="619" spans="1:14">
      <c r="A619" s="344" t="s">
        <v>691</v>
      </c>
      <c r="B619" s="344" t="s">
        <v>331</v>
      </c>
      <c r="C619" s="124">
        <v>44698</v>
      </c>
      <c r="D619" s="344">
        <v>992</v>
      </c>
      <c r="E619" s="344" t="s">
        <v>670</v>
      </c>
      <c r="F619" s="344" t="s">
        <v>342</v>
      </c>
      <c r="G619" s="344" t="s">
        <v>406</v>
      </c>
      <c r="H619" s="343">
        <v>924718</v>
      </c>
      <c r="I619" s="118"/>
      <c r="J619" s="344" t="s">
        <v>191</v>
      </c>
      <c r="K619" s="108">
        <v>73</v>
      </c>
      <c r="L619" s="82"/>
      <c r="M619" s="345">
        <f t="shared" si="94"/>
        <v>73</v>
      </c>
      <c r="N619" s="346">
        <f t="shared" si="95"/>
        <v>0</v>
      </c>
    </row>
    <row r="620" spans="1:14">
      <c r="A620" s="344" t="s">
        <v>691</v>
      </c>
      <c r="B620" s="344" t="s">
        <v>331</v>
      </c>
      <c r="C620" s="124">
        <v>44698</v>
      </c>
      <c r="D620" s="344">
        <v>992</v>
      </c>
      <c r="E620" s="344" t="s">
        <v>670</v>
      </c>
      <c r="F620" s="344" t="s">
        <v>342</v>
      </c>
      <c r="G620" s="344" t="s">
        <v>406</v>
      </c>
      <c r="H620" s="344">
        <v>924718</v>
      </c>
      <c r="I620" s="118"/>
      <c r="J620" s="344" t="s">
        <v>192</v>
      </c>
      <c r="K620" s="108">
        <v>127</v>
      </c>
      <c r="L620" s="82"/>
      <c r="M620" s="345">
        <f t="shared" si="94"/>
        <v>127</v>
      </c>
      <c r="N620" s="346">
        <f t="shared" si="95"/>
        <v>0</v>
      </c>
    </row>
    <row r="621" spans="1:14">
      <c r="A621" s="344" t="s">
        <v>691</v>
      </c>
      <c r="B621" s="344" t="s">
        <v>331</v>
      </c>
      <c r="C621" s="124">
        <v>44698</v>
      </c>
      <c r="D621" s="344">
        <v>992</v>
      </c>
      <c r="E621" s="344" t="s">
        <v>670</v>
      </c>
      <c r="F621" s="344" t="s">
        <v>342</v>
      </c>
      <c r="G621" s="344" t="s">
        <v>378</v>
      </c>
      <c r="H621" s="343">
        <v>951497</v>
      </c>
      <c r="I621" s="118"/>
      <c r="J621" s="344" t="s">
        <v>191</v>
      </c>
      <c r="K621" s="108">
        <v>73</v>
      </c>
      <c r="L621" s="82"/>
      <c r="M621" s="345">
        <f t="shared" si="94"/>
        <v>73</v>
      </c>
      <c r="N621" s="346">
        <f t="shared" si="95"/>
        <v>0</v>
      </c>
    </row>
    <row r="622" spans="1:14">
      <c r="A622" s="344" t="s">
        <v>691</v>
      </c>
      <c r="B622" s="344" t="s">
        <v>331</v>
      </c>
      <c r="C622" s="124">
        <v>44698</v>
      </c>
      <c r="D622" s="344">
        <v>992</v>
      </c>
      <c r="E622" s="344" t="s">
        <v>670</v>
      </c>
      <c r="F622" s="344" t="s">
        <v>342</v>
      </c>
      <c r="G622" s="344" t="s">
        <v>378</v>
      </c>
      <c r="H622" s="344">
        <v>951497</v>
      </c>
      <c r="I622" s="118"/>
      <c r="J622" s="344" t="s">
        <v>192</v>
      </c>
      <c r="K622" s="108">
        <v>127</v>
      </c>
      <c r="L622" s="82"/>
      <c r="M622" s="345">
        <f t="shared" si="94"/>
        <v>127</v>
      </c>
      <c r="N622" s="346">
        <f t="shared" si="95"/>
        <v>0</v>
      </c>
    </row>
    <row r="623" spans="1:14">
      <c r="A623" s="344" t="s">
        <v>691</v>
      </c>
      <c r="B623" s="344" t="s">
        <v>331</v>
      </c>
      <c r="C623" s="124">
        <v>44698</v>
      </c>
      <c r="D623" s="344">
        <v>992</v>
      </c>
      <c r="E623" s="344" t="s">
        <v>670</v>
      </c>
      <c r="F623" s="344" t="s">
        <v>342</v>
      </c>
      <c r="G623" s="344" t="s">
        <v>750</v>
      </c>
      <c r="H623" s="343">
        <v>697538</v>
      </c>
      <c r="I623" s="118"/>
      <c r="J623" s="344" t="s">
        <v>191</v>
      </c>
      <c r="K623" s="108">
        <v>55</v>
      </c>
      <c r="L623" s="82"/>
      <c r="M623" s="345">
        <f t="shared" si="94"/>
        <v>55</v>
      </c>
      <c r="N623" s="346">
        <f t="shared" si="95"/>
        <v>0</v>
      </c>
    </row>
    <row r="624" spans="1:14">
      <c r="A624" s="344" t="s">
        <v>691</v>
      </c>
      <c r="B624" s="344" t="s">
        <v>331</v>
      </c>
      <c r="C624" s="124">
        <v>44698</v>
      </c>
      <c r="D624" s="344">
        <v>992</v>
      </c>
      <c r="E624" s="344" t="s">
        <v>670</v>
      </c>
      <c r="F624" s="344" t="s">
        <v>342</v>
      </c>
      <c r="G624" s="344" t="s">
        <v>750</v>
      </c>
      <c r="H624" s="344">
        <v>697538</v>
      </c>
      <c r="I624" s="118"/>
      <c r="J624" s="344" t="s">
        <v>192</v>
      </c>
      <c r="K624" s="108">
        <v>95</v>
      </c>
      <c r="L624" s="82"/>
      <c r="M624" s="345">
        <f t="shared" si="94"/>
        <v>95</v>
      </c>
      <c r="N624" s="346">
        <f t="shared" si="95"/>
        <v>0</v>
      </c>
    </row>
    <row r="625" spans="1:14">
      <c r="A625" s="344" t="s">
        <v>691</v>
      </c>
      <c r="B625" s="344" t="s">
        <v>331</v>
      </c>
      <c r="C625" s="124">
        <v>44698</v>
      </c>
      <c r="D625" s="344">
        <v>992</v>
      </c>
      <c r="E625" s="344" t="s">
        <v>670</v>
      </c>
      <c r="F625" s="344" t="s">
        <v>342</v>
      </c>
      <c r="G625" s="344" t="s">
        <v>364</v>
      </c>
      <c r="H625" s="343">
        <v>950818</v>
      </c>
      <c r="I625" s="118"/>
      <c r="J625" s="344" t="s">
        <v>191</v>
      </c>
      <c r="K625" s="108">
        <v>73</v>
      </c>
      <c r="L625" s="82">
        <v>73</v>
      </c>
      <c r="M625" s="345">
        <f t="shared" si="94"/>
        <v>0</v>
      </c>
      <c r="N625" s="346">
        <f t="shared" si="95"/>
        <v>1</v>
      </c>
    </row>
    <row r="626" spans="1:14">
      <c r="A626" s="344" t="s">
        <v>691</v>
      </c>
      <c r="B626" s="344" t="s">
        <v>331</v>
      </c>
      <c r="C626" s="124">
        <v>44698</v>
      </c>
      <c r="D626" s="344">
        <v>992</v>
      </c>
      <c r="E626" s="344" t="s">
        <v>670</v>
      </c>
      <c r="F626" s="344" t="s">
        <v>342</v>
      </c>
      <c r="G626" s="344" t="s">
        <v>364</v>
      </c>
      <c r="H626" s="344">
        <v>950818</v>
      </c>
      <c r="I626" s="118"/>
      <c r="J626" s="344" t="s">
        <v>192</v>
      </c>
      <c r="K626" s="108">
        <v>127</v>
      </c>
      <c r="L626" s="82">
        <v>70.338999999999999</v>
      </c>
      <c r="M626" s="345">
        <f t="shared" si="94"/>
        <v>56.661000000000001</v>
      </c>
      <c r="N626" s="346">
        <f t="shared" si="95"/>
        <v>0.55385039370078737</v>
      </c>
    </row>
    <row r="627" spans="1:14">
      <c r="A627" s="344" t="s">
        <v>691</v>
      </c>
      <c r="B627" s="344" t="s">
        <v>331</v>
      </c>
      <c r="C627" s="124">
        <v>44698</v>
      </c>
      <c r="D627" s="344">
        <v>992</v>
      </c>
      <c r="E627" s="344" t="s">
        <v>670</v>
      </c>
      <c r="F627" s="344" t="s">
        <v>342</v>
      </c>
      <c r="G627" s="344" t="s">
        <v>405</v>
      </c>
      <c r="H627" s="343">
        <v>959954</v>
      </c>
      <c r="I627" s="118"/>
      <c r="J627" s="344" t="s">
        <v>191</v>
      </c>
      <c r="K627" s="108">
        <v>73</v>
      </c>
      <c r="L627" s="82"/>
      <c r="M627" s="345">
        <f t="shared" si="94"/>
        <v>73</v>
      </c>
      <c r="N627" s="346">
        <f t="shared" si="95"/>
        <v>0</v>
      </c>
    </row>
    <row r="628" spans="1:14">
      <c r="A628" s="344" t="s">
        <v>691</v>
      </c>
      <c r="B628" s="344" t="s">
        <v>331</v>
      </c>
      <c r="C628" s="124">
        <v>44698</v>
      </c>
      <c r="D628" s="344">
        <v>992</v>
      </c>
      <c r="E628" s="344" t="s">
        <v>670</v>
      </c>
      <c r="F628" s="344" t="s">
        <v>342</v>
      </c>
      <c r="G628" s="344" t="s">
        <v>405</v>
      </c>
      <c r="H628" s="344">
        <v>959954</v>
      </c>
      <c r="I628" s="118"/>
      <c r="J628" s="344" t="s">
        <v>192</v>
      </c>
      <c r="K628" s="108">
        <v>127</v>
      </c>
      <c r="L628" s="82"/>
      <c r="M628" s="345">
        <f t="shared" si="94"/>
        <v>127</v>
      </c>
      <c r="N628" s="346">
        <f t="shared" si="95"/>
        <v>0</v>
      </c>
    </row>
    <row r="629" spans="1:14">
      <c r="A629" s="344" t="s">
        <v>691</v>
      </c>
      <c r="B629" s="344" t="s">
        <v>331</v>
      </c>
      <c r="C629" s="124">
        <v>44698</v>
      </c>
      <c r="D629" s="344">
        <v>992</v>
      </c>
      <c r="E629" s="344" t="s">
        <v>670</v>
      </c>
      <c r="F629" s="344" t="s">
        <v>342</v>
      </c>
      <c r="G629" s="344" t="s">
        <v>362</v>
      </c>
      <c r="H629" s="343">
        <v>952452</v>
      </c>
      <c r="I629" s="118"/>
      <c r="J629" s="344" t="s">
        <v>191</v>
      </c>
      <c r="K629" s="108">
        <v>88</v>
      </c>
      <c r="L629" s="82"/>
      <c r="M629" s="345">
        <f t="shared" si="94"/>
        <v>88</v>
      </c>
      <c r="N629" s="346">
        <f t="shared" si="95"/>
        <v>0</v>
      </c>
    </row>
    <row r="630" spans="1:14">
      <c r="A630" s="344" t="s">
        <v>691</v>
      </c>
      <c r="B630" s="344" t="s">
        <v>331</v>
      </c>
      <c r="C630" s="124">
        <v>44698</v>
      </c>
      <c r="D630" s="344">
        <v>992</v>
      </c>
      <c r="E630" s="344" t="s">
        <v>670</v>
      </c>
      <c r="F630" s="344" t="s">
        <v>342</v>
      </c>
      <c r="G630" s="344" t="s">
        <v>362</v>
      </c>
      <c r="H630" s="344">
        <v>952452</v>
      </c>
      <c r="I630" s="118"/>
      <c r="J630" s="344" t="s">
        <v>192</v>
      </c>
      <c r="K630" s="108">
        <v>152</v>
      </c>
      <c r="L630" s="82"/>
      <c r="M630" s="345">
        <f t="shared" si="94"/>
        <v>152</v>
      </c>
      <c r="N630" s="346">
        <f t="shared" si="95"/>
        <v>0</v>
      </c>
    </row>
    <row r="631" spans="1:14">
      <c r="A631" s="344" t="s">
        <v>691</v>
      </c>
      <c r="B631" s="344" t="s">
        <v>331</v>
      </c>
      <c r="C631" s="124">
        <v>44698</v>
      </c>
      <c r="D631" s="344">
        <v>992</v>
      </c>
      <c r="E631" s="344" t="s">
        <v>670</v>
      </c>
      <c r="F631" s="344" t="s">
        <v>342</v>
      </c>
      <c r="G631" s="344" t="s">
        <v>483</v>
      </c>
      <c r="H631" s="343">
        <v>966129</v>
      </c>
      <c r="I631" s="118"/>
      <c r="J631" s="344" t="s">
        <v>191</v>
      </c>
      <c r="K631" s="108">
        <v>73</v>
      </c>
      <c r="L631" s="82"/>
      <c r="M631" s="345">
        <f t="shared" si="94"/>
        <v>73</v>
      </c>
      <c r="N631" s="346">
        <f t="shared" si="95"/>
        <v>0</v>
      </c>
    </row>
    <row r="632" spans="1:14">
      <c r="A632" s="344" t="s">
        <v>691</v>
      </c>
      <c r="B632" s="344" t="s">
        <v>331</v>
      </c>
      <c r="C632" s="124">
        <v>44698</v>
      </c>
      <c r="D632" s="344">
        <v>992</v>
      </c>
      <c r="E632" s="344" t="s">
        <v>670</v>
      </c>
      <c r="F632" s="344" t="s">
        <v>342</v>
      </c>
      <c r="G632" s="344" t="s">
        <v>483</v>
      </c>
      <c r="H632" s="344">
        <v>966129</v>
      </c>
      <c r="I632" s="118"/>
      <c r="J632" s="344" t="s">
        <v>192</v>
      </c>
      <c r="K632" s="108">
        <v>127</v>
      </c>
      <c r="L632" s="82"/>
      <c r="M632" s="345">
        <f t="shared" si="94"/>
        <v>127</v>
      </c>
      <c r="N632" s="346">
        <f t="shared" si="95"/>
        <v>0</v>
      </c>
    </row>
    <row r="633" spans="1:14">
      <c r="A633" s="344" t="s">
        <v>691</v>
      </c>
      <c r="B633" s="344" t="s">
        <v>331</v>
      </c>
      <c r="C633" s="124">
        <v>44698</v>
      </c>
      <c r="D633" s="344">
        <v>992</v>
      </c>
      <c r="E633" s="344" t="s">
        <v>670</v>
      </c>
      <c r="F633" s="344" t="s">
        <v>342</v>
      </c>
      <c r="G633" s="344" t="s">
        <v>368</v>
      </c>
      <c r="H633" s="343">
        <v>968864</v>
      </c>
      <c r="I633" s="118"/>
      <c r="J633" s="344" t="s">
        <v>191</v>
      </c>
      <c r="K633" s="108">
        <v>73</v>
      </c>
      <c r="L633" s="82">
        <v>41.656999999999996</v>
      </c>
      <c r="M633" s="345">
        <f t="shared" si="94"/>
        <v>31.343000000000004</v>
      </c>
      <c r="N633" s="346">
        <f t="shared" si="95"/>
        <v>0.57064383561643828</v>
      </c>
    </row>
    <row r="634" spans="1:14">
      <c r="A634" s="344" t="s">
        <v>691</v>
      </c>
      <c r="B634" s="344" t="s">
        <v>331</v>
      </c>
      <c r="C634" s="124">
        <v>44698</v>
      </c>
      <c r="D634" s="344">
        <v>992</v>
      </c>
      <c r="E634" s="344" t="s">
        <v>670</v>
      </c>
      <c r="F634" s="344" t="s">
        <v>342</v>
      </c>
      <c r="G634" s="344" t="s">
        <v>368</v>
      </c>
      <c r="H634" s="344">
        <v>968864</v>
      </c>
      <c r="I634" s="118"/>
      <c r="J634" s="344" t="s">
        <v>192</v>
      </c>
      <c r="K634" s="108">
        <v>127</v>
      </c>
      <c r="L634" s="82">
        <v>10.545999999999999</v>
      </c>
      <c r="M634" s="345">
        <f t="shared" si="94"/>
        <v>116.45400000000001</v>
      </c>
      <c r="N634" s="346">
        <f t="shared" si="95"/>
        <v>8.3039370078740155E-2</v>
      </c>
    </row>
    <row r="635" spans="1:14">
      <c r="A635" s="344" t="s">
        <v>691</v>
      </c>
      <c r="B635" s="344" t="s">
        <v>331</v>
      </c>
      <c r="C635" s="124">
        <v>44698</v>
      </c>
      <c r="D635" s="344">
        <v>992</v>
      </c>
      <c r="E635" s="344" t="s">
        <v>670</v>
      </c>
      <c r="F635" s="344" t="s">
        <v>342</v>
      </c>
      <c r="G635" s="344" t="s">
        <v>471</v>
      </c>
      <c r="H635" s="343">
        <v>960959</v>
      </c>
      <c r="I635" s="118"/>
      <c r="J635" s="344" t="s">
        <v>191</v>
      </c>
      <c r="K635" s="108">
        <v>128</v>
      </c>
      <c r="L635" s="82"/>
      <c r="M635" s="345">
        <f t="shared" si="94"/>
        <v>128</v>
      </c>
      <c r="N635" s="346">
        <f t="shared" si="95"/>
        <v>0</v>
      </c>
    </row>
    <row r="636" spans="1:14">
      <c r="A636" s="344" t="s">
        <v>691</v>
      </c>
      <c r="B636" s="344" t="s">
        <v>331</v>
      </c>
      <c r="C636" s="124">
        <v>44698</v>
      </c>
      <c r="D636" s="344">
        <v>992</v>
      </c>
      <c r="E636" s="344" t="s">
        <v>670</v>
      </c>
      <c r="F636" s="344" t="s">
        <v>342</v>
      </c>
      <c r="G636" s="344" t="s">
        <v>471</v>
      </c>
      <c r="H636" s="344">
        <v>960959</v>
      </c>
      <c r="I636" s="118"/>
      <c r="J636" s="344" t="s">
        <v>192</v>
      </c>
      <c r="K636" s="108">
        <v>222</v>
      </c>
      <c r="L636" s="82"/>
      <c r="M636" s="345">
        <f t="shared" si="94"/>
        <v>222</v>
      </c>
      <c r="N636" s="346">
        <f t="shared" si="95"/>
        <v>0</v>
      </c>
    </row>
    <row r="637" spans="1:14">
      <c r="A637" s="344" t="s">
        <v>691</v>
      </c>
      <c r="B637" s="344" t="s">
        <v>331</v>
      </c>
      <c r="C637" s="124">
        <v>44698</v>
      </c>
      <c r="D637" s="344">
        <v>992</v>
      </c>
      <c r="E637" s="344" t="s">
        <v>670</v>
      </c>
      <c r="F637" s="344" t="s">
        <v>342</v>
      </c>
      <c r="G637" s="344" t="s">
        <v>396</v>
      </c>
      <c r="H637" s="343">
        <v>698168</v>
      </c>
      <c r="I637" s="118"/>
      <c r="J637" s="344" t="s">
        <v>191</v>
      </c>
      <c r="K637" s="108">
        <v>73</v>
      </c>
      <c r="L637" s="82"/>
      <c r="M637" s="345">
        <f t="shared" si="94"/>
        <v>73</v>
      </c>
      <c r="N637" s="346">
        <f t="shared" si="95"/>
        <v>0</v>
      </c>
    </row>
    <row r="638" spans="1:14">
      <c r="A638" s="344" t="s">
        <v>691</v>
      </c>
      <c r="B638" s="344" t="s">
        <v>331</v>
      </c>
      <c r="C638" s="124">
        <v>44698</v>
      </c>
      <c r="D638" s="344">
        <v>992</v>
      </c>
      <c r="E638" s="344" t="s">
        <v>670</v>
      </c>
      <c r="F638" s="344" t="s">
        <v>342</v>
      </c>
      <c r="G638" s="344" t="s">
        <v>396</v>
      </c>
      <c r="H638" s="344">
        <v>698168</v>
      </c>
      <c r="I638" s="118"/>
      <c r="J638" s="344" t="s">
        <v>192</v>
      </c>
      <c r="K638" s="108">
        <v>127</v>
      </c>
      <c r="L638" s="82"/>
      <c r="M638" s="345">
        <f t="shared" si="94"/>
        <v>127</v>
      </c>
      <c r="N638" s="346">
        <f t="shared" si="95"/>
        <v>0</v>
      </c>
    </row>
    <row r="639" spans="1:14">
      <c r="A639" s="344" t="s">
        <v>691</v>
      </c>
      <c r="B639" s="344" t="s">
        <v>331</v>
      </c>
      <c r="C639" s="124">
        <v>44698</v>
      </c>
      <c r="D639" s="344">
        <v>992</v>
      </c>
      <c r="E639" s="344" t="s">
        <v>670</v>
      </c>
      <c r="F639" s="344" t="s">
        <v>342</v>
      </c>
      <c r="G639" s="344" t="s">
        <v>384</v>
      </c>
      <c r="H639" s="343">
        <v>957939</v>
      </c>
      <c r="I639" s="118"/>
      <c r="J639" s="344" t="s">
        <v>191</v>
      </c>
      <c r="K639" s="108">
        <v>55</v>
      </c>
      <c r="L639" s="82"/>
      <c r="M639" s="345">
        <f t="shared" si="94"/>
        <v>55</v>
      </c>
      <c r="N639" s="346">
        <f t="shared" si="95"/>
        <v>0</v>
      </c>
    </row>
    <row r="640" spans="1:14">
      <c r="A640" s="344" t="s">
        <v>691</v>
      </c>
      <c r="B640" s="344" t="s">
        <v>331</v>
      </c>
      <c r="C640" s="124">
        <v>44698</v>
      </c>
      <c r="D640" s="344">
        <v>992</v>
      </c>
      <c r="E640" s="344" t="s">
        <v>670</v>
      </c>
      <c r="F640" s="344" t="s">
        <v>342</v>
      </c>
      <c r="G640" s="344" t="s">
        <v>384</v>
      </c>
      <c r="H640" s="344">
        <v>957939</v>
      </c>
      <c r="I640" s="118"/>
      <c r="J640" s="344" t="s">
        <v>192</v>
      </c>
      <c r="K640" s="108">
        <v>95</v>
      </c>
      <c r="L640" s="82"/>
      <c r="M640" s="345">
        <f t="shared" si="94"/>
        <v>95</v>
      </c>
      <c r="N640" s="346">
        <f t="shared" si="95"/>
        <v>0</v>
      </c>
    </row>
    <row r="641" spans="1:14">
      <c r="A641" s="344" t="s">
        <v>691</v>
      </c>
      <c r="B641" s="344" t="s">
        <v>331</v>
      </c>
      <c r="C641" s="124">
        <v>44698</v>
      </c>
      <c r="D641" s="344">
        <v>992</v>
      </c>
      <c r="E641" s="344" t="s">
        <v>670</v>
      </c>
      <c r="F641" s="344" t="s">
        <v>342</v>
      </c>
      <c r="G641" s="344" t="s">
        <v>427</v>
      </c>
      <c r="H641" s="343">
        <v>966577</v>
      </c>
      <c r="I641" s="118"/>
      <c r="J641" s="344" t="s">
        <v>191</v>
      </c>
      <c r="K641" s="108">
        <v>73</v>
      </c>
      <c r="L641" s="82"/>
      <c r="M641" s="345">
        <f t="shared" si="94"/>
        <v>73</v>
      </c>
      <c r="N641" s="346">
        <f t="shared" si="95"/>
        <v>0</v>
      </c>
    </row>
    <row r="642" spans="1:14">
      <c r="A642" s="344" t="s">
        <v>691</v>
      </c>
      <c r="B642" s="344" t="s">
        <v>331</v>
      </c>
      <c r="C642" s="124">
        <v>44698</v>
      </c>
      <c r="D642" s="344">
        <v>992</v>
      </c>
      <c r="E642" s="344" t="s">
        <v>670</v>
      </c>
      <c r="F642" s="344" t="s">
        <v>342</v>
      </c>
      <c r="G642" s="344" t="s">
        <v>427</v>
      </c>
      <c r="H642" s="344">
        <v>966577</v>
      </c>
      <c r="I642" s="118"/>
      <c r="J642" s="344" t="s">
        <v>192</v>
      </c>
      <c r="K642" s="108">
        <v>127</v>
      </c>
      <c r="L642" s="82"/>
      <c r="M642" s="345">
        <f t="shared" si="94"/>
        <v>127</v>
      </c>
      <c r="N642" s="346">
        <f t="shared" si="95"/>
        <v>0</v>
      </c>
    </row>
    <row r="643" spans="1:14">
      <c r="A643" s="344" t="s">
        <v>691</v>
      </c>
      <c r="B643" s="344" t="s">
        <v>331</v>
      </c>
      <c r="C643" s="124">
        <v>44698</v>
      </c>
      <c r="D643" s="344">
        <v>992</v>
      </c>
      <c r="E643" s="344" t="s">
        <v>670</v>
      </c>
      <c r="F643" s="344" t="s">
        <v>342</v>
      </c>
      <c r="G643" s="344" t="s">
        <v>430</v>
      </c>
      <c r="H643" s="343">
        <v>967435</v>
      </c>
      <c r="I643" s="118"/>
      <c r="J643" s="344" t="s">
        <v>191</v>
      </c>
      <c r="K643" s="108">
        <v>91</v>
      </c>
      <c r="L643" s="82"/>
      <c r="M643" s="345">
        <f t="shared" si="94"/>
        <v>91</v>
      </c>
      <c r="N643" s="346">
        <f t="shared" si="95"/>
        <v>0</v>
      </c>
    </row>
    <row r="644" spans="1:14">
      <c r="A644" s="344" t="s">
        <v>691</v>
      </c>
      <c r="B644" s="344" t="s">
        <v>331</v>
      </c>
      <c r="C644" s="124">
        <v>44698</v>
      </c>
      <c r="D644" s="344">
        <v>992</v>
      </c>
      <c r="E644" s="344" t="s">
        <v>670</v>
      </c>
      <c r="F644" s="344" t="s">
        <v>342</v>
      </c>
      <c r="G644" s="344" t="s">
        <v>430</v>
      </c>
      <c r="H644" s="344">
        <v>967435</v>
      </c>
      <c r="I644" s="118"/>
      <c r="J644" s="344" t="s">
        <v>192</v>
      </c>
      <c r="K644" s="108">
        <v>159</v>
      </c>
      <c r="L644" s="82"/>
      <c r="M644" s="345">
        <f t="shared" si="94"/>
        <v>159</v>
      </c>
      <c r="N644" s="346">
        <f t="shared" si="95"/>
        <v>0</v>
      </c>
    </row>
    <row r="645" spans="1:14">
      <c r="A645" s="344" t="s">
        <v>691</v>
      </c>
      <c r="B645" s="344" t="s">
        <v>331</v>
      </c>
      <c r="C645" s="124">
        <v>44698</v>
      </c>
      <c r="D645" s="344">
        <v>992</v>
      </c>
      <c r="E645" s="344" t="s">
        <v>670</v>
      </c>
      <c r="F645" s="344" t="s">
        <v>342</v>
      </c>
      <c r="G645" s="344" t="s">
        <v>751</v>
      </c>
      <c r="H645" s="343">
        <v>5592</v>
      </c>
      <c r="I645" s="118"/>
      <c r="J645" s="344" t="s">
        <v>191</v>
      </c>
      <c r="K645" s="108">
        <v>91</v>
      </c>
      <c r="L645" s="82"/>
      <c r="M645" s="345">
        <f t="shared" si="94"/>
        <v>91</v>
      </c>
      <c r="N645" s="346">
        <f t="shared" si="95"/>
        <v>0</v>
      </c>
    </row>
    <row r="646" spans="1:14">
      <c r="A646" s="344" t="s">
        <v>691</v>
      </c>
      <c r="B646" s="344" t="s">
        <v>331</v>
      </c>
      <c r="C646" s="124">
        <v>44698</v>
      </c>
      <c r="D646" s="344">
        <v>992</v>
      </c>
      <c r="E646" s="344" t="s">
        <v>670</v>
      </c>
      <c r="F646" s="344" t="s">
        <v>342</v>
      </c>
      <c r="G646" s="344" t="s">
        <v>751</v>
      </c>
      <c r="H646" s="344">
        <v>5592</v>
      </c>
      <c r="I646" s="118"/>
      <c r="J646" s="344" t="s">
        <v>192</v>
      </c>
      <c r="K646" s="108">
        <v>159</v>
      </c>
      <c r="L646" s="82"/>
      <c r="M646" s="345">
        <f t="shared" si="94"/>
        <v>159</v>
      </c>
      <c r="N646" s="346">
        <f t="shared" si="95"/>
        <v>0</v>
      </c>
    </row>
    <row r="647" spans="1:14">
      <c r="A647" s="344" t="s">
        <v>691</v>
      </c>
      <c r="B647" s="344" t="s">
        <v>331</v>
      </c>
      <c r="C647" s="124">
        <v>44698</v>
      </c>
      <c r="D647" s="344">
        <v>992</v>
      </c>
      <c r="E647" s="344" t="s">
        <v>670</v>
      </c>
      <c r="F647" s="344" t="s">
        <v>342</v>
      </c>
      <c r="G647" s="344" t="s">
        <v>421</v>
      </c>
      <c r="H647" s="343">
        <v>952296</v>
      </c>
      <c r="I647" s="118"/>
      <c r="J647" s="344" t="s">
        <v>191</v>
      </c>
      <c r="K647" s="108">
        <v>91</v>
      </c>
      <c r="L647" s="82"/>
      <c r="M647" s="345">
        <f t="shared" si="94"/>
        <v>91</v>
      </c>
      <c r="N647" s="346">
        <f t="shared" si="95"/>
        <v>0</v>
      </c>
    </row>
    <row r="648" spans="1:14">
      <c r="A648" s="344" t="s">
        <v>691</v>
      </c>
      <c r="B648" s="344" t="s">
        <v>331</v>
      </c>
      <c r="C648" s="124">
        <v>44698</v>
      </c>
      <c r="D648" s="344">
        <v>992</v>
      </c>
      <c r="E648" s="344" t="s">
        <v>670</v>
      </c>
      <c r="F648" s="344" t="s">
        <v>342</v>
      </c>
      <c r="G648" s="344" t="s">
        <v>421</v>
      </c>
      <c r="H648" s="344">
        <v>952296</v>
      </c>
      <c r="I648" s="118"/>
      <c r="J648" s="344" t="s">
        <v>192</v>
      </c>
      <c r="K648" s="108">
        <v>159</v>
      </c>
      <c r="L648" s="82"/>
      <c r="M648" s="345">
        <f t="shared" si="94"/>
        <v>159</v>
      </c>
      <c r="N648" s="346">
        <f t="shared" si="95"/>
        <v>0</v>
      </c>
    </row>
    <row r="649" spans="1:14">
      <c r="A649" s="344" t="s">
        <v>691</v>
      </c>
      <c r="B649" s="344" t="s">
        <v>331</v>
      </c>
      <c r="C649" s="124">
        <v>44698</v>
      </c>
      <c r="D649" s="344">
        <v>992</v>
      </c>
      <c r="E649" s="344" t="s">
        <v>670</v>
      </c>
      <c r="F649" s="344" t="s">
        <v>342</v>
      </c>
      <c r="G649" s="344" t="s">
        <v>357</v>
      </c>
      <c r="H649" s="343">
        <v>30822</v>
      </c>
      <c r="I649" s="118"/>
      <c r="J649" s="344" t="s">
        <v>191</v>
      </c>
      <c r="K649" s="108">
        <v>88</v>
      </c>
      <c r="L649" s="82"/>
      <c r="M649" s="345">
        <f t="shared" si="94"/>
        <v>88</v>
      </c>
      <c r="N649" s="346">
        <f t="shared" si="95"/>
        <v>0</v>
      </c>
    </row>
    <row r="650" spans="1:14">
      <c r="A650" s="344" t="s">
        <v>691</v>
      </c>
      <c r="B650" s="344" t="s">
        <v>331</v>
      </c>
      <c r="C650" s="124">
        <v>44698</v>
      </c>
      <c r="D650" s="344">
        <v>992</v>
      </c>
      <c r="E650" s="344" t="s">
        <v>670</v>
      </c>
      <c r="F650" s="344" t="s">
        <v>342</v>
      </c>
      <c r="G650" s="344" t="s">
        <v>357</v>
      </c>
      <c r="H650" s="344">
        <v>30822</v>
      </c>
      <c r="I650" s="118"/>
      <c r="J650" s="344" t="s">
        <v>192</v>
      </c>
      <c r="K650" s="108">
        <v>152</v>
      </c>
      <c r="L650" s="82"/>
      <c r="M650" s="345">
        <f t="shared" si="94"/>
        <v>152</v>
      </c>
      <c r="N650" s="346">
        <f t="shared" si="95"/>
        <v>0</v>
      </c>
    </row>
    <row r="651" spans="1:14">
      <c r="A651" s="344" t="s">
        <v>691</v>
      </c>
      <c r="B651" s="344" t="s">
        <v>331</v>
      </c>
      <c r="C651" s="124">
        <v>44698</v>
      </c>
      <c r="D651" s="344">
        <v>992</v>
      </c>
      <c r="E651" s="344" t="s">
        <v>670</v>
      </c>
      <c r="F651" s="344" t="s">
        <v>342</v>
      </c>
      <c r="G651" s="344" t="s">
        <v>445</v>
      </c>
      <c r="H651" s="343">
        <v>959986</v>
      </c>
      <c r="I651" s="118"/>
      <c r="J651" s="344" t="s">
        <v>191</v>
      </c>
      <c r="K651" s="108">
        <v>73</v>
      </c>
      <c r="L651" s="82"/>
      <c r="M651" s="345">
        <f t="shared" si="94"/>
        <v>73</v>
      </c>
      <c r="N651" s="346">
        <f t="shared" si="95"/>
        <v>0</v>
      </c>
    </row>
    <row r="652" spans="1:14">
      <c r="A652" s="344" t="s">
        <v>691</v>
      </c>
      <c r="B652" s="344" t="s">
        <v>331</v>
      </c>
      <c r="C652" s="124">
        <v>44698</v>
      </c>
      <c r="D652" s="344">
        <v>992</v>
      </c>
      <c r="E652" s="344" t="s">
        <v>670</v>
      </c>
      <c r="F652" s="344" t="s">
        <v>342</v>
      </c>
      <c r="G652" s="344" t="s">
        <v>445</v>
      </c>
      <c r="H652" s="344">
        <v>959986</v>
      </c>
      <c r="I652" s="118"/>
      <c r="J652" s="344" t="s">
        <v>192</v>
      </c>
      <c r="K652" s="108">
        <v>127</v>
      </c>
      <c r="L652" s="82"/>
      <c r="M652" s="345">
        <f t="shared" si="94"/>
        <v>127</v>
      </c>
      <c r="N652" s="346">
        <f t="shared" si="95"/>
        <v>0</v>
      </c>
    </row>
    <row r="653" spans="1:14">
      <c r="A653" s="344" t="s">
        <v>691</v>
      </c>
      <c r="B653" s="344" t="s">
        <v>331</v>
      </c>
      <c r="C653" s="124">
        <v>44698</v>
      </c>
      <c r="D653" s="344">
        <v>992</v>
      </c>
      <c r="E653" s="344" t="s">
        <v>670</v>
      </c>
      <c r="F653" s="344" t="s">
        <v>342</v>
      </c>
      <c r="G653" s="344" t="s">
        <v>470</v>
      </c>
      <c r="H653" s="343">
        <v>959366</v>
      </c>
      <c r="I653" s="118"/>
      <c r="J653" s="344" t="s">
        <v>191</v>
      </c>
      <c r="K653" s="108">
        <v>73</v>
      </c>
      <c r="L653" s="82"/>
      <c r="M653" s="345">
        <f t="shared" si="94"/>
        <v>73</v>
      </c>
      <c r="N653" s="346">
        <f t="shared" si="95"/>
        <v>0</v>
      </c>
    </row>
    <row r="654" spans="1:14">
      <c r="A654" s="344" t="s">
        <v>691</v>
      </c>
      <c r="B654" s="344" t="s">
        <v>331</v>
      </c>
      <c r="C654" s="124">
        <v>44698</v>
      </c>
      <c r="D654" s="344">
        <v>992</v>
      </c>
      <c r="E654" s="344" t="s">
        <v>670</v>
      </c>
      <c r="F654" s="344" t="s">
        <v>342</v>
      </c>
      <c r="G654" s="344" t="s">
        <v>470</v>
      </c>
      <c r="H654" s="344">
        <v>959366</v>
      </c>
      <c r="I654" s="118"/>
      <c r="J654" s="344" t="s">
        <v>192</v>
      </c>
      <c r="K654" s="108">
        <v>127</v>
      </c>
      <c r="L654" s="82"/>
      <c r="M654" s="345">
        <f t="shared" si="94"/>
        <v>127</v>
      </c>
      <c r="N654" s="346">
        <f t="shared" si="95"/>
        <v>0</v>
      </c>
    </row>
    <row r="655" spans="1:14">
      <c r="A655" s="344" t="s">
        <v>691</v>
      </c>
      <c r="B655" s="344" t="s">
        <v>331</v>
      </c>
      <c r="C655" s="124">
        <v>44698</v>
      </c>
      <c r="D655" s="344">
        <v>992</v>
      </c>
      <c r="E655" s="344" t="s">
        <v>670</v>
      </c>
      <c r="F655" s="344" t="s">
        <v>342</v>
      </c>
      <c r="G655" s="344" t="s">
        <v>467</v>
      </c>
      <c r="H655" s="343">
        <v>959987</v>
      </c>
      <c r="I655" s="118"/>
      <c r="J655" s="344" t="s">
        <v>191</v>
      </c>
      <c r="K655" s="108">
        <v>73</v>
      </c>
      <c r="L655" s="82"/>
      <c r="M655" s="345">
        <f t="shared" si="94"/>
        <v>73</v>
      </c>
      <c r="N655" s="346">
        <f t="shared" si="95"/>
        <v>0</v>
      </c>
    </row>
    <row r="656" spans="1:14">
      <c r="A656" s="344" t="s">
        <v>691</v>
      </c>
      <c r="B656" s="344" t="s">
        <v>331</v>
      </c>
      <c r="C656" s="124">
        <v>44698</v>
      </c>
      <c r="D656" s="344">
        <v>992</v>
      </c>
      <c r="E656" s="344" t="s">
        <v>670</v>
      </c>
      <c r="F656" s="344" t="s">
        <v>342</v>
      </c>
      <c r="G656" s="344" t="s">
        <v>467</v>
      </c>
      <c r="H656" s="344">
        <v>959987</v>
      </c>
      <c r="I656" s="118"/>
      <c r="J656" s="344" t="s">
        <v>192</v>
      </c>
      <c r="K656" s="108">
        <v>127</v>
      </c>
      <c r="L656" s="82"/>
      <c r="M656" s="345">
        <f t="shared" si="94"/>
        <v>127</v>
      </c>
      <c r="N656" s="346">
        <f t="shared" si="95"/>
        <v>0</v>
      </c>
    </row>
    <row r="657" spans="1:14">
      <c r="A657" s="344" t="s">
        <v>691</v>
      </c>
      <c r="B657" s="344" t="s">
        <v>331</v>
      </c>
      <c r="C657" s="124">
        <v>44698</v>
      </c>
      <c r="D657" s="344">
        <v>992</v>
      </c>
      <c r="E657" s="344" t="s">
        <v>670</v>
      </c>
      <c r="F657" s="344" t="s">
        <v>342</v>
      </c>
      <c r="G657" s="344" t="s">
        <v>443</v>
      </c>
      <c r="H657" s="343">
        <v>967393</v>
      </c>
      <c r="I657" s="118"/>
      <c r="J657" s="344" t="s">
        <v>191</v>
      </c>
      <c r="K657" s="108">
        <v>73</v>
      </c>
      <c r="L657" s="82"/>
      <c r="M657" s="345">
        <f t="shared" si="94"/>
        <v>73</v>
      </c>
      <c r="N657" s="346">
        <f t="shared" si="95"/>
        <v>0</v>
      </c>
    </row>
    <row r="658" spans="1:14">
      <c r="A658" s="344" t="s">
        <v>691</v>
      </c>
      <c r="B658" s="344" t="s">
        <v>331</v>
      </c>
      <c r="C658" s="124">
        <v>44698</v>
      </c>
      <c r="D658" s="344">
        <v>992</v>
      </c>
      <c r="E658" s="344" t="s">
        <v>670</v>
      </c>
      <c r="F658" s="344" t="s">
        <v>342</v>
      </c>
      <c r="G658" s="344" t="s">
        <v>443</v>
      </c>
      <c r="H658" s="344">
        <v>967393</v>
      </c>
      <c r="I658" s="118"/>
      <c r="J658" s="344" t="s">
        <v>192</v>
      </c>
      <c r="K658" s="108">
        <v>127</v>
      </c>
      <c r="L658" s="82"/>
      <c r="M658" s="345">
        <f t="shared" si="94"/>
        <v>127</v>
      </c>
      <c r="N658" s="346">
        <f t="shared" si="95"/>
        <v>0</v>
      </c>
    </row>
    <row r="659" spans="1:14">
      <c r="A659" s="344" t="s">
        <v>691</v>
      </c>
      <c r="B659" s="344" t="s">
        <v>331</v>
      </c>
      <c r="C659" s="124">
        <v>44698</v>
      </c>
      <c r="D659" s="344">
        <v>992</v>
      </c>
      <c r="E659" s="344" t="s">
        <v>670</v>
      </c>
      <c r="F659" s="344" t="s">
        <v>342</v>
      </c>
      <c r="G659" s="344" t="s">
        <v>464</v>
      </c>
      <c r="H659" s="343">
        <v>968727</v>
      </c>
      <c r="I659" s="118"/>
      <c r="J659" s="344" t="s">
        <v>191</v>
      </c>
      <c r="K659" s="108">
        <v>73</v>
      </c>
      <c r="L659" s="82"/>
      <c r="M659" s="345">
        <f t="shared" si="94"/>
        <v>73</v>
      </c>
      <c r="N659" s="346">
        <f t="shared" si="95"/>
        <v>0</v>
      </c>
    </row>
    <row r="660" spans="1:14">
      <c r="A660" s="344" t="s">
        <v>691</v>
      </c>
      <c r="B660" s="344" t="s">
        <v>331</v>
      </c>
      <c r="C660" s="124">
        <v>44698</v>
      </c>
      <c r="D660" s="344">
        <v>992</v>
      </c>
      <c r="E660" s="344" t="s">
        <v>670</v>
      </c>
      <c r="F660" s="344" t="s">
        <v>342</v>
      </c>
      <c r="G660" s="344" t="s">
        <v>464</v>
      </c>
      <c r="H660" s="344">
        <v>968727</v>
      </c>
      <c r="I660" s="118"/>
      <c r="J660" s="344" t="s">
        <v>192</v>
      </c>
      <c r="K660" s="108">
        <v>127</v>
      </c>
      <c r="L660" s="82"/>
      <c r="M660" s="345">
        <f t="shared" si="94"/>
        <v>127</v>
      </c>
      <c r="N660" s="346">
        <f t="shared" si="95"/>
        <v>0</v>
      </c>
    </row>
    <row r="661" spans="1:14">
      <c r="A661" s="344" t="s">
        <v>752</v>
      </c>
      <c r="B661" s="344" t="s">
        <v>331</v>
      </c>
      <c r="C661" s="124">
        <v>44698</v>
      </c>
      <c r="D661" s="343">
        <v>993</v>
      </c>
      <c r="E661" s="344" t="s">
        <v>670</v>
      </c>
      <c r="F661" s="344" t="s">
        <v>342</v>
      </c>
      <c r="G661" s="344" t="s">
        <v>753</v>
      </c>
      <c r="H661" s="343">
        <v>965677</v>
      </c>
      <c r="I661" s="118"/>
      <c r="J661" s="344" t="s">
        <v>191</v>
      </c>
      <c r="K661" s="108">
        <v>93.322999999999993</v>
      </c>
      <c r="L661" s="82">
        <v>93.322999999999993</v>
      </c>
      <c r="M661" s="345">
        <f t="shared" ref="M661:M663" si="96">K661-L661</f>
        <v>0</v>
      </c>
      <c r="N661" s="346">
        <f t="shared" ref="N661:N663" si="97">L661/K661</f>
        <v>1</v>
      </c>
    </row>
    <row r="662" spans="1:14">
      <c r="A662" s="352" t="s">
        <v>756</v>
      </c>
      <c r="B662" s="352" t="s">
        <v>331</v>
      </c>
      <c r="C662" s="124">
        <v>44704</v>
      </c>
      <c r="D662" s="343">
        <v>49</v>
      </c>
      <c r="E662" s="352" t="s">
        <v>332</v>
      </c>
      <c r="F662" s="352" t="s">
        <v>333</v>
      </c>
      <c r="G662" s="352" t="s">
        <v>494</v>
      </c>
      <c r="H662" s="343">
        <v>960054</v>
      </c>
      <c r="I662" s="118"/>
      <c r="J662" s="352" t="s">
        <v>191</v>
      </c>
      <c r="K662" s="108">
        <v>10</v>
      </c>
      <c r="L662" s="82"/>
      <c r="M662" s="353">
        <f t="shared" si="96"/>
        <v>10</v>
      </c>
      <c r="N662" s="354">
        <f t="shared" si="97"/>
        <v>0</v>
      </c>
    </row>
    <row r="663" spans="1:14">
      <c r="A663" s="352" t="s">
        <v>756</v>
      </c>
      <c r="B663" s="352" t="s">
        <v>331</v>
      </c>
      <c r="C663" s="124">
        <v>44704</v>
      </c>
      <c r="D663" s="352">
        <v>49</v>
      </c>
      <c r="E663" s="352" t="s">
        <v>332</v>
      </c>
      <c r="F663" s="352" t="s">
        <v>333</v>
      </c>
      <c r="G663" s="352" t="s">
        <v>494</v>
      </c>
      <c r="H663" s="352">
        <v>960054</v>
      </c>
      <c r="I663" s="118"/>
      <c r="J663" s="352" t="s">
        <v>192</v>
      </c>
      <c r="K663" s="108">
        <v>90</v>
      </c>
      <c r="L663" s="82"/>
      <c r="M663" s="353">
        <f t="shared" si="96"/>
        <v>90</v>
      </c>
      <c r="N663" s="354">
        <f t="shared" si="97"/>
        <v>0</v>
      </c>
    </row>
    <row r="664" spans="1:14">
      <c r="A664" s="352" t="s">
        <v>656</v>
      </c>
      <c r="B664" s="352" t="s">
        <v>331</v>
      </c>
      <c r="C664" s="124">
        <v>44706</v>
      </c>
      <c r="D664" s="343">
        <v>52</v>
      </c>
      <c r="E664" s="352" t="s">
        <v>332</v>
      </c>
      <c r="F664" s="352" t="s">
        <v>333</v>
      </c>
      <c r="G664" s="352" t="s">
        <v>494</v>
      </c>
      <c r="H664" s="352">
        <v>960054</v>
      </c>
      <c r="I664" s="118"/>
      <c r="J664" s="352" t="s">
        <v>191</v>
      </c>
      <c r="K664" s="108">
        <v>20</v>
      </c>
      <c r="L664" s="82"/>
      <c r="M664" s="353">
        <f t="shared" ref="M664:M665" si="98">K664-L664</f>
        <v>20</v>
      </c>
      <c r="N664" s="354">
        <f t="shared" ref="N664:N665" si="99">L664/K664</f>
        <v>0</v>
      </c>
    </row>
    <row r="665" spans="1:14">
      <c r="A665" s="352" t="s">
        <v>656</v>
      </c>
      <c r="B665" s="352" t="s">
        <v>331</v>
      </c>
      <c r="C665" s="124">
        <v>44706</v>
      </c>
      <c r="D665" s="352">
        <v>52</v>
      </c>
      <c r="E665" s="352" t="s">
        <v>332</v>
      </c>
      <c r="F665" s="352" t="s">
        <v>333</v>
      </c>
      <c r="G665" s="352" t="s">
        <v>494</v>
      </c>
      <c r="H665" s="352">
        <v>960054</v>
      </c>
      <c r="I665" s="118"/>
      <c r="J665" s="352" t="s">
        <v>192</v>
      </c>
      <c r="K665" s="108">
        <v>80</v>
      </c>
      <c r="L665" s="82"/>
      <c r="M665" s="353">
        <f t="shared" si="98"/>
        <v>80</v>
      </c>
      <c r="N665" s="354">
        <f t="shared" si="99"/>
        <v>0</v>
      </c>
    </row>
    <row r="666" spans="1:14">
      <c r="A666" s="357" t="s">
        <v>658</v>
      </c>
      <c r="B666" s="357" t="s">
        <v>331</v>
      </c>
      <c r="C666" s="124">
        <v>44665</v>
      </c>
      <c r="D666" s="343">
        <v>745</v>
      </c>
      <c r="E666" s="357" t="s">
        <v>332</v>
      </c>
      <c r="F666" s="357" t="s">
        <v>333</v>
      </c>
      <c r="G666" s="357" t="s">
        <v>385</v>
      </c>
      <c r="H666" s="343">
        <v>698133</v>
      </c>
      <c r="I666" s="118"/>
      <c r="J666" s="357" t="s">
        <v>191</v>
      </c>
      <c r="K666" s="108">
        <v>200</v>
      </c>
      <c r="L666" s="82">
        <v>4.5110000000000001</v>
      </c>
      <c r="M666" s="358">
        <f t="shared" ref="M666:M667" si="100">K666-L666</f>
        <v>195.489</v>
      </c>
      <c r="N666" s="360">
        <f t="shared" ref="N666:N667" si="101">L666/K666</f>
        <v>2.2555000000000002E-2</v>
      </c>
    </row>
    <row r="667" spans="1:14">
      <c r="A667" s="357" t="s">
        <v>658</v>
      </c>
      <c r="B667" s="357" t="s">
        <v>331</v>
      </c>
      <c r="C667" s="124">
        <v>44665</v>
      </c>
      <c r="D667" s="357">
        <v>745</v>
      </c>
      <c r="E667" s="357" t="s">
        <v>332</v>
      </c>
      <c r="F667" s="357" t="s">
        <v>333</v>
      </c>
      <c r="G667" s="357" t="s">
        <v>385</v>
      </c>
      <c r="H667" s="357">
        <v>698133</v>
      </c>
      <c r="I667" s="118"/>
      <c r="J667" s="357" t="s">
        <v>192</v>
      </c>
      <c r="K667" s="108">
        <v>300</v>
      </c>
      <c r="L667" s="82">
        <v>45.439</v>
      </c>
      <c r="M667" s="358">
        <f t="shared" si="100"/>
        <v>254.56100000000001</v>
      </c>
      <c r="N667" s="360">
        <f t="shared" si="101"/>
        <v>0.15146333333333334</v>
      </c>
    </row>
    <row r="668" spans="1:14">
      <c r="A668" s="357" t="s">
        <v>584</v>
      </c>
      <c r="B668" s="357" t="s">
        <v>331</v>
      </c>
      <c r="C668" s="124">
        <v>44715</v>
      </c>
      <c r="D668" s="343">
        <v>53</v>
      </c>
      <c r="E668" s="357" t="s">
        <v>332</v>
      </c>
      <c r="F668" s="357" t="s">
        <v>333</v>
      </c>
      <c r="G668" s="357" t="s">
        <v>588</v>
      </c>
      <c r="H668" s="343">
        <v>964054</v>
      </c>
      <c r="I668" s="118"/>
      <c r="J668" s="357" t="s">
        <v>191</v>
      </c>
      <c r="K668" s="108">
        <v>50</v>
      </c>
      <c r="L668" s="82"/>
      <c r="M668" s="358">
        <f t="shared" ref="M668:M669" si="102">K668-L668</f>
        <v>50</v>
      </c>
      <c r="N668" s="360">
        <f t="shared" ref="N668:N669" si="103">L668/K668</f>
        <v>0</v>
      </c>
    </row>
    <row r="669" spans="1:14">
      <c r="A669" s="357" t="s">
        <v>584</v>
      </c>
      <c r="B669" s="357" t="s">
        <v>331</v>
      </c>
      <c r="C669" s="124">
        <v>44715</v>
      </c>
      <c r="D669" s="357">
        <v>53</v>
      </c>
      <c r="E669" s="357" t="s">
        <v>332</v>
      </c>
      <c r="F669" s="357" t="s">
        <v>333</v>
      </c>
      <c r="G669" s="357" t="s">
        <v>588</v>
      </c>
      <c r="H669" s="357">
        <v>964054</v>
      </c>
      <c r="I669" s="118"/>
      <c r="J669" s="357" t="s">
        <v>192</v>
      </c>
      <c r="K669" s="108">
        <v>300</v>
      </c>
      <c r="L669" s="82"/>
      <c r="M669" s="358">
        <f t="shared" si="102"/>
        <v>300</v>
      </c>
      <c r="N669" s="360">
        <f t="shared" si="103"/>
        <v>0</v>
      </c>
    </row>
    <row r="670" spans="1:14">
      <c r="A670" s="361" t="s">
        <v>760</v>
      </c>
      <c r="B670" s="361" t="s">
        <v>331</v>
      </c>
      <c r="C670" s="124">
        <v>44720</v>
      </c>
      <c r="D670" s="343">
        <v>1177</v>
      </c>
      <c r="E670" s="361" t="s">
        <v>670</v>
      </c>
      <c r="F670" s="361" t="s">
        <v>342</v>
      </c>
      <c r="G670" s="361" t="s">
        <v>393</v>
      </c>
      <c r="H670" s="343">
        <v>962795</v>
      </c>
      <c r="I670" s="118"/>
      <c r="J670" s="361" t="s">
        <v>191</v>
      </c>
      <c r="K670" s="108">
        <v>20</v>
      </c>
      <c r="L670" s="82">
        <v>117.197</v>
      </c>
      <c r="M670" s="362">
        <f t="shared" ref="M670:M671" si="104">K670-L670</f>
        <v>-97.197000000000003</v>
      </c>
      <c r="N670" s="363">
        <f t="shared" ref="N670:N671" si="105">L670/K670</f>
        <v>5.8598499999999998</v>
      </c>
    </row>
    <row r="671" spans="1:14">
      <c r="A671" s="361" t="s">
        <v>760</v>
      </c>
      <c r="B671" s="361" t="s">
        <v>331</v>
      </c>
      <c r="C671" s="124">
        <v>44720</v>
      </c>
      <c r="D671" s="361">
        <v>1177</v>
      </c>
      <c r="E671" s="361" t="s">
        <v>670</v>
      </c>
      <c r="F671" s="361" t="s">
        <v>342</v>
      </c>
      <c r="G671" s="361" t="s">
        <v>393</v>
      </c>
      <c r="H671" s="361">
        <v>962795</v>
      </c>
      <c r="I671" s="118"/>
      <c r="J671" s="361" t="s">
        <v>192</v>
      </c>
      <c r="K671" s="108">
        <v>130</v>
      </c>
      <c r="L671" s="82">
        <v>32.802999999999997</v>
      </c>
      <c r="M671" s="362">
        <f t="shared" si="104"/>
        <v>97.197000000000003</v>
      </c>
      <c r="N671" s="363">
        <f t="shared" si="105"/>
        <v>0.25233076923076919</v>
      </c>
    </row>
    <row r="672" spans="1:14">
      <c r="A672" s="361" t="s">
        <v>760</v>
      </c>
      <c r="B672" s="361" t="s">
        <v>331</v>
      </c>
      <c r="C672" s="124">
        <v>44720</v>
      </c>
      <c r="D672" s="361">
        <v>1177</v>
      </c>
      <c r="E672" s="361" t="s">
        <v>670</v>
      </c>
      <c r="F672" s="361" t="s">
        <v>342</v>
      </c>
      <c r="G672" s="361" t="s">
        <v>494</v>
      </c>
      <c r="H672" s="343">
        <v>960054</v>
      </c>
      <c r="I672" s="118"/>
      <c r="J672" s="361" t="s">
        <v>191</v>
      </c>
      <c r="K672" s="108">
        <v>20</v>
      </c>
      <c r="L672" s="82"/>
      <c r="M672" s="362">
        <f t="shared" ref="M672:M677" si="106">K672-L672</f>
        <v>20</v>
      </c>
      <c r="N672" s="363">
        <f t="shared" ref="N672:N677" si="107">L672/K672</f>
        <v>0</v>
      </c>
    </row>
    <row r="673" spans="1:14">
      <c r="A673" s="361" t="s">
        <v>760</v>
      </c>
      <c r="B673" s="361" t="s">
        <v>331</v>
      </c>
      <c r="C673" s="124">
        <v>44720</v>
      </c>
      <c r="D673" s="361">
        <v>1177</v>
      </c>
      <c r="E673" s="361" t="s">
        <v>670</v>
      </c>
      <c r="F673" s="361" t="s">
        <v>342</v>
      </c>
      <c r="G673" s="361" t="s">
        <v>494</v>
      </c>
      <c r="H673" s="361">
        <v>960054</v>
      </c>
      <c r="I673" s="118"/>
      <c r="J673" s="361" t="s">
        <v>192</v>
      </c>
      <c r="K673" s="108">
        <v>90</v>
      </c>
      <c r="L673" s="82"/>
      <c r="M673" s="362">
        <f t="shared" si="106"/>
        <v>90</v>
      </c>
      <c r="N673" s="363">
        <f t="shared" si="107"/>
        <v>0</v>
      </c>
    </row>
    <row r="674" spans="1:14">
      <c r="A674" s="361" t="s">
        <v>760</v>
      </c>
      <c r="B674" s="361" t="s">
        <v>331</v>
      </c>
      <c r="C674" s="124">
        <v>44720</v>
      </c>
      <c r="D674" s="361">
        <v>1177</v>
      </c>
      <c r="E674" s="361" t="s">
        <v>670</v>
      </c>
      <c r="F674" s="361" t="s">
        <v>342</v>
      </c>
      <c r="G674" s="361" t="s">
        <v>761</v>
      </c>
      <c r="H674" s="343">
        <v>924619</v>
      </c>
      <c r="I674" s="118"/>
      <c r="J674" s="361" t="s">
        <v>191</v>
      </c>
      <c r="K674" s="108">
        <v>20</v>
      </c>
      <c r="L674" s="82"/>
      <c r="M674" s="362">
        <f t="shared" si="106"/>
        <v>20</v>
      </c>
      <c r="N674" s="363">
        <f t="shared" si="107"/>
        <v>0</v>
      </c>
    </row>
    <row r="675" spans="1:14">
      <c r="A675" s="361" t="s">
        <v>760</v>
      </c>
      <c r="B675" s="361" t="s">
        <v>331</v>
      </c>
      <c r="C675" s="124">
        <v>44720</v>
      </c>
      <c r="D675" s="361">
        <v>1177</v>
      </c>
      <c r="E675" s="361" t="s">
        <v>670</v>
      </c>
      <c r="F675" s="361" t="s">
        <v>342</v>
      </c>
      <c r="G675" s="361" t="s">
        <v>761</v>
      </c>
      <c r="H675" s="361">
        <v>924619</v>
      </c>
      <c r="I675" s="118"/>
      <c r="J675" s="361" t="s">
        <v>192</v>
      </c>
      <c r="K675" s="108">
        <v>130</v>
      </c>
      <c r="L675" s="82"/>
      <c r="M675" s="362">
        <f t="shared" si="106"/>
        <v>130</v>
      </c>
      <c r="N675" s="363">
        <f t="shared" si="107"/>
        <v>0</v>
      </c>
    </row>
    <row r="676" spans="1:14">
      <c r="A676" s="361" t="s">
        <v>760</v>
      </c>
      <c r="B676" s="361" t="s">
        <v>331</v>
      </c>
      <c r="C676" s="124">
        <v>44720</v>
      </c>
      <c r="D676" s="361">
        <v>1177</v>
      </c>
      <c r="E676" s="361" t="s">
        <v>670</v>
      </c>
      <c r="F676" s="361" t="s">
        <v>342</v>
      </c>
      <c r="G676" s="361" t="s">
        <v>593</v>
      </c>
      <c r="H676" s="343">
        <v>966342</v>
      </c>
      <c r="I676" s="118"/>
      <c r="J676" s="361" t="s">
        <v>191</v>
      </c>
      <c r="K676" s="108">
        <v>30</v>
      </c>
      <c r="L676" s="82"/>
      <c r="M676" s="362">
        <f t="shared" si="106"/>
        <v>30</v>
      </c>
      <c r="N676" s="363">
        <f t="shared" si="107"/>
        <v>0</v>
      </c>
    </row>
    <row r="677" spans="1:14">
      <c r="A677" s="361" t="s">
        <v>760</v>
      </c>
      <c r="B677" s="361" t="s">
        <v>331</v>
      </c>
      <c r="C677" s="124">
        <v>44720</v>
      </c>
      <c r="D677" s="361">
        <v>1177</v>
      </c>
      <c r="E677" s="361" t="s">
        <v>670</v>
      </c>
      <c r="F677" s="361" t="s">
        <v>342</v>
      </c>
      <c r="G677" s="361" t="s">
        <v>593</v>
      </c>
      <c r="H677" s="361">
        <v>966342</v>
      </c>
      <c r="I677" s="118"/>
      <c r="J677" s="361" t="s">
        <v>192</v>
      </c>
      <c r="K677" s="108">
        <v>80</v>
      </c>
      <c r="L677" s="82"/>
      <c r="M677" s="362">
        <f t="shared" si="106"/>
        <v>80</v>
      </c>
      <c r="N677" s="363">
        <f t="shared" si="107"/>
        <v>0</v>
      </c>
    </row>
    <row r="678" spans="1:14">
      <c r="A678" s="361" t="s">
        <v>760</v>
      </c>
      <c r="B678" s="361" t="s">
        <v>335</v>
      </c>
      <c r="C678" s="124">
        <v>44720</v>
      </c>
      <c r="D678" s="361">
        <v>1177</v>
      </c>
      <c r="E678" s="361" t="s">
        <v>670</v>
      </c>
      <c r="F678" s="361" t="s">
        <v>342</v>
      </c>
      <c r="G678" s="361" t="s">
        <v>473</v>
      </c>
      <c r="H678" s="343">
        <v>967596</v>
      </c>
      <c r="I678" s="118"/>
      <c r="J678" s="361" t="s">
        <v>191</v>
      </c>
      <c r="K678" s="560">
        <v>60</v>
      </c>
      <c r="L678" s="82">
        <v>20</v>
      </c>
      <c r="M678" s="562">
        <f>K678-(L678+L679+L680)</f>
        <v>-48.613</v>
      </c>
      <c r="N678" s="564">
        <f>(L678+L679+L680)/K678</f>
        <v>1.8102166666666666</v>
      </c>
    </row>
    <row r="679" spans="1:14">
      <c r="A679" s="361" t="s">
        <v>760</v>
      </c>
      <c r="B679" s="361" t="s">
        <v>335</v>
      </c>
      <c r="C679" s="124">
        <v>44720</v>
      </c>
      <c r="D679" s="361">
        <v>1177</v>
      </c>
      <c r="E679" s="361" t="s">
        <v>670</v>
      </c>
      <c r="F679" s="361" t="s">
        <v>342</v>
      </c>
      <c r="G679" s="361" t="s">
        <v>472</v>
      </c>
      <c r="H679" s="343">
        <v>964441</v>
      </c>
      <c r="I679" s="118"/>
      <c r="J679" s="361" t="s">
        <v>191</v>
      </c>
      <c r="K679" s="566"/>
      <c r="L679" s="82">
        <v>68.613</v>
      </c>
      <c r="M679" s="567"/>
      <c r="N679" s="568"/>
    </row>
    <row r="680" spans="1:14">
      <c r="A680" s="361" t="s">
        <v>760</v>
      </c>
      <c r="B680" s="361" t="s">
        <v>335</v>
      </c>
      <c r="C680" s="124">
        <v>44720</v>
      </c>
      <c r="D680" s="361">
        <v>1177</v>
      </c>
      <c r="E680" s="361" t="s">
        <v>670</v>
      </c>
      <c r="F680" s="361" t="s">
        <v>342</v>
      </c>
      <c r="G680" s="361" t="s">
        <v>474</v>
      </c>
      <c r="H680" s="343">
        <v>969257</v>
      </c>
      <c r="I680" s="118"/>
      <c r="J680" s="361" t="s">
        <v>191</v>
      </c>
      <c r="K680" s="561"/>
      <c r="L680" s="82">
        <v>20</v>
      </c>
      <c r="M680" s="563"/>
      <c r="N680" s="565"/>
    </row>
    <row r="681" spans="1:14">
      <c r="A681" s="361" t="s">
        <v>760</v>
      </c>
      <c r="B681" s="361" t="s">
        <v>335</v>
      </c>
      <c r="C681" s="124">
        <v>44720</v>
      </c>
      <c r="D681" s="361">
        <v>1177</v>
      </c>
      <c r="E681" s="361" t="s">
        <v>670</v>
      </c>
      <c r="F681" s="361" t="s">
        <v>342</v>
      </c>
      <c r="G681" s="361" t="s">
        <v>473</v>
      </c>
      <c r="H681" s="361">
        <v>967596</v>
      </c>
      <c r="I681" s="118"/>
      <c r="J681" s="361" t="s">
        <v>192</v>
      </c>
      <c r="K681" s="560">
        <v>450</v>
      </c>
      <c r="L681" s="82">
        <v>65.097999999999999</v>
      </c>
      <c r="M681" s="562">
        <f>K681-(L681+L682+L683)</f>
        <v>279.97899999999998</v>
      </c>
      <c r="N681" s="564">
        <f>(L681+L682+L683)/K681</f>
        <v>0.37782444444444446</v>
      </c>
    </row>
    <row r="682" spans="1:14">
      <c r="A682" s="361" t="s">
        <v>760</v>
      </c>
      <c r="B682" s="361" t="s">
        <v>335</v>
      </c>
      <c r="C682" s="124">
        <v>44720</v>
      </c>
      <c r="D682" s="361">
        <v>1177</v>
      </c>
      <c r="E682" s="361" t="s">
        <v>670</v>
      </c>
      <c r="F682" s="361" t="s">
        <v>342</v>
      </c>
      <c r="G682" s="361" t="s">
        <v>472</v>
      </c>
      <c r="H682" s="361">
        <v>964441</v>
      </c>
      <c r="I682" s="118"/>
      <c r="J682" s="361" t="s">
        <v>192</v>
      </c>
      <c r="K682" s="566"/>
      <c r="L682" s="82">
        <v>66.628</v>
      </c>
      <c r="M682" s="567"/>
      <c r="N682" s="568"/>
    </row>
    <row r="683" spans="1:14">
      <c r="A683" s="361" t="s">
        <v>760</v>
      </c>
      <c r="B683" s="361" t="s">
        <v>335</v>
      </c>
      <c r="C683" s="124">
        <v>44720</v>
      </c>
      <c r="D683" s="361">
        <v>1177</v>
      </c>
      <c r="E683" s="361" t="s">
        <v>670</v>
      </c>
      <c r="F683" s="361" t="s">
        <v>342</v>
      </c>
      <c r="G683" s="361" t="s">
        <v>474</v>
      </c>
      <c r="H683" s="361">
        <v>969257</v>
      </c>
      <c r="I683" s="118"/>
      <c r="J683" s="361" t="s">
        <v>192</v>
      </c>
      <c r="K683" s="561"/>
      <c r="L683" s="82">
        <v>38.295000000000002</v>
      </c>
      <c r="M683" s="563"/>
      <c r="N683" s="565"/>
    </row>
    <row r="684" spans="1:14">
      <c r="A684" s="361" t="s">
        <v>760</v>
      </c>
      <c r="B684" s="361" t="s">
        <v>335</v>
      </c>
      <c r="C684" s="124">
        <v>44720</v>
      </c>
      <c r="D684" s="361">
        <v>1177</v>
      </c>
      <c r="E684" s="361" t="s">
        <v>670</v>
      </c>
      <c r="F684" s="361" t="s">
        <v>342</v>
      </c>
      <c r="G684" s="361" t="s">
        <v>762</v>
      </c>
      <c r="H684" s="361">
        <v>697625</v>
      </c>
      <c r="I684" s="118"/>
      <c r="J684" s="361" t="s">
        <v>191</v>
      </c>
      <c r="K684" s="560">
        <v>135</v>
      </c>
      <c r="L684" s="82"/>
      <c r="M684" s="562">
        <f>K684-(L684+L685+L686+L687+L688)</f>
        <v>97.361999999999995</v>
      </c>
      <c r="N684" s="564">
        <f>(L684+L685+L686+L687+L688)/K684</f>
        <v>0.27879999999999999</v>
      </c>
    </row>
    <row r="685" spans="1:14">
      <c r="A685" s="361" t="s">
        <v>760</v>
      </c>
      <c r="B685" s="361" t="s">
        <v>335</v>
      </c>
      <c r="C685" s="124">
        <v>44720</v>
      </c>
      <c r="D685" s="361">
        <v>1177</v>
      </c>
      <c r="E685" s="361" t="s">
        <v>670</v>
      </c>
      <c r="F685" s="361" t="s">
        <v>342</v>
      </c>
      <c r="G685" s="361" t="s">
        <v>763</v>
      </c>
      <c r="H685" s="361">
        <v>963966</v>
      </c>
      <c r="I685" s="118"/>
      <c r="J685" s="361" t="s">
        <v>191</v>
      </c>
      <c r="K685" s="566"/>
      <c r="L685" s="82"/>
      <c r="M685" s="567"/>
      <c r="N685" s="568"/>
    </row>
    <row r="686" spans="1:14">
      <c r="A686" s="361" t="s">
        <v>760</v>
      </c>
      <c r="B686" s="361" t="s">
        <v>335</v>
      </c>
      <c r="C686" s="124">
        <v>44720</v>
      </c>
      <c r="D686" s="361">
        <v>1177</v>
      </c>
      <c r="E686" s="361" t="s">
        <v>670</v>
      </c>
      <c r="F686" s="361" t="s">
        <v>342</v>
      </c>
      <c r="G686" s="361" t="s">
        <v>334</v>
      </c>
      <c r="H686" s="361">
        <v>697635</v>
      </c>
      <c r="I686" s="118"/>
      <c r="J686" s="361" t="s">
        <v>191</v>
      </c>
      <c r="K686" s="566"/>
      <c r="L686" s="82">
        <v>37.637999999999998</v>
      </c>
      <c r="M686" s="567"/>
      <c r="N686" s="568"/>
    </row>
    <row r="687" spans="1:14">
      <c r="A687" s="361" t="s">
        <v>760</v>
      </c>
      <c r="B687" s="361" t="s">
        <v>335</v>
      </c>
      <c r="C687" s="124">
        <v>44720</v>
      </c>
      <c r="D687" s="361">
        <v>1177</v>
      </c>
      <c r="E687" s="361" t="s">
        <v>670</v>
      </c>
      <c r="F687" s="361" t="s">
        <v>342</v>
      </c>
      <c r="G687" s="361" t="s">
        <v>409</v>
      </c>
      <c r="H687" s="361">
        <v>964409</v>
      </c>
      <c r="I687" s="118"/>
      <c r="J687" s="361" t="s">
        <v>191</v>
      </c>
      <c r="K687" s="566"/>
      <c r="L687" s="82"/>
      <c r="M687" s="567"/>
      <c r="N687" s="568"/>
    </row>
    <row r="688" spans="1:14">
      <c r="A688" s="361" t="s">
        <v>760</v>
      </c>
      <c r="B688" s="361" t="s">
        <v>335</v>
      </c>
      <c r="C688" s="124">
        <v>44720</v>
      </c>
      <c r="D688" s="361">
        <v>1177</v>
      </c>
      <c r="E688" s="361" t="s">
        <v>670</v>
      </c>
      <c r="F688" s="361" t="s">
        <v>342</v>
      </c>
      <c r="G688" s="361" t="s">
        <v>408</v>
      </c>
      <c r="H688" s="361">
        <v>965002</v>
      </c>
      <c r="I688" s="118"/>
      <c r="J688" s="361" t="s">
        <v>191</v>
      </c>
      <c r="K688" s="561"/>
      <c r="L688" s="82"/>
      <c r="M688" s="563"/>
      <c r="N688" s="565"/>
    </row>
    <row r="689" spans="1:14">
      <c r="A689" s="361" t="s">
        <v>760</v>
      </c>
      <c r="B689" s="361" t="s">
        <v>335</v>
      </c>
      <c r="C689" s="124">
        <v>44720</v>
      </c>
      <c r="D689" s="361">
        <v>1177</v>
      </c>
      <c r="E689" s="361" t="s">
        <v>670</v>
      </c>
      <c r="F689" s="361" t="s">
        <v>342</v>
      </c>
      <c r="G689" s="361" t="s">
        <v>762</v>
      </c>
      <c r="H689" s="361">
        <v>697625</v>
      </c>
      <c r="I689" s="118"/>
      <c r="J689" s="361" t="s">
        <v>192</v>
      </c>
      <c r="K689" s="560">
        <v>615</v>
      </c>
      <c r="L689" s="82"/>
      <c r="M689" s="562">
        <f>K689-(L689+L690+L691+L692+L693)</f>
        <v>461.56799999999998</v>
      </c>
      <c r="N689" s="564">
        <f>(L689+L690+L691+L692+L693)/K689</f>
        <v>0.24948292682926829</v>
      </c>
    </row>
    <row r="690" spans="1:14">
      <c r="A690" s="361" t="s">
        <v>760</v>
      </c>
      <c r="B690" s="361" t="s">
        <v>335</v>
      </c>
      <c r="C690" s="124">
        <v>44720</v>
      </c>
      <c r="D690" s="361">
        <v>1177</v>
      </c>
      <c r="E690" s="361" t="s">
        <v>670</v>
      </c>
      <c r="F690" s="361" t="s">
        <v>342</v>
      </c>
      <c r="G690" s="361" t="s">
        <v>763</v>
      </c>
      <c r="H690" s="361">
        <v>963966</v>
      </c>
      <c r="I690" s="118"/>
      <c r="J690" s="361" t="s">
        <v>192</v>
      </c>
      <c r="K690" s="566"/>
      <c r="L690" s="82"/>
      <c r="M690" s="567"/>
      <c r="N690" s="568"/>
    </row>
    <row r="691" spans="1:14">
      <c r="A691" s="361" t="s">
        <v>760</v>
      </c>
      <c r="B691" s="361" t="s">
        <v>335</v>
      </c>
      <c r="C691" s="124">
        <v>44720</v>
      </c>
      <c r="D691" s="361">
        <v>1177</v>
      </c>
      <c r="E691" s="361" t="s">
        <v>670</v>
      </c>
      <c r="F691" s="361" t="s">
        <v>342</v>
      </c>
      <c r="G691" s="361" t="s">
        <v>334</v>
      </c>
      <c r="H691" s="361">
        <v>697635</v>
      </c>
      <c r="I691" s="118"/>
      <c r="J691" s="361" t="s">
        <v>192</v>
      </c>
      <c r="K691" s="566"/>
      <c r="L691" s="82">
        <v>153.43199999999999</v>
      </c>
      <c r="M691" s="567"/>
      <c r="N691" s="568"/>
    </row>
    <row r="692" spans="1:14">
      <c r="A692" s="361" t="s">
        <v>760</v>
      </c>
      <c r="B692" s="361" t="s">
        <v>335</v>
      </c>
      <c r="C692" s="124">
        <v>44720</v>
      </c>
      <c r="D692" s="361">
        <v>1177</v>
      </c>
      <c r="E692" s="361" t="s">
        <v>670</v>
      </c>
      <c r="F692" s="361" t="s">
        <v>342</v>
      </c>
      <c r="G692" s="361" t="s">
        <v>409</v>
      </c>
      <c r="H692" s="361">
        <v>964409</v>
      </c>
      <c r="I692" s="118"/>
      <c r="J692" s="361" t="s">
        <v>192</v>
      </c>
      <c r="K692" s="566"/>
      <c r="L692" s="82"/>
      <c r="M692" s="567"/>
      <c r="N692" s="568"/>
    </row>
    <row r="693" spans="1:14">
      <c r="A693" s="361" t="s">
        <v>760</v>
      </c>
      <c r="B693" s="361" t="s">
        <v>335</v>
      </c>
      <c r="C693" s="124">
        <v>44720</v>
      </c>
      <c r="D693" s="361">
        <v>1177</v>
      </c>
      <c r="E693" s="361" t="s">
        <v>670</v>
      </c>
      <c r="F693" s="361" t="s">
        <v>342</v>
      </c>
      <c r="G693" s="361" t="s">
        <v>408</v>
      </c>
      <c r="H693" s="361">
        <v>965002</v>
      </c>
      <c r="I693" s="118"/>
      <c r="J693" s="361" t="s">
        <v>192</v>
      </c>
      <c r="K693" s="561"/>
      <c r="L693" s="82"/>
      <c r="M693" s="563"/>
      <c r="N693" s="565"/>
    </row>
    <row r="694" spans="1:14">
      <c r="A694" s="361" t="s">
        <v>760</v>
      </c>
      <c r="B694" s="361" t="s">
        <v>331</v>
      </c>
      <c r="C694" s="124">
        <v>44720</v>
      </c>
      <c r="D694" s="361">
        <v>1177</v>
      </c>
      <c r="E694" s="361" t="s">
        <v>670</v>
      </c>
      <c r="F694" s="361" t="s">
        <v>342</v>
      </c>
      <c r="G694" s="361" t="s">
        <v>459</v>
      </c>
      <c r="H694" s="361">
        <v>697261</v>
      </c>
      <c r="I694" s="118"/>
      <c r="J694" s="361" t="s">
        <v>191</v>
      </c>
      <c r="K694" s="108">
        <v>30</v>
      </c>
      <c r="L694" s="82">
        <v>16.2</v>
      </c>
      <c r="M694" s="362">
        <f t="shared" ref="M694:M695" si="108">K694-L694</f>
        <v>13.8</v>
      </c>
      <c r="N694" s="363">
        <f t="shared" ref="N694:N695" si="109">L694/K694</f>
        <v>0.53999999999999992</v>
      </c>
    </row>
    <row r="695" spans="1:14">
      <c r="A695" s="361" t="s">
        <v>760</v>
      </c>
      <c r="B695" s="361" t="s">
        <v>331</v>
      </c>
      <c r="C695" s="124">
        <v>44720</v>
      </c>
      <c r="D695" s="361">
        <v>1177</v>
      </c>
      <c r="E695" s="361" t="s">
        <v>670</v>
      </c>
      <c r="F695" s="361" t="s">
        <v>342</v>
      </c>
      <c r="G695" s="361" t="s">
        <v>459</v>
      </c>
      <c r="H695" s="361">
        <v>697261</v>
      </c>
      <c r="I695" s="118"/>
      <c r="J695" s="361" t="s">
        <v>192</v>
      </c>
      <c r="K695" s="108">
        <v>80</v>
      </c>
      <c r="L695" s="82"/>
      <c r="M695" s="362">
        <f t="shared" si="108"/>
        <v>80</v>
      </c>
      <c r="N695" s="363">
        <f t="shared" si="109"/>
        <v>0</v>
      </c>
    </row>
    <row r="696" spans="1:14">
      <c r="A696" s="361" t="s">
        <v>760</v>
      </c>
      <c r="B696" s="361" t="s">
        <v>331</v>
      </c>
      <c r="C696" s="124">
        <v>44720</v>
      </c>
      <c r="D696" s="361">
        <v>1177</v>
      </c>
      <c r="E696" s="361" t="s">
        <v>670</v>
      </c>
      <c r="F696" s="361" t="s">
        <v>342</v>
      </c>
      <c r="G696" s="361" t="s">
        <v>350</v>
      </c>
      <c r="H696" s="361">
        <v>697484</v>
      </c>
      <c r="I696" s="118"/>
      <c r="J696" s="361" t="s">
        <v>191</v>
      </c>
      <c r="K696" s="108">
        <v>30</v>
      </c>
      <c r="L696" s="82"/>
      <c r="M696" s="362">
        <f t="shared" ref="M696:M699" si="110">K696-L696</f>
        <v>30</v>
      </c>
      <c r="N696" s="363">
        <f t="shared" ref="N696:N699" si="111">L696/K696</f>
        <v>0</v>
      </c>
    </row>
    <row r="697" spans="1:14">
      <c r="A697" s="361" t="s">
        <v>760</v>
      </c>
      <c r="B697" s="361" t="s">
        <v>331</v>
      </c>
      <c r="C697" s="124">
        <v>44720</v>
      </c>
      <c r="D697" s="361">
        <v>1177</v>
      </c>
      <c r="E697" s="361" t="s">
        <v>670</v>
      </c>
      <c r="F697" s="361" t="s">
        <v>342</v>
      </c>
      <c r="G697" s="361" t="s">
        <v>350</v>
      </c>
      <c r="H697" s="361">
        <v>697484</v>
      </c>
      <c r="I697" s="118"/>
      <c r="J697" s="361" t="s">
        <v>192</v>
      </c>
      <c r="K697" s="108">
        <v>80</v>
      </c>
      <c r="L697" s="82"/>
      <c r="M697" s="362">
        <f t="shared" si="110"/>
        <v>80</v>
      </c>
      <c r="N697" s="363">
        <f t="shared" si="111"/>
        <v>0</v>
      </c>
    </row>
    <row r="698" spans="1:14">
      <c r="A698" s="361" t="s">
        <v>760</v>
      </c>
      <c r="B698" s="361" t="s">
        <v>331</v>
      </c>
      <c r="C698" s="124">
        <v>44720</v>
      </c>
      <c r="D698" s="361">
        <v>1177</v>
      </c>
      <c r="E698" s="361" t="s">
        <v>670</v>
      </c>
      <c r="F698" s="361" t="s">
        <v>342</v>
      </c>
      <c r="G698" s="361" t="s">
        <v>482</v>
      </c>
      <c r="H698" s="361">
        <v>910836</v>
      </c>
      <c r="I698" s="118"/>
      <c r="J698" s="361" t="s">
        <v>191</v>
      </c>
      <c r="K698" s="108">
        <v>20</v>
      </c>
      <c r="L698" s="82"/>
      <c r="M698" s="362">
        <f t="shared" si="110"/>
        <v>20</v>
      </c>
      <c r="N698" s="363">
        <f t="shared" si="111"/>
        <v>0</v>
      </c>
    </row>
    <row r="699" spans="1:14">
      <c r="A699" s="361" t="s">
        <v>760</v>
      </c>
      <c r="B699" s="361" t="s">
        <v>331</v>
      </c>
      <c r="C699" s="124">
        <v>44720</v>
      </c>
      <c r="D699" s="361">
        <v>1177</v>
      </c>
      <c r="E699" s="361" t="s">
        <v>670</v>
      </c>
      <c r="F699" s="361" t="s">
        <v>342</v>
      </c>
      <c r="G699" s="361" t="s">
        <v>482</v>
      </c>
      <c r="H699" s="361">
        <v>910836</v>
      </c>
      <c r="I699" s="118"/>
      <c r="J699" s="361" t="s">
        <v>192</v>
      </c>
      <c r="K699" s="108">
        <v>130</v>
      </c>
      <c r="L699" s="82"/>
      <c r="M699" s="362">
        <f t="shared" si="110"/>
        <v>130</v>
      </c>
      <c r="N699" s="363">
        <f t="shared" si="111"/>
        <v>0</v>
      </c>
    </row>
    <row r="700" spans="1:14">
      <c r="A700" s="361" t="s">
        <v>760</v>
      </c>
      <c r="B700" s="361" t="s">
        <v>335</v>
      </c>
      <c r="C700" s="124">
        <v>44720</v>
      </c>
      <c r="D700" s="361">
        <v>1177</v>
      </c>
      <c r="E700" s="361" t="s">
        <v>670</v>
      </c>
      <c r="F700" s="361" t="s">
        <v>342</v>
      </c>
      <c r="G700" s="361" t="s">
        <v>422</v>
      </c>
      <c r="H700" s="361">
        <v>963197</v>
      </c>
      <c r="I700" s="118"/>
      <c r="J700" s="361" t="s">
        <v>191</v>
      </c>
      <c r="K700" s="560">
        <v>70</v>
      </c>
      <c r="L700" s="82">
        <v>70</v>
      </c>
      <c r="M700" s="562">
        <f>K700-(L700+L701)</f>
        <v>0</v>
      </c>
      <c r="N700" s="564">
        <f>(L700+L701)/K700</f>
        <v>1</v>
      </c>
    </row>
    <row r="701" spans="1:14">
      <c r="A701" s="361" t="s">
        <v>760</v>
      </c>
      <c r="B701" s="361" t="s">
        <v>335</v>
      </c>
      <c r="C701" s="124">
        <v>44720</v>
      </c>
      <c r="D701" s="361">
        <v>1177</v>
      </c>
      <c r="E701" s="361" t="s">
        <v>670</v>
      </c>
      <c r="F701" s="361" t="s">
        <v>342</v>
      </c>
      <c r="G701" s="361" t="s">
        <v>753</v>
      </c>
      <c r="H701" s="361">
        <v>965677</v>
      </c>
      <c r="I701" s="118"/>
      <c r="J701" s="361" t="s">
        <v>191</v>
      </c>
      <c r="K701" s="561"/>
      <c r="L701" s="82"/>
      <c r="M701" s="563"/>
      <c r="N701" s="565"/>
    </row>
    <row r="702" spans="1:14">
      <c r="A702" s="361" t="s">
        <v>760</v>
      </c>
      <c r="B702" s="361" t="s">
        <v>335</v>
      </c>
      <c r="C702" s="124">
        <v>44720</v>
      </c>
      <c r="D702" s="361">
        <v>1177</v>
      </c>
      <c r="E702" s="361" t="s">
        <v>670</v>
      </c>
      <c r="F702" s="361" t="s">
        <v>342</v>
      </c>
      <c r="G702" s="361" t="s">
        <v>422</v>
      </c>
      <c r="H702" s="361">
        <v>963197</v>
      </c>
      <c r="I702" s="118"/>
      <c r="J702" s="361" t="s">
        <v>192</v>
      </c>
      <c r="K702" s="560">
        <v>340</v>
      </c>
      <c r="L702" s="82">
        <v>75.668000000000006</v>
      </c>
      <c r="M702" s="562">
        <f>K702-(L702+L703)</f>
        <v>148.15600000000001</v>
      </c>
      <c r="N702" s="564">
        <f>(L702+L703)/K702</f>
        <v>0.56424705882352943</v>
      </c>
    </row>
    <row r="703" spans="1:14">
      <c r="A703" s="361" t="s">
        <v>760</v>
      </c>
      <c r="B703" s="361" t="s">
        <v>335</v>
      </c>
      <c r="C703" s="124">
        <v>44720</v>
      </c>
      <c r="D703" s="361">
        <v>1177</v>
      </c>
      <c r="E703" s="361" t="s">
        <v>670</v>
      </c>
      <c r="F703" s="361" t="s">
        <v>342</v>
      </c>
      <c r="G703" s="361" t="s">
        <v>753</v>
      </c>
      <c r="H703" s="361">
        <v>965677</v>
      </c>
      <c r="I703" s="118"/>
      <c r="J703" s="361" t="s">
        <v>192</v>
      </c>
      <c r="K703" s="561"/>
      <c r="L703" s="82">
        <v>116.176</v>
      </c>
      <c r="M703" s="563"/>
      <c r="N703" s="565"/>
    </row>
    <row r="704" spans="1:14">
      <c r="A704" s="361" t="s">
        <v>760</v>
      </c>
      <c r="B704" s="361" t="s">
        <v>331</v>
      </c>
      <c r="C704" s="124">
        <v>44720</v>
      </c>
      <c r="D704" s="361">
        <v>1177</v>
      </c>
      <c r="E704" s="361" t="s">
        <v>670</v>
      </c>
      <c r="F704" s="361" t="s">
        <v>342</v>
      </c>
      <c r="G704" s="361" t="s">
        <v>380</v>
      </c>
      <c r="H704" s="361">
        <v>924603</v>
      </c>
      <c r="I704" s="118"/>
      <c r="J704" s="361" t="s">
        <v>191</v>
      </c>
      <c r="K704" s="108">
        <v>20</v>
      </c>
      <c r="L704" s="82"/>
      <c r="M704" s="362">
        <f t="shared" ref="M704:M709" si="112">K704-L704</f>
        <v>20</v>
      </c>
      <c r="N704" s="363">
        <f t="shared" ref="N704:N709" si="113">L704/K704</f>
        <v>0</v>
      </c>
    </row>
    <row r="705" spans="1:14">
      <c r="A705" s="361" t="s">
        <v>760</v>
      </c>
      <c r="B705" s="361" t="s">
        <v>331</v>
      </c>
      <c r="C705" s="124">
        <v>44720</v>
      </c>
      <c r="D705" s="361">
        <v>1177</v>
      </c>
      <c r="E705" s="361" t="s">
        <v>670</v>
      </c>
      <c r="F705" s="361" t="s">
        <v>342</v>
      </c>
      <c r="G705" s="361" t="s">
        <v>380</v>
      </c>
      <c r="H705" s="361">
        <v>924603</v>
      </c>
      <c r="I705" s="118"/>
      <c r="J705" s="361" t="s">
        <v>192</v>
      </c>
      <c r="K705" s="108">
        <v>130</v>
      </c>
      <c r="L705" s="82"/>
      <c r="M705" s="362">
        <f t="shared" si="112"/>
        <v>130</v>
      </c>
      <c r="N705" s="363">
        <f t="shared" si="113"/>
        <v>0</v>
      </c>
    </row>
    <row r="706" spans="1:14">
      <c r="A706" s="361" t="s">
        <v>760</v>
      </c>
      <c r="B706" s="361" t="s">
        <v>331</v>
      </c>
      <c r="C706" s="124">
        <v>44720</v>
      </c>
      <c r="D706" s="361">
        <v>1177</v>
      </c>
      <c r="E706" s="361" t="s">
        <v>670</v>
      </c>
      <c r="F706" s="361" t="s">
        <v>342</v>
      </c>
      <c r="G706" s="361" t="s">
        <v>414</v>
      </c>
      <c r="H706" s="361">
        <v>963843</v>
      </c>
      <c r="I706" s="118"/>
      <c r="J706" s="361" t="s">
        <v>191</v>
      </c>
      <c r="K706" s="108">
        <v>20</v>
      </c>
      <c r="L706" s="82"/>
      <c r="M706" s="362">
        <f t="shared" si="112"/>
        <v>20</v>
      </c>
      <c r="N706" s="363">
        <f t="shared" si="113"/>
        <v>0</v>
      </c>
    </row>
    <row r="707" spans="1:14">
      <c r="A707" s="361" t="s">
        <v>760</v>
      </c>
      <c r="B707" s="361" t="s">
        <v>331</v>
      </c>
      <c r="C707" s="124">
        <v>44720</v>
      </c>
      <c r="D707" s="361">
        <v>1177</v>
      </c>
      <c r="E707" s="361" t="s">
        <v>670</v>
      </c>
      <c r="F707" s="361" t="s">
        <v>342</v>
      </c>
      <c r="G707" s="361" t="s">
        <v>414</v>
      </c>
      <c r="H707" s="361">
        <v>963843</v>
      </c>
      <c r="I707" s="118"/>
      <c r="J707" s="361" t="s">
        <v>192</v>
      </c>
      <c r="K707" s="108">
        <v>130</v>
      </c>
      <c r="L707" s="82"/>
      <c r="M707" s="362">
        <f t="shared" si="112"/>
        <v>130</v>
      </c>
      <c r="N707" s="363">
        <f t="shared" si="113"/>
        <v>0</v>
      </c>
    </row>
    <row r="708" spans="1:14">
      <c r="A708" s="361" t="s">
        <v>764</v>
      </c>
      <c r="B708" s="361" t="s">
        <v>331</v>
      </c>
      <c r="C708" s="124">
        <v>44720</v>
      </c>
      <c r="D708" s="361">
        <v>59</v>
      </c>
      <c r="E708" s="361" t="s">
        <v>332</v>
      </c>
      <c r="F708" s="361" t="s">
        <v>333</v>
      </c>
      <c r="G708" s="361" t="s">
        <v>739</v>
      </c>
      <c r="H708" s="361">
        <v>968716</v>
      </c>
      <c r="I708" s="118"/>
      <c r="J708" s="361" t="s">
        <v>191</v>
      </c>
      <c r="K708" s="108">
        <v>107.6</v>
      </c>
      <c r="L708" s="82"/>
      <c r="M708" s="362">
        <f t="shared" si="112"/>
        <v>107.6</v>
      </c>
      <c r="N708" s="363">
        <f t="shared" si="113"/>
        <v>0</v>
      </c>
    </row>
    <row r="709" spans="1:14">
      <c r="A709" s="361" t="s">
        <v>764</v>
      </c>
      <c r="B709" s="361" t="s">
        <v>331</v>
      </c>
      <c r="C709" s="124">
        <v>44720</v>
      </c>
      <c r="D709" s="361">
        <v>59</v>
      </c>
      <c r="E709" s="361" t="s">
        <v>332</v>
      </c>
      <c r="F709" s="361" t="s">
        <v>333</v>
      </c>
      <c r="G709" s="361" t="s">
        <v>739</v>
      </c>
      <c r="H709" s="361">
        <v>968716</v>
      </c>
      <c r="I709" s="118"/>
      <c r="J709" s="361" t="s">
        <v>192</v>
      </c>
      <c r="K709" s="108">
        <v>64.400000000000006</v>
      </c>
      <c r="L709" s="82"/>
      <c r="M709" s="362">
        <f t="shared" si="112"/>
        <v>64.400000000000006</v>
      </c>
      <c r="N709" s="363">
        <f t="shared" si="113"/>
        <v>0</v>
      </c>
    </row>
    <row r="710" spans="1:14">
      <c r="A710" s="361" t="s">
        <v>652</v>
      </c>
      <c r="B710" s="361" t="s">
        <v>335</v>
      </c>
      <c r="C710" s="124">
        <v>44721</v>
      </c>
      <c r="D710" s="361">
        <v>62</v>
      </c>
      <c r="E710" s="361" t="s">
        <v>332</v>
      </c>
      <c r="F710" s="361" t="s">
        <v>333</v>
      </c>
      <c r="G710" s="361" t="s">
        <v>738</v>
      </c>
      <c r="H710" s="361">
        <v>697641</v>
      </c>
      <c r="I710" s="118"/>
      <c r="J710" s="361" t="s">
        <v>191</v>
      </c>
      <c r="K710" s="560">
        <v>258.89999999999998</v>
      </c>
      <c r="L710" s="82"/>
      <c r="M710" s="562">
        <f>K710-(L710+L711)</f>
        <v>258.89999999999998</v>
      </c>
      <c r="N710" s="564">
        <f>(L710+L711)/K710</f>
        <v>0</v>
      </c>
    </row>
    <row r="711" spans="1:14">
      <c r="A711" s="361" t="s">
        <v>652</v>
      </c>
      <c r="B711" s="361" t="s">
        <v>335</v>
      </c>
      <c r="C711" s="124">
        <v>44721</v>
      </c>
      <c r="D711" s="361">
        <v>62</v>
      </c>
      <c r="E711" s="361" t="s">
        <v>332</v>
      </c>
      <c r="F711" s="361" t="s">
        <v>333</v>
      </c>
      <c r="G711" s="361" t="s">
        <v>739</v>
      </c>
      <c r="H711" s="361">
        <v>968716</v>
      </c>
      <c r="I711" s="118"/>
      <c r="J711" s="361" t="s">
        <v>191</v>
      </c>
      <c r="K711" s="561"/>
      <c r="L711" s="82"/>
      <c r="M711" s="563"/>
      <c r="N711" s="565"/>
    </row>
    <row r="712" spans="1:14">
      <c r="A712" s="361" t="s">
        <v>652</v>
      </c>
      <c r="B712" s="361" t="s">
        <v>335</v>
      </c>
      <c r="C712" s="124">
        <v>44721</v>
      </c>
      <c r="D712" s="361">
        <v>62</v>
      </c>
      <c r="E712" s="361" t="s">
        <v>332</v>
      </c>
      <c r="F712" s="361" t="s">
        <v>333</v>
      </c>
      <c r="G712" s="361" t="s">
        <v>738</v>
      </c>
      <c r="H712" s="361">
        <v>697641</v>
      </c>
      <c r="I712" s="118"/>
      <c r="J712" s="361" t="s">
        <v>192</v>
      </c>
      <c r="K712" s="560">
        <v>201</v>
      </c>
      <c r="L712" s="82"/>
      <c r="M712" s="562">
        <f>K712-(L712+L713)</f>
        <v>201</v>
      </c>
      <c r="N712" s="564">
        <f>(L712+L713)/K712</f>
        <v>0</v>
      </c>
    </row>
    <row r="713" spans="1:14">
      <c r="A713" s="361" t="s">
        <v>652</v>
      </c>
      <c r="B713" s="361" t="s">
        <v>335</v>
      </c>
      <c r="C713" s="124">
        <v>44721</v>
      </c>
      <c r="D713" s="361">
        <v>62</v>
      </c>
      <c r="E713" s="361" t="s">
        <v>332</v>
      </c>
      <c r="F713" s="361" t="s">
        <v>333</v>
      </c>
      <c r="G713" s="361" t="s">
        <v>739</v>
      </c>
      <c r="H713" s="361">
        <v>968716</v>
      </c>
      <c r="I713" s="118"/>
      <c r="J713" s="361" t="s">
        <v>192</v>
      </c>
      <c r="K713" s="561"/>
      <c r="L713" s="82"/>
      <c r="M713" s="563"/>
      <c r="N713" s="565"/>
    </row>
    <row r="714" spans="1:14">
      <c r="A714" s="361" t="s">
        <v>765</v>
      </c>
      <c r="B714" s="361" t="s">
        <v>335</v>
      </c>
      <c r="C714" s="124">
        <v>44725</v>
      </c>
      <c r="D714" s="361">
        <v>1217</v>
      </c>
      <c r="E714" s="361" t="s">
        <v>670</v>
      </c>
      <c r="F714" s="361" t="s">
        <v>333</v>
      </c>
      <c r="G714" s="361" t="s">
        <v>385</v>
      </c>
      <c r="H714" s="361">
        <v>698133</v>
      </c>
      <c r="I714" s="118"/>
      <c r="J714" s="361" t="s">
        <v>191</v>
      </c>
      <c r="K714" s="108">
        <v>74.5</v>
      </c>
      <c r="L714" s="82"/>
      <c r="M714" s="362">
        <f t="shared" ref="M714:M715" si="114">K714-L714</f>
        <v>74.5</v>
      </c>
      <c r="N714" s="363">
        <f t="shared" ref="N714:N715" si="115">L714/K714</f>
        <v>0</v>
      </c>
    </row>
    <row r="715" spans="1:14">
      <c r="A715" s="361" t="s">
        <v>765</v>
      </c>
      <c r="B715" s="361" t="s">
        <v>335</v>
      </c>
      <c r="C715" s="124">
        <v>44725</v>
      </c>
      <c r="D715" s="361">
        <v>1217</v>
      </c>
      <c r="E715" s="361" t="s">
        <v>670</v>
      </c>
      <c r="F715" s="361" t="s">
        <v>333</v>
      </c>
      <c r="G715" s="361" t="s">
        <v>385</v>
      </c>
      <c r="H715" s="361">
        <v>698133</v>
      </c>
      <c r="I715" s="118"/>
      <c r="J715" s="361" t="s">
        <v>192</v>
      </c>
      <c r="K715" s="108">
        <v>174</v>
      </c>
      <c r="L715" s="82"/>
      <c r="M715" s="362">
        <f t="shared" si="114"/>
        <v>174</v>
      </c>
      <c r="N715" s="363">
        <f t="shared" si="115"/>
        <v>0</v>
      </c>
    </row>
    <row r="716" spans="1:14">
      <c r="A716" s="364" t="s">
        <v>767</v>
      </c>
      <c r="B716" s="364" t="s">
        <v>335</v>
      </c>
      <c r="C716" s="124">
        <v>44725</v>
      </c>
      <c r="D716" s="361">
        <v>1219</v>
      </c>
      <c r="E716" s="364" t="s">
        <v>670</v>
      </c>
      <c r="F716" s="364" t="s">
        <v>342</v>
      </c>
      <c r="G716" s="364" t="s">
        <v>421</v>
      </c>
      <c r="H716" s="361">
        <v>952296</v>
      </c>
      <c r="I716" s="118"/>
      <c r="J716" s="364" t="s">
        <v>191</v>
      </c>
      <c r="K716" s="560">
        <v>690.58699999999999</v>
      </c>
      <c r="L716" s="82">
        <v>163.178</v>
      </c>
      <c r="M716" s="562">
        <f>K716-(L716+L717)</f>
        <v>395.40800000000002</v>
      </c>
      <c r="N716" s="564">
        <f>(L716+L717)/K716</f>
        <v>0.42743202521912516</v>
      </c>
    </row>
    <row r="717" spans="1:14">
      <c r="A717" s="364" t="s">
        <v>767</v>
      </c>
      <c r="B717" s="364" t="s">
        <v>335</v>
      </c>
      <c r="C717" s="124">
        <v>44725</v>
      </c>
      <c r="D717" s="364">
        <v>1219</v>
      </c>
      <c r="E717" s="364" t="s">
        <v>670</v>
      </c>
      <c r="F717" s="364" t="s">
        <v>342</v>
      </c>
      <c r="G717" s="364" t="s">
        <v>430</v>
      </c>
      <c r="H717" s="361">
        <v>967435</v>
      </c>
      <c r="I717" s="118"/>
      <c r="J717" s="364" t="s">
        <v>191</v>
      </c>
      <c r="K717" s="561"/>
      <c r="L717" s="82">
        <v>132.001</v>
      </c>
      <c r="M717" s="563"/>
      <c r="N717" s="565"/>
    </row>
    <row r="718" spans="1:14">
      <c r="A718" s="364" t="s">
        <v>768</v>
      </c>
      <c r="B718" s="364" t="s">
        <v>335</v>
      </c>
      <c r="C718" s="124">
        <v>44729</v>
      </c>
      <c r="D718" s="361">
        <v>67</v>
      </c>
      <c r="E718" s="364" t="s">
        <v>332</v>
      </c>
      <c r="F718" s="364" t="s">
        <v>333</v>
      </c>
      <c r="G718" s="364" t="s">
        <v>738</v>
      </c>
      <c r="H718" s="364">
        <v>697641</v>
      </c>
      <c r="I718" s="118"/>
      <c r="J718" s="364" t="s">
        <v>191</v>
      </c>
      <c r="K718" s="560">
        <v>100</v>
      </c>
      <c r="L718" s="82"/>
      <c r="M718" s="562">
        <f>K718-(L718+L719)</f>
        <v>100</v>
      </c>
      <c r="N718" s="564">
        <f>(L718+L719)/K718</f>
        <v>0</v>
      </c>
    </row>
    <row r="719" spans="1:14">
      <c r="A719" s="364" t="s">
        <v>768</v>
      </c>
      <c r="B719" s="364" t="s">
        <v>335</v>
      </c>
      <c r="C719" s="124">
        <v>44729</v>
      </c>
      <c r="D719" s="364">
        <v>67</v>
      </c>
      <c r="E719" s="364" t="s">
        <v>332</v>
      </c>
      <c r="F719" s="364" t="s">
        <v>333</v>
      </c>
      <c r="G719" s="364" t="s">
        <v>739</v>
      </c>
      <c r="H719" s="364">
        <v>968716</v>
      </c>
      <c r="I719" s="118"/>
      <c r="J719" s="364" t="s">
        <v>191</v>
      </c>
      <c r="K719" s="561"/>
      <c r="L719" s="82"/>
      <c r="M719" s="563"/>
      <c r="N719" s="565"/>
    </row>
    <row r="720" spans="1:14">
      <c r="A720" s="364" t="s">
        <v>768</v>
      </c>
      <c r="B720" s="364" t="s">
        <v>335</v>
      </c>
      <c r="C720" s="124">
        <v>44729</v>
      </c>
      <c r="D720" s="364">
        <v>67</v>
      </c>
      <c r="E720" s="364" t="s">
        <v>332</v>
      </c>
      <c r="F720" s="364" t="s">
        <v>333</v>
      </c>
      <c r="G720" s="364" t="s">
        <v>738</v>
      </c>
      <c r="H720" s="364">
        <v>697641</v>
      </c>
      <c r="I720" s="118"/>
      <c r="J720" s="364" t="s">
        <v>192</v>
      </c>
      <c r="K720" s="560">
        <v>400</v>
      </c>
      <c r="L720" s="82"/>
      <c r="M720" s="562">
        <f>K720-(L720+L721)</f>
        <v>400</v>
      </c>
      <c r="N720" s="564">
        <f>(L720+L721)/K720</f>
        <v>0</v>
      </c>
    </row>
    <row r="721" spans="1:14">
      <c r="A721" s="364" t="s">
        <v>768</v>
      </c>
      <c r="B721" s="364" t="s">
        <v>335</v>
      </c>
      <c r="C721" s="124">
        <v>44729</v>
      </c>
      <c r="D721" s="364">
        <v>67</v>
      </c>
      <c r="E721" s="364" t="s">
        <v>332</v>
      </c>
      <c r="F721" s="364" t="s">
        <v>333</v>
      </c>
      <c r="G721" s="364" t="s">
        <v>739</v>
      </c>
      <c r="H721" s="364">
        <v>968716</v>
      </c>
      <c r="I721" s="118"/>
      <c r="J721" s="364" t="s">
        <v>192</v>
      </c>
      <c r="K721" s="561"/>
      <c r="L721" s="82"/>
      <c r="M721" s="563"/>
      <c r="N721" s="565"/>
    </row>
    <row r="722" spans="1:14">
      <c r="A722" s="368" t="s">
        <v>756</v>
      </c>
      <c r="B722" s="368" t="s">
        <v>331</v>
      </c>
      <c r="C722" s="124">
        <v>44734</v>
      </c>
      <c r="D722" s="361">
        <v>74</v>
      </c>
      <c r="E722" s="368" t="s">
        <v>332</v>
      </c>
      <c r="F722" s="368" t="s">
        <v>333</v>
      </c>
      <c r="G722" s="368" t="s">
        <v>738</v>
      </c>
      <c r="H722" s="368">
        <v>697641</v>
      </c>
      <c r="I722" s="118"/>
      <c r="J722" s="368" t="s">
        <v>191</v>
      </c>
      <c r="K722" s="108">
        <v>30</v>
      </c>
      <c r="L722" s="82"/>
      <c r="M722" s="369">
        <f t="shared" ref="M722:M723" si="116">K722-L722</f>
        <v>30</v>
      </c>
      <c r="N722" s="370">
        <f t="shared" ref="N722:N723" si="117">L722/K722</f>
        <v>0</v>
      </c>
    </row>
    <row r="723" spans="1:14">
      <c r="A723" s="368" t="s">
        <v>756</v>
      </c>
      <c r="B723" s="368" t="s">
        <v>331</v>
      </c>
      <c r="C723" s="124">
        <v>44734</v>
      </c>
      <c r="D723" s="368">
        <v>74</v>
      </c>
      <c r="E723" s="368" t="s">
        <v>332</v>
      </c>
      <c r="F723" s="368" t="s">
        <v>333</v>
      </c>
      <c r="G723" s="368" t="s">
        <v>738</v>
      </c>
      <c r="H723" s="368">
        <v>697641</v>
      </c>
      <c r="I723" s="118"/>
      <c r="J723" s="368" t="s">
        <v>192</v>
      </c>
      <c r="K723" s="108">
        <v>270</v>
      </c>
      <c r="L723" s="82"/>
      <c r="M723" s="369">
        <f t="shared" si="116"/>
        <v>270</v>
      </c>
      <c r="N723" s="370">
        <f t="shared" si="117"/>
        <v>0</v>
      </c>
    </row>
    <row r="724" spans="1:14">
      <c r="A724" s="368" t="s">
        <v>769</v>
      </c>
      <c r="B724" s="368" t="s">
        <v>335</v>
      </c>
      <c r="C724" s="124">
        <v>44736</v>
      </c>
      <c r="D724" s="361">
        <v>78</v>
      </c>
      <c r="E724" s="368" t="s">
        <v>332</v>
      </c>
      <c r="F724" s="368" t="s">
        <v>333</v>
      </c>
      <c r="G724" s="368" t="s">
        <v>738</v>
      </c>
      <c r="H724" s="368">
        <v>697641</v>
      </c>
      <c r="I724" s="118"/>
      <c r="J724" s="368" t="s">
        <v>191</v>
      </c>
      <c r="K724" s="560">
        <v>5</v>
      </c>
      <c r="L724" s="82"/>
      <c r="M724" s="562">
        <f>K724-(L724+L725)</f>
        <v>5</v>
      </c>
      <c r="N724" s="564">
        <f>(L724+L725)/K724</f>
        <v>0</v>
      </c>
    </row>
    <row r="725" spans="1:14">
      <c r="A725" s="368" t="s">
        <v>769</v>
      </c>
      <c r="B725" s="368" t="s">
        <v>335</v>
      </c>
      <c r="C725" s="124">
        <v>44736</v>
      </c>
      <c r="D725" s="368">
        <v>78</v>
      </c>
      <c r="E725" s="368" t="s">
        <v>332</v>
      </c>
      <c r="F725" s="368" t="s">
        <v>333</v>
      </c>
      <c r="G725" s="368" t="s">
        <v>739</v>
      </c>
      <c r="H725" s="368">
        <v>968716</v>
      </c>
      <c r="I725" s="118"/>
      <c r="J725" s="368" t="s">
        <v>191</v>
      </c>
      <c r="K725" s="561"/>
      <c r="L725" s="82"/>
      <c r="M725" s="563"/>
      <c r="N725" s="565"/>
    </row>
    <row r="726" spans="1:14">
      <c r="A726" s="368" t="s">
        <v>769</v>
      </c>
      <c r="B726" s="368" t="s">
        <v>335</v>
      </c>
      <c r="C726" s="124">
        <v>44736</v>
      </c>
      <c r="D726" s="368">
        <v>78</v>
      </c>
      <c r="E726" s="368" t="s">
        <v>332</v>
      </c>
      <c r="F726" s="368" t="s">
        <v>333</v>
      </c>
      <c r="G726" s="368" t="s">
        <v>738</v>
      </c>
      <c r="H726" s="368">
        <v>697641</v>
      </c>
      <c r="I726" s="118"/>
      <c r="J726" s="368" t="s">
        <v>192</v>
      </c>
      <c r="K726" s="560">
        <v>515</v>
      </c>
      <c r="L726" s="82"/>
      <c r="M726" s="562">
        <f>K726-(L726+L727)</f>
        <v>515</v>
      </c>
      <c r="N726" s="564">
        <f>(L726+L727)/K726</f>
        <v>0</v>
      </c>
    </row>
    <row r="727" spans="1:14">
      <c r="A727" s="368" t="s">
        <v>769</v>
      </c>
      <c r="B727" s="368" t="s">
        <v>335</v>
      </c>
      <c r="C727" s="124">
        <v>44736</v>
      </c>
      <c r="D727" s="368">
        <v>78</v>
      </c>
      <c r="E727" s="368" t="s">
        <v>332</v>
      </c>
      <c r="F727" s="368" t="s">
        <v>333</v>
      </c>
      <c r="G727" s="368" t="s">
        <v>739</v>
      </c>
      <c r="H727" s="368">
        <v>968716</v>
      </c>
      <c r="I727" s="118"/>
      <c r="J727" s="368" t="s">
        <v>192</v>
      </c>
      <c r="K727" s="561"/>
      <c r="L727" s="82"/>
      <c r="M727" s="563"/>
      <c r="N727" s="565"/>
    </row>
    <row r="728" spans="1:14">
      <c r="A728" s="368" t="s">
        <v>770</v>
      </c>
      <c r="B728" s="368" t="s">
        <v>331</v>
      </c>
      <c r="C728" s="124">
        <v>44741</v>
      </c>
      <c r="D728" s="361">
        <v>1327</v>
      </c>
      <c r="E728" s="368" t="s">
        <v>670</v>
      </c>
      <c r="F728" s="368" t="s">
        <v>342</v>
      </c>
      <c r="G728" s="368" t="s">
        <v>361</v>
      </c>
      <c r="H728" s="361">
        <v>954552</v>
      </c>
      <c r="I728" s="118"/>
      <c r="J728" s="368" t="s">
        <v>191</v>
      </c>
      <c r="K728" s="108">
        <v>88</v>
      </c>
      <c r="L728" s="82"/>
      <c r="M728" s="369">
        <f t="shared" ref="M728:M729" si="118">K728-L728</f>
        <v>88</v>
      </c>
      <c r="N728" s="370">
        <f t="shared" ref="N728:N729" si="119">L728/K728</f>
        <v>0</v>
      </c>
    </row>
    <row r="729" spans="1:14">
      <c r="A729" s="368" t="s">
        <v>770</v>
      </c>
      <c r="B729" s="368" t="s">
        <v>331</v>
      </c>
      <c r="C729" s="124">
        <v>44741</v>
      </c>
      <c r="D729" s="368">
        <v>1327</v>
      </c>
      <c r="E729" s="368" t="s">
        <v>670</v>
      </c>
      <c r="F729" s="368" t="s">
        <v>342</v>
      </c>
      <c r="G729" s="368" t="s">
        <v>361</v>
      </c>
      <c r="H729" s="368">
        <v>954552</v>
      </c>
      <c r="I729" s="118"/>
      <c r="J729" s="368" t="s">
        <v>192</v>
      </c>
      <c r="K729" s="108">
        <v>36</v>
      </c>
      <c r="L729" s="82"/>
      <c r="M729" s="369">
        <f t="shared" si="118"/>
        <v>36</v>
      </c>
      <c r="N729" s="370">
        <f t="shared" si="119"/>
        <v>0</v>
      </c>
    </row>
    <row r="730" spans="1:14">
      <c r="A730" s="372" t="s">
        <v>771</v>
      </c>
      <c r="B730" s="372" t="s">
        <v>331</v>
      </c>
      <c r="C730" s="124">
        <v>44746</v>
      </c>
      <c r="D730" s="361">
        <v>83</v>
      </c>
      <c r="E730" s="372" t="s">
        <v>332</v>
      </c>
      <c r="F730" s="372" t="s">
        <v>333</v>
      </c>
      <c r="G730" s="372" t="s">
        <v>772</v>
      </c>
      <c r="H730" s="361">
        <v>967577</v>
      </c>
      <c r="I730" s="118"/>
      <c r="J730" s="372" t="s">
        <v>191</v>
      </c>
      <c r="K730" s="108">
        <v>20</v>
      </c>
      <c r="L730" s="80">
        <v>6.641</v>
      </c>
      <c r="M730" s="373">
        <f t="shared" ref="M730:M731" si="120">K730-L730</f>
        <v>13.359</v>
      </c>
      <c r="N730" s="374">
        <f t="shared" ref="N730:N731" si="121">L730/K730</f>
        <v>0.33205000000000001</v>
      </c>
    </row>
    <row r="731" spans="1:14">
      <c r="A731" s="372" t="s">
        <v>771</v>
      </c>
      <c r="B731" s="372" t="s">
        <v>331</v>
      </c>
      <c r="C731" s="124">
        <v>44746</v>
      </c>
      <c r="D731" s="372">
        <v>83</v>
      </c>
      <c r="E731" s="372" t="s">
        <v>332</v>
      </c>
      <c r="F731" s="372" t="s">
        <v>333</v>
      </c>
      <c r="G731" s="372" t="s">
        <v>772</v>
      </c>
      <c r="H731" s="372">
        <v>967577</v>
      </c>
      <c r="I731" s="118"/>
      <c r="J731" s="372" t="s">
        <v>192</v>
      </c>
      <c r="K731" s="108">
        <v>380</v>
      </c>
      <c r="L731" s="82">
        <v>22.399000000000001</v>
      </c>
      <c r="M731" s="373">
        <f t="shared" si="120"/>
        <v>357.601</v>
      </c>
      <c r="N731" s="374">
        <f t="shared" si="121"/>
        <v>5.8944736842105265E-2</v>
      </c>
    </row>
    <row r="732" spans="1:14">
      <c r="A732" s="372" t="s">
        <v>756</v>
      </c>
      <c r="B732" s="372" t="s">
        <v>331</v>
      </c>
      <c r="C732" s="124">
        <v>44754</v>
      </c>
      <c r="D732" s="361">
        <v>91</v>
      </c>
      <c r="E732" s="372" t="s">
        <v>332</v>
      </c>
      <c r="F732" s="372" t="s">
        <v>333</v>
      </c>
      <c r="G732" s="372" t="s">
        <v>772</v>
      </c>
      <c r="H732" s="372">
        <v>967577</v>
      </c>
      <c r="I732" s="118"/>
      <c r="J732" s="372" t="s">
        <v>191</v>
      </c>
      <c r="K732" s="108">
        <v>113</v>
      </c>
      <c r="L732" s="82"/>
      <c r="M732" s="373">
        <f t="shared" ref="M732:M733" si="122">K732-L732</f>
        <v>113</v>
      </c>
      <c r="N732" s="374">
        <f t="shared" ref="N732:N733" si="123">L732/K732</f>
        <v>0</v>
      </c>
    </row>
    <row r="733" spans="1:14">
      <c r="A733" s="372" t="s">
        <v>756</v>
      </c>
      <c r="B733" s="372" t="s">
        <v>331</v>
      </c>
      <c r="C733" s="124">
        <v>44754</v>
      </c>
      <c r="D733" s="372">
        <v>91</v>
      </c>
      <c r="E733" s="372" t="s">
        <v>332</v>
      </c>
      <c r="F733" s="372" t="s">
        <v>333</v>
      </c>
      <c r="G733" s="372" t="s">
        <v>772</v>
      </c>
      <c r="H733" s="372">
        <v>967577</v>
      </c>
      <c r="I733" s="118"/>
      <c r="J733" s="372" t="s">
        <v>192</v>
      </c>
      <c r="K733" s="108">
        <v>300</v>
      </c>
      <c r="L733" s="82"/>
      <c r="M733" s="373">
        <f t="shared" si="122"/>
        <v>300</v>
      </c>
      <c r="N733" s="374">
        <f t="shared" si="123"/>
        <v>0</v>
      </c>
    </row>
    <row r="734" spans="1:14">
      <c r="A734" s="372" t="s">
        <v>773</v>
      </c>
      <c r="B734" s="372" t="s">
        <v>331</v>
      </c>
      <c r="C734" s="124">
        <v>44757</v>
      </c>
      <c r="D734" s="361">
        <v>1439</v>
      </c>
      <c r="E734" s="372" t="s">
        <v>670</v>
      </c>
      <c r="F734" s="372" t="s">
        <v>333</v>
      </c>
      <c r="G734" s="372" t="s">
        <v>739</v>
      </c>
      <c r="H734" s="372">
        <v>968716</v>
      </c>
      <c r="I734" s="118"/>
      <c r="J734" s="372" t="s">
        <v>191</v>
      </c>
      <c r="K734" s="108">
        <v>101.4</v>
      </c>
      <c r="L734" s="82"/>
      <c r="M734" s="373">
        <f t="shared" ref="M734:M735" si="124">K734-L734</f>
        <v>101.4</v>
      </c>
      <c r="N734" s="374">
        <f t="shared" ref="N734:N735" si="125">L734/K734</f>
        <v>0</v>
      </c>
    </row>
    <row r="735" spans="1:14">
      <c r="A735" s="372" t="s">
        <v>773</v>
      </c>
      <c r="B735" s="372" t="s">
        <v>331</v>
      </c>
      <c r="C735" s="124">
        <v>44757</v>
      </c>
      <c r="D735" s="372">
        <v>1439</v>
      </c>
      <c r="E735" s="372" t="s">
        <v>670</v>
      </c>
      <c r="F735" s="372" t="s">
        <v>333</v>
      </c>
      <c r="G735" s="372" t="s">
        <v>739</v>
      </c>
      <c r="H735" s="372">
        <v>968716</v>
      </c>
      <c r="I735" s="118"/>
      <c r="J735" s="372" t="s">
        <v>192</v>
      </c>
      <c r="K735" s="108">
        <v>46.6</v>
      </c>
      <c r="L735" s="82"/>
      <c r="M735" s="373">
        <f t="shared" si="124"/>
        <v>46.6</v>
      </c>
      <c r="N735" s="374">
        <f t="shared" si="125"/>
        <v>0</v>
      </c>
    </row>
    <row r="736" spans="1:14">
      <c r="A736" s="377" t="s">
        <v>693</v>
      </c>
      <c r="B736" s="377" t="s">
        <v>331</v>
      </c>
      <c r="C736" s="124">
        <v>44764</v>
      </c>
      <c r="D736" s="361">
        <v>1480</v>
      </c>
      <c r="E736" s="377" t="s">
        <v>670</v>
      </c>
      <c r="F736" s="377" t="s">
        <v>342</v>
      </c>
      <c r="G736" s="377" t="s">
        <v>448</v>
      </c>
      <c r="H736" s="361">
        <v>966475</v>
      </c>
      <c r="I736" s="118"/>
      <c r="J736" s="377" t="s">
        <v>191</v>
      </c>
      <c r="K736" s="108">
        <v>69</v>
      </c>
      <c r="L736" s="82"/>
      <c r="M736" s="378">
        <f t="shared" ref="M736:M739" si="126">K736-L736</f>
        <v>69</v>
      </c>
      <c r="N736" s="380">
        <f t="shared" ref="N736:N739" si="127">L736/K736</f>
        <v>0</v>
      </c>
    </row>
    <row r="737" spans="1:14">
      <c r="A737" s="377" t="s">
        <v>693</v>
      </c>
      <c r="B737" s="377" t="s">
        <v>331</v>
      </c>
      <c r="C737" s="124">
        <v>44764</v>
      </c>
      <c r="D737" s="377">
        <v>1480</v>
      </c>
      <c r="E737" s="377" t="s">
        <v>670</v>
      </c>
      <c r="F737" s="377" t="s">
        <v>342</v>
      </c>
      <c r="G737" s="377" t="s">
        <v>448</v>
      </c>
      <c r="H737" s="377">
        <v>966475</v>
      </c>
      <c r="I737" s="118"/>
      <c r="J737" s="377" t="s">
        <v>192</v>
      </c>
      <c r="K737" s="108">
        <v>31</v>
      </c>
      <c r="L737" s="82"/>
      <c r="M737" s="378">
        <f t="shared" si="126"/>
        <v>31</v>
      </c>
      <c r="N737" s="380">
        <f t="shared" si="127"/>
        <v>0</v>
      </c>
    </row>
    <row r="738" spans="1:14">
      <c r="A738" s="377" t="s">
        <v>693</v>
      </c>
      <c r="B738" s="377" t="s">
        <v>331</v>
      </c>
      <c r="C738" s="124">
        <v>44764</v>
      </c>
      <c r="D738" s="361">
        <v>1488</v>
      </c>
      <c r="E738" s="377" t="s">
        <v>670</v>
      </c>
      <c r="F738" s="377" t="s">
        <v>342</v>
      </c>
      <c r="G738" s="377" t="s">
        <v>589</v>
      </c>
      <c r="H738" s="377">
        <v>926674</v>
      </c>
      <c r="I738" s="118"/>
      <c r="J738" s="377" t="s">
        <v>191</v>
      </c>
      <c r="K738" s="108">
        <v>69</v>
      </c>
      <c r="L738" s="82"/>
      <c r="M738" s="378">
        <f t="shared" si="126"/>
        <v>69</v>
      </c>
      <c r="N738" s="380">
        <f t="shared" si="127"/>
        <v>0</v>
      </c>
    </row>
    <row r="739" spans="1:14">
      <c r="A739" s="377" t="s">
        <v>693</v>
      </c>
      <c r="B739" s="377" t="s">
        <v>331</v>
      </c>
      <c r="C739" s="124">
        <v>44764</v>
      </c>
      <c r="D739" s="377">
        <v>1488</v>
      </c>
      <c r="E739" s="377" t="s">
        <v>670</v>
      </c>
      <c r="F739" s="377" t="s">
        <v>342</v>
      </c>
      <c r="G739" s="377" t="s">
        <v>589</v>
      </c>
      <c r="H739" s="377">
        <v>926674</v>
      </c>
      <c r="I739" s="118"/>
      <c r="J739" s="377" t="s">
        <v>192</v>
      </c>
      <c r="K739" s="108">
        <v>31</v>
      </c>
      <c r="L739" s="82"/>
      <c r="M739" s="378">
        <f t="shared" si="126"/>
        <v>31</v>
      </c>
      <c r="N739" s="380">
        <f t="shared" si="127"/>
        <v>0</v>
      </c>
    </row>
    <row r="740" spans="1:14">
      <c r="A740" s="377" t="s">
        <v>693</v>
      </c>
      <c r="B740" s="377" t="s">
        <v>331</v>
      </c>
      <c r="C740" s="124">
        <v>44764</v>
      </c>
      <c r="D740" s="377">
        <v>1488</v>
      </c>
      <c r="E740" s="377" t="s">
        <v>670</v>
      </c>
      <c r="F740" s="377" t="s">
        <v>342</v>
      </c>
      <c r="G740" s="377" t="s">
        <v>593</v>
      </c>
      <c r="H740" s="377">
        <v>966342</v>
      </c>
      <c r="I740" s="118"/>
      <c r="J740" s="377" t="s">
        <v>191</v>
      </c>
      <c r="K740" s="108">
        <v>69</v>
      </c>
      <c r="L740" s="82">
        <v>5.6130000000000004</v>
      </c>
      <c r="M740" s="378">
        <f t="shared" ref="M740:M741" si="128">K740-L740</f>
        <v>63.387</v>
      </c>
      <c r="N740" s="380">
        <f t="shared" ref="N740:N741" si="129">L740/K740</f>
        <v>8.1347826086956523E-2</v>
      </c>
    </row>
    <row r="741" spans="1:14">
      <c r="A741" s="377" t="s">
        <v>693</v>
      </c>
      <c r="B741" s="377" t="s">
        <v>331</v>
      </c>
      <c r="C741" s="124">
        <v>44764</v>
      </c>
      <c r="D741" s="377">
        <v>1488</v>
      </c>
      <c r="E741" s="377" t="s">
        <v>670</v>
      </c>
      <c r="F741" s="377" t="s">
        <v>342</v>
      </c>
      <c r="G741" s="377" t="s">
        <v>593</v>
      </c>
      <c r="H741" s="377">
        <v>966342</v>
      </c>
      <c r="I741" s="118"/>
      <c r="J741" s="377" t="s">
        <v>192</v>
      </c>
      <c r="K741" s="108">
        <v>31</v>
      </c>
      <c r="L741" s="82">
        <v>24.942</v>
      </c>
      <c r="M741" s="378">
        <f t="shared" si="128"/>
        <v>6.0579999999999998</v>
      </c>
      <c r="N741" s="380">
        <f t="shared" si="129"/>
        <v>0.80458064516129035</v>
      </c>
    </row>
    <row r="742" spans="1:14">
      <c r="A742" s="377" t="s">
        <v>693</v>
      </c>
      <c r="B742" s="377" t="s">
        <v>331</v>
      </c>
      <c r="C742" s="124">
        <v>44764</v>
      </c>
      <c r="D742" s="377">
        <v>1488</v>
      </c>
      <c r="E742" s="377" t="s">
        <v>670</v>
      </c>
      <c r="F742" s="377" t="s">
        <v>342</v>
      </c>
      <c r="G742" s="377" t="s">
        <v>423</v>
      </c>
      <c r="H742" s="377">
        <v>964265</v>
      </c>
      <c r="I742" s="118"/>
      <c r="J742" s="377" t="s">
        <v>191</v>
      </c>
      <c r="K742" s="108">
        <v>69</v>
      </c>
      <c r="L742" s="82"/>
      <c r="M742" s="378">
        <f t="shared" ref="M742:M743" si="130">K742-L742</f>
        <v>69</v>
      </c>
      <c r="N742" s="380">
        <f t="shared" ref="N742:N743" si="131">L742/K742</f>
        <v>0</v>
      </c>
    </row>
    <row r="743" spans="1:14">
      <c r="A743" s="377" t="s">
        <v>693</v>
      </c>
      <c r="B743" s="377" t="s">
        <v>331</v>
      </c>
      <c r="C743" s="124">
        <v>44764</v>
      </c>
      <c r="D743" s="377">
        <v>1488</v>
      </c>
      <c r="E743" s="377" t="s">
        <v>670</v>
      </c>
      <c r="F743" s="377" t="s">
        <v>342</v>
      </c>
      <c r="G743" s="377" t="s">
        <v>423</v>
      </c>
      <c r="H743" s="377">
        <v>964265</v>
      </c>
      <c r="I743" s="118"/>
      <c r="J743" s="377" t="s">
        <v>192</v>
      </c>
      <c r="K743" s="108">
        <v>31</v>
      </c>
      <c r="L743" s="82"/>
      <c r="M743" s="378">
        <f t="shared" si="130"/>
        <v>31</v>
      </c>
      <c r="N743" s="380">
        <f t="shared" si="131"/>
        <v>0</v>
      </c>
    </row>
    <row r="744" spans="1:14">
      <c r="A744" s="377" t="s">
        <v>693</v>
      </c>
      <c r="B744" s="377" t="s">
        <v>331</v>
      </c>
      <c r="C744" s="124">
        <v>44764</v>
      </c>
      <c r="D744" s="377">
        <v>1488</v>
      </c>
      <c r="E744" s="377" t="s">
        <v>670</v>
      </c>
      <c r="F744" s="377" t="s">
        <v>342</v>
      </c>
      <c r="G744" s="377" t="s">
        <v>280</v>
      </c>
      <c r="H744" s="377">
        <v>956044</v>
      </c>
      <c r="I744" s="118"/>
      <c r="J744" s="377" t="s">
        <v>191</v>
      </c>
      <c r="K744" s="108">
        <v>35</v>
      </c>
      <c r="L744" s="82"/>
      <c r="M744" s="378">
        <f t="shared" ref="M744:M745" si="132">K744-L744</f>
        <v>35</v>
      </c>
      <c r="N744" s="380">
        <f t="shared" ref="N744:N745" si="133">L744/K744</f>
        <v>0</v>
      </c>
    </row>
    <row r="745" spans="1:14">
      <c r="A745" s="377" t="s">
        <v>693</v>
      </c>
      <c r="B745" s="377" t="s">
        <v>331</v>
      </c>
      <c r="C745" s="124">
        <v>44764</v>
      </c>
      <c r="D745" s="377">
        <v>1488</v>
      </c>
      <c r="E745" s="377" t="s">
        <v>670</v>
      </c>
      <c r="F745" s="377" t="s">
        <v>342</v>
      </c>
      <c r="G745" s="377" t="s">
        <v>280</v>
      </c>
      <c r="H745" s="377">
        <v>956044</v>
      </c>
      <c r="I745" s="118"/>
      <c r="J745" s="377" t="s">
        <v>192</v>
      </c>
      <c r="K745" s="108">
        <v>15</v>
      </c>
      <c r="L745" s="82"/>
      <c r="M745" s="378">
        <f t="shared" si="132"/>
        <v>15</v>
      </c>
      <c r="N745" s="380">
        <f t="shared" si="133"/>
        <v>0</v>
      </c>
    </row>
    <row r="746" spans="1:14">
      <c r="A746" s="377" t="s">
        <v>693</v>
      </c>
      <c r="B746" s="377" t="s">
        <v>331</v>
      </c>
      <c r="C746" s="124">
        <v>44764</v>
      </c>
      <c r="D746" s="377">
        <v>1488</v>
      </c>
      <c r="E746" s="377" t="s">
        <v>670</v>
      </c>
      <c r="F746" s="377" t="s">
        <v>342</v>
      </c>
      <c r="G746" s="377" t="s">
        <v>594</v>
      </c>
      <c r="H746" s="361">
        <v>913375</v>
      </c>
      <c r="I746" s="118"/>
      <c r="J746" s="377" t="s">
        <v>191</v>
      </c>
      <c r="K746" s="108">
        <v>59</v>
      </c>
      <c r="L746" s="82">
        <v>32.869999999999997</v>
      </c>
      <c r="M746" s="378">
        <f t="shared" ref="M746:M747" si="134">K746-L746</f>
        <v>26.130000000000003</v>
      </c>
      <c r="N746" s="380">
        <f t="shared" ref="N746:N747" si="135">L746/K746</f>
        <v>0.55711864406779654</v>
      </c>
    </row>
    <row r="747" spans="1:14">
      <c r="A747" s="377" t="s">
        <v>693</v>
      </c>
      <c r="B747" s="377" t="s">
        <v>331</v>
      </c>
      <c r="C747" s="124">
        <v>44764</v>
      </c>
      <c r="D747" s="377">
        <v>1488</v>
      </c>
      <c r="E747" s="377" t="s">
        <v>670</v>
      </c>
      <c r="F747" s="377" t="s">
        <v>342</v>
      </c>
      <c r="G747" s="377" t="s">
        <v>594</v>
      </c>
      <c r="H747" s="377">
        <v>913375</v>
      </c>
      <c r="I747" s="118"/>
      <c r="J747" s="377" t="s">
        <v>192</v>
      </c>
      <c r="K747" s="108">
        <v>26</v>
      </c>
      <c r="L747" s="82">
        <v>52.13</v>
      </c>
      <c r="M747" s="378">
        <f t="shared" si="134"/>
        <v>-26.130000000000003</v>
      </c>
      <c r="N747" s="380">
        <f t="shared" si="135"/>
        <v>2.0049999999999999</v>
      </c>
    </row>
    <row r="748" spans="1:14">
      <c r="A748" s="398" t="s">
        <v>760</v>
      </c>
      <c r="B748" s="398" t="s">
        <v>335</v>
      </c>
      <c r="C748" s="124">
        <v>44804</v>
      </c>
      <c r="D748" s="361">
        <v>1798</v>
      </c>
      <c r="E748" s="398" t="s">
        <v>670</v>
      </c>
      <c r="F748" s="398" t="s">
        <v>342</v>
      </c>
      <c r="G748" s="398" t="s">
        <v>473</v>
      </c>
      <c r="H748" s="398">
        <v>967596</v>
      </c>
      <c r="I748" s="118"/>
      <c r="J748" s="398" t="s">
        <v>191</v>
      </c>
      <c r="K748" s="560">
        <v>75</v>
      </c>
      <c r="L748" s="82">
        <v>25</v>
      </c>
      <c r="M748" s="562">
        <f>K748-(L748+L749+L750)</f>
        <v>0</v>
      </c>
      <c r="N748" s="564">
        <f>(L748+L749+L750)/K748</f>
        <v>1</v>
      </c>
    </row>
    <row r="749" spans="1:14">
      <c r="A749" s="398" t="s">
        <v>760</v>
      </c>
      <c r="B749" s="398" t="s">
        <v>335</v>
      </c>
      <c r="C749" s="124">
        <v>44804</v>
      </c>
      <c r="D749" s="398">
        <v>1798</v>
      </c>
      <c r="E749" s="398" t="s">
        <v>670</v>
      </c>
      <c r="F749" s="398" t="s">
        <v>342</v>
      </c>
      <c r="G749" s="398" t="s">
        <v>472</v>
      </c>
      <c r="H749" s="398">
        <v>964441</v>
      </c>
      <c r="I749" s="118"/>
      <c r="J749" s="398" t="s">
        <v>191</v>
      </c>
      <c r="K749" s="566"/>
      <c r="L749" s="82">
        <v>25</v>
      </c>
      <c r="M749" s="567"/>
      <c r="N749" s="568"/>
    </row>
    <row r="750" spans="1:14">
      <c r="A750" s="398" t="s">
        <v>760</v>
      </c>
      <c r="B750" s="398" t="s">
        <v>335</v>
      </c>
      <c r="C750" s="124">
        <v>44804</v>
      </c>
      <c r="D750" s="398">
        <v>1798</v>
      </c>
      <c r="E750" s="398" t="s">
        <v>670</v>
      </c>
      <c r="F750" s="398" t="s">
        <v>342</v>
      </c>
      <c r="G750" s="398" t="s">
        <v>474</v>
      </c>
      <c r="H750" s="398">
        <v>969257</v>
      </c>
      <c r="I750" s="118"/>
      <c r="J750" s="398" t="s">
        <v>191</v>
      </c>
      <c r="K750" s="561"/>
      <c r="L750" s="82">
        <v>25</v>
      </c>
      <c r="M750" s="563"/>
      <c r="N750" s="565"/>
    </row>
    <row r="751" spans="1:14">
      <c r="A751" s="398" t="s">
        <v>760</v>
      </c>
      <c r="B751" s="398" t="s">
        <v>335</v>
      </c>
      <c r="C751" s="124">
        <v>44804</v>
      </c>
      <c r="D751" s="398">
        <v>1798</v>
      </c>
      <c r="E751" s="398" t="s">
        <v>670</v>
      </c>
      <c r="F751" s="398" t="s">
        <v>342</v>
      </c>
      <c r="G751" s="398" t="s">
        <v>473</v>
      </c>
      <c r="H751" s="398">
        <v>967596</v>
      </c>
      <c r="I751" s="118"/>
      <c r="J751" s="398" t="s">
        <v>192</v>
      </c>
      <c r="K751" s="560">
        <v>125</v>
      </c>
      <c r="L751" s="82"/>
      <c r="M751" s="562">
        <f>K751-(L751+L752+L753)</f>
        <v>106.13200000000001</v>
      </c>
      <c r="N751" s="564">
        <f>(L751+L752+L753)/K751</f>
        <v>0.15094399999999999</v>
      </c>
    </row>
    <row r="752" spans="1:14">
      <c r="A752" s="398" t="s">
        <v>760</v>
      </c>
      <c r="B752" s="398" t="s">
        <v>335</v>
      </c>
      <c r="C752" s="124">
        <v>44804</v>
      </c>
      <c r="D752" s="398">
        <v>1798</v>
      </c>
      <c r="E752" s="398" t="s">
        <v>670</v>
      </c>
      <c r="F752" s="398" t="s">
        <v>342</v>
      </c>
      <c r="G752" s="398" t="s">
        <v>472</v>
      </c>
      <c r="H752" s="398">
        <v>964441</v>
      </c>
      <c r="I752" s="118"/>
      <c r="J752" s="398" t="s">
        <v>192</v>
      </c>
      <c r="K752" s="566"/>
      <c r="L752" s="82">
        <v>18.867999999999999</v>
      </c>
      <c r="M752" s="567"/>
      <c r="N752" s="568"/>
    </row>
    <row r="753" spans="1:14">
      <c r="A753" s="398" t="s">
        <v>760</v>
      </c>
      <c r="B753" s="398" t="s">
        <v>335</v>
      </c>
      <c r="C753" s="124">
        <v>44804</v>
      </c>
      <c r="D753" s="398">
        <v>1798</v>
      </c>
      <c r="E753" s="398" t="s">
        <v>670</v>
      </c>
      <c r="F753" s="398" t="s">
        <v>342</v>
      </c>
      <c r="G753" s="398" t="s">
        <v>474</v>
      </c>
      <c r="H753" s="398">
        <v>969257</v>
      </c>
      <c r="I753" s="118"/>
      <c r="J753" s="398" t="s">
        <v>192</v>
      </c>
      <c r="K753" s="561"/>
      <c r="L753" s="82"/>
      <c r="M753" s="563"/>
      <c r="N753" s="565"/>
    </row>
    <row r="754" spans="1:14">
      <c r="A754" s="398" t="s">
        <v>760</v>
      </c>
      <c r="B754" s="398" t="s">
        <v>335</v>
      </c>
      <c r="C754" s="124">
        <v>44804</v>
      </c>
      <c r="D754" s="398">
        <v>1798</v>
      </c>
      <c r="E754" s="398" t="s">
        <v>670</v>
      </c>
      <c r="F754" s="398" t="s">
        <v>342</v>
      </c>
      <c r="G754" s="398" t="s">
        <v>523</v>
      </c>
      <c r="H754" s="398">
        <v>968833</v>
      </c>
      <c r="I754" s="118"/>
      <c r="J754" s="398" t="s">
        <v>191</v>
      </c>
      <c r="K754" s="560">
        <v>95</v>
      </c>
      <c r="L754" s="82">
        <v>110.44499999999999</v>
      </c>
      <c r="M754" s="562">
        <f>K754-(L754+L755)</f>
        <v>-15.444999999999993</v>
      </c>
      <c r="N754" s="564">
        <f>(L754+L755)/K754</f>
        <v>1.1625789473684209</v>
      </c>
    </row>
    <row r="755" spans="1:14">
      <c r="A755" s="398" t="s">
        <v>760</v>
      </c>
      <c r="B755" s="398" t="s">
        <v>335</v>
      </c>
      <c r="C755" s="124">
        <v>44804</v>
      </c>
      <c r="D755" s="398">
        <v>1798</v>
      </c>
      <c r="E755" s="398" t="s">
        <v>670</v>
      </c>
      <c r="F755" s="398" t="s">
        <v>342</v>
      </c>
      <c r="G755" s="398" t="s">
        <v>501</v>
      </c>
      <c r="H755" s="398">
        <v>959370</v>
      </c>
      <c r="I755" s="118"/>
      <c r="J755" s="398" t="s">
        <v>191</v>
      </c>
      <c r="K755" s="561"/>
      <c r="L755" s="82"/>
      <c r="M755" s="563"/>
      <c r="N755" s="565"/>
    </row>
    <row r="756" spans="1:14">
      <c r="A756" s="398" t="s">
        <v>760</v>
      </c>
      <c r="B756" s="398" t="s">
        <v>335</v>
      </c>
      <c r="C756" s="124">
        <v>44804</v>
      </c>
      <c r="D756" s="398">
        <v>1798</v>
      </c>
      <c r="E756" s="398" t="s">
        <v>670</v>
      </c>
      <c r="F756" s="398" t="s">
        <v>342</v>
      </c>
      <c r="G756" s="398" t="s">
        <v>523</v>
      </c>
      <c r="H756" s="398">
        <v>968833</v>
      </c>
      <c r="I756" s="118"/>
      <c r="J756" s="398" t="s">
        <v>192</v>
      </c>
      <c r="K756" s="560">
        <v>150</v>
      </c>
      <c r="L756" s="82">
        <v>59.195</v>
      </c>
      <c r="M756" s="562">
        <f>K756-(L756+L757)</f>
        <v>90.805000000000007</v>
      </c>
      <c r="N756" s="564">
        <f>(L756+L757)/K756</f>
        <v>0.39463333333333334</v>
      </c>
    </row>
    <row r="757" spans="1:14">
      <c r="A757" s="398" t="s">
        <v>760</v>
      </c>
      <c r="B757" s="398" t="s">
        <v>335</v>
      </c>
      <c r="C757" s="124">
        <v>44804</v>
      </c>
      <c r="D757" s="398">
        <v>1798</v>
      </c>
      <c r="E757" s="398" t="s">
        <v>670</v>
      </c>
      <c r="F757" s="398" t="s">
        <v>342</v>
      </c>
      <c r="G757" s="398" t="s">
        <v>501</v>
      </c>
      <c r="H757" s="398">
        <v>959370</v>
      </c>
      <c r="I757" s="118"/>
      <c r="J757" s="398" t="s">
        <v>192</v>
      </c>
      <c r="K757" s="561"/>
      <c r="L757" s="82"/>
      <c r="M757" s="563"/>
      <c r="N757" s="565"/>
    </row>
    <row r="758" spans="1:14">
      <c r="A758" s="406" t="s">
        <v>748</v>
      </c>
      <c r="B758" s="406" t="s">
        <v>331</v>
      </c>
      <c r="C758" s="124">
        <v>44826</v>
      </c>
      <c r="D758" s="361">
        <v>1916</v>
      </c>
      <c r="E758" s="406" t="s">
        <v>670</v>
      </c>
      <c r="F758" s="406" t="s">
        <v>342</v>
      </c>
      <c r="G758" s="406" t="s">
        <v>422</v>
      </c>
      <c r="H758" s="361">
        <v>963197</v>
      </c>
      <c r="I758" s="118"/>
      <c r="J758" s="406" t="s">
        <v>191</v>
      </c>
      <c r="K758" s="108">
        <v>54.250999999999998</v>
      </c>
      <c r="L758" s="82"/>
      <c r="M758" s="407">
        <f t="shared" ref="M758" si="136">K758-L758</f>
        <v>54.250999999999998</v>
      </c>
      <c r="N758" s="408">
        <f t="shared" ref="N758" si="137">L758/K758</f>
        <v>0</v>
      </c>
    </row>
    <row r="759" spans="1:14">
      <c r="A759" s="406" t="s">
        <v>752</v>
      </c>
      <c r="B759" s="406" t="s">
        <v>331</v>
      </c>
      <c r="C759" s="124">
        <v>44826</v>
      </c>
      <c r="D759" s="361">
        <v>1918</v>
      </c>
      <c r="E759" s="406" t="s">
        <v>670</v>
      </c>
      <c r="F759" s="406" t="s">
        <v>342</v>
      </c>
      <c r="G759" s="406" t="s">
        <v>753</v>
      </c>
      <c r="H759" s="361">
        <v>965677</v>
      </c>
      <c r="I759" s="118"/>
      <c r="J759" s="406" t="s">
        <v>191</v>
      </c>
      <c r="K759" s="108">
        <v>33.906999999999996</v>
      </c>
      <c r="L759" s="82"/>
      <c r="M759" s="407">
        <f t="shared" ref="M759:M761" si="138">K759-L759</f>
        <v>33.906999999999996</v>
      </c>
      <c r="N759" s="408">
        <f t="shared" ref="N759:N761" si="139">L759/K759</f>
        <v>0</v>
      </c>
    </row>
    <row r="760" spans="1:14">
      <c r="A760" s="361" t="s">
        <v>774</v>
      </c>
      <c r="B760" s="361" t="s">
        <v>331</v>
      </c>
      <c r="C760" s="124">
        <v>44858</v>
      </c>
      <c r="D760" s="361">
        <v>112</v>
      </c>
      <c r="E760" s="361" t="s">
        <v>332</v>
      </c>
      <c r="F760" s="361" t="s">
        <v>333</v>
      </c>
      <c r="G760" s="361" t="s">
        <v>389</v>
      </c>
      <c r="H760" s="361">
        <v>910367</v>
      </c>
      <c r="I760" s="118"/>
      <c r="J760" s="422" t="s">
        <v>191</v>
      </c>
      <c r="K760" s="108">
        <v>48.5</v>
      </c>
      <c r="L760" s="82"/>
      <c r="M760" s="423">
        <f t="shared" si="138"/>
        <v>48.5</v>
      </c>
      <c r="N760" s="424">
        <f t="shared" si="139"/>
        <v>0</v>
      </c>
    </row>
    <row r="761" spans="1:14">
      <c r="A761" s="422" t="s">
        <v>774</v>
      </c>
      <c r="B761" s="422" t="s">
        <v>331</v>
      </c>
      <c r="C761" s="124">
        <v>44858</v>
      </c>
      <c r="D761" s="422">
        <v>112</v>
      </c>
      <c r="E761" s="422" t="s">
        <v>332</v>
      </c>
      <c r="F761" s="422" t="s">
        <v>333</v>
      </c>
      <c r="G761" s="422" t="s">
        <v>389</v>
      </c>
      <c r="H761" s="422">
        <v>910367</v>
      </c>
      <c r="I761" s="118"/>
      <c r="J761" s="422" t="s">
        <v>192</v>
      </c>
      <c r="K761" s="108">
        <v>74.5</v>
      </c>
      <c r="L761" s="82"/>
      <c r="M761" s="423">
        <f t="shared" si="138"/>
        <v>74.5</v>
      </c>
      <c r="N761" s="424">
        <f t="shared" si="139"/>
        <v>0</v>
      </c>
    </row>
    <row r="762" spans="1:14">
      <c r="A762" s="361" t="s">
        <v>692</v>
      </c>
      <c r="B762" s="361" t="s">
        <v>331</v>
      </c>
      <c r="C762" s="124">
        <v>44861</v>
      </c>
      <c r="D762" s="361">
        <v>2183</v>
      </c>
      <c r="E762" s="361" t="s">
        <v>670</v>
      </c>
      <c r="F762" s="361" t="s">
        <v>342</v>
      </c>
      <c r="G762" s="361" t="s">
        <v>343</v>
      </c>
      <c r="H762" s="361">
        <v>968532</v>
      </c>
      <c r="I762" s="118"/>
      <c r="J762" s="425" t="s">
        <v>191</v>
      </c>
      <c r="K762" s="108">
        <v>230</v>
      </c>
      <c r="L762" s="82"/>
      <c r="M762" s="426">
        <f t="shared" ref="M762:M763" si="140">K762-L762</f>
        <v>230</v>
      </c>
      <c r="N762" s="428">
        <f t="shared" ref="N762:N763" si="141">L762/K762</f>
        <v>0</v>
      </c>
    </row>
    <row r="763" spans="1:14">
      <c r="A763" s="425" t="s">
        <v>692</v>
      </c>
      <c r="B763" s="425" t="s">
        <v>331</v>
      </c>
      <c r="C763" s="124">
        <v>44861</v>
      </c>
      <c r="D763" s="425">
        <v>2183</v>
      </c>
      <c r="E763" s="425" t="s">
        <v>670</v>
      </c>
      <c r="F763" s="425" t="s">
        <v>342</v>
      </c>
      <c r="G763" s="425" t="s">
        <v>343</v>
      </c>
      <c r="H763" s="425">
        <v>968532</v>
      </c>
      <c r="I763" s="118"/>
      <c r="J763" s="425" t="s">
        <v>192</v>
      </c>
      <c r="K763" s="108">
        <v>50</v>
      </c>
      <c r="L763" s="82"/>
      <c r="M763" s="426">
        <f t="shared" si="140"/>
        <v>50</v>
      </c>
      <c r="N763" s="428">
        <f t="shared" si="141"/>
        <v>0</v>
      </c>
    </row>
    <row r="764" spans="1:14">
      <c r="A764" s="425" t="s">
        <v>692</v>
      </c>
      <c r="B764" s="425" t="s">
        <v>331</v>
      </c>
      <c r="C764" s="124">
        <v>44862</v>
      </c>
      <c r="D764" s="425">
        <v>2192</v>
      </c>
      <c r="E764" s="425" t="s">
        <v>670</v>
      </c>
      <c r="F764" s="425" t="s">
        <v>342</v>
      </c>
      <c r="G764" s="425" t="s">
        <v>410</v>
      </c>
      <c r="H764" s="425">
        <v>31292</v>
      </c>
      <c r="I764" s="118"/>
      <c r="J764" s="425" t="s">
        <v>191</v>
      </c>
      <c r="K764" s="108">
        <v>150</v>
      </c>
      <c r="L764" s="82">
        <v>43.015000000000001</v>
      </c>
      <c r="M764" s="426">
        <f t="shared" ref="M764:M765" si="142">K764-L764</f>
        <v>106.985</v>
      </c>
      <c r="N764" s="428">
        <f t="shared" ref="N764:N765" si="143">L764/K764</f>
        <v>0.28676666666666667</v>
      </c>
    </row>
    <row r="765" spans="1:14">
      <c r="A765" s="425" t="s">
        <v>692</v>
      </c>
      <c r="B765" s="425" t="s">
        <v>331</v>
      </c>
      <c r="C765" s="124">
        <v>44862</v>
      </c>
      <c r="D765" s="425">
        <v>2192</v>
      </c>
      <c r="E765" s="425" t="s">
        <v>670</v>
      </c>
      <c r="F765" s="425" t="s">
        <v>342</v>
      </c>
      <c r="G765" s="425" t="s">
        <v>410</v>
      </c>
      <c r="H765" s="425">
        <v>31292</v>
      </c>
      <c r="I765" s="118"/>
      <c r="J765" s="425" t="s">
        <v>192</v>
      </c>
      <c r="K765" s="108">
        <v>50</v>
      </c>
      <c r="L765" s="82">
        <v>27.164999999999999</v>
      </c>
      <c r="M765" s="426">
        <f t="shared" si="142"/>
        <v>22.835000000000001</v>
      </c>
      <c r="N765" s="428">
        <f t="shared" si="143"/>
        <v>0.54330000000000001</v>
      </c>
    </row>
    <row r="766" spans="1:14">
      <c r="A766" s="361" t="s">
        <v>731</v>
      </c>
      <c r="B766" s="361" t="s">
        <v>331</v>
      </c>
      <c r="C766" s="124">
        <v>44862</v>
      </c>
      <c r="D766" s="361">
        <v>2193</v>
      </c>
      <c r="E766" s="425" t="s">
        <v>670</v>
      </c>
      <c r="F766" s="425" t="s">
        <v>342</v>
      </c>
      <c r="G766" s="361" t="s">
        <v>467</v>
      </c>
      <c r="H766" s="361">
        <v>959987</v>
      </c>
      <c r="I766" s="118"/>
      <c r="J766" s="425" t="s">
        <v>191</v>
      </c>
      <c r="K766" s="108">
        <v>135.62799999999999</v>
      </c>
      <c r="L766" s="82"/>
      <c r="M766" s="426">
        <f t="shared" ref="M766" si="144">K766-L766</f>
        <v>135.62799999999999</v>
      </c>
      <c r="N766" s="428">
        <f t="shared" ref="N766" si="145">L766/K766</f>
        <v>0</v>
      </c>
    </row>
    <row r="767" spans="1:14">
      <c r="A767" s="361" t="s">
        <v>737</v>
      </c>
      <c r="B767" s="361" t="s">
        <v>335</v>
      </c>
      <c r="C767" s="124">
        <v>44872</v>
      </c>
      <c r="D767" s="361">
        <v>2251</v>
      </c>
      <c r="E767" s="429" t="s">
        <v>670</v>
      </c>
      <c r="F767" s="429" t="s">
        <v>342</v>
      </c>
      <c r="G767" s="361" t="s">
        <v>502</v>
      </c>
      <c r="H767" s="361">
        <v>967342</v>
      </c>
      <c r="I767" s="118"/>
      <c r="J767" s="429" t="s">
        <v>191</v>
      </c>
      <c r="K767" s="560">
        <v>307.89699999999999</v>
      </c>
      <c r="L767" s="82"/>
      <c r="M767" s="562">
        <f>K767-(L767+L768+L769+L770)</f>
        <v>307.89699999999999</v>
      </c>
      <c r="N767" s="564">
        <f>(L767+L768+L769+L770)/K767</f>
        <v>0</v>
      </c>
    </row>
    <row r="768" spans="1:14">
      <c r="A768" s="429" t="s">
        <v>737</v>
      </c>
      <c r="B768" s="429" t="s">
        <v>335</v>
      </c>
      <c r="C768" s="124">
        <v>44872</v>
      </c>
      <c r="D768" s="429">
        <v>2251</v>
      </c>
      <c r="E768" s="429" t="s">
        <v>670</v>
      </c>
      <c r="F768" s="429" t="s">
        <v>342</v>
      </c>
      <c r="G768" s="361" t="s">
        <v>529</v>
      </c>
      <c r="H768" s="361">
        <v>968797</v>
      </c>
      <c r="I768" s="118"/>
      <c r="J768" s="429" t="s">
        <v>191</v>
      </c>
      <c r="K768" s="566"/>
      <c r="L768" s="82"/>
      <c r="M768" s="567"/>
      <c r="N768" s="568"/>
    </row>
    <row r="769" spans="1:14">
      <c r="A769" s="429" t="s">
        <v>737</v>
      </c>
      <c r="B769" s="429" t="s">
        <v>335</v>
      </c>
      <c r="C769" s="124">
        <v>44872</v>
      </c>
      <c r="D769" s="429">
        <v>2251</v>
      </c>
      <c r="E769" s="429" t="s">
        <v>670</v>
      </c>
      <c r="F769" s="429" t="s">
        <v>342</v>
      </c>
      <c r="G769" s="361" t="s">
        <v>530</v>
      </c>
      <c r="H769" s="361">
        <v>962289</v>
      </c>
      <c r="I769" s="118"/>
      <c r="J769" s="429" t="s">
        <v>191</v>
      </c>
      <c r="K769" s="566"/>
      <c r="L769" s="82"/>
      <c r="M769" s="567"/>
      <c r="N769" s="568"/>
    </row>
    <row r="770" spans="1:14">
      <c r="A770" s="429" t="s">
        <v>737</v>
      </c>
      <c r="B770" s="429" t="s">
        <v>335</v>
      </c>
      <c r="C770" s="124">
        <v>44872</v>
      </c>
      <c r="D770" s="429">
        <v>2251</v>
      </c>
      <c r="E770" s="429" t="s">
        <v>670</v>
      </c>
      <c r="F770" s="429" t="s">
        <v>342</v>
      </c>
      <c r="G770" s="361" t="s">
        <v>531</v>
      </c>
      <c r="H770" s="361">
        <v>698086</v>
      </c>
      <c r="I770" s="118"/>
      <c r="J770" s="429" t="s">
        <v>191</v>
      </c>
      <c r="K770" s="561"/>
      <c r="L770" s="82"/>
      <c r="M770" s="563"/>
      <c r="N770" s="565"/>
    </row>
    <row r="771" spans="1:14">
      <c r="A771" s="429" t="s">
        <v>737</v>
      </c>
      <c r="B771" s="429" t="s">
        <v>335</v>
      </c>
      <c r="C771" s="124">
        <v>44872</v>
      </c>
      <c r="D771" s="429">
        <v>2251</v>
      </c>
      <c r="E771" s="429" t="s">
        <v>670</v>
      </c>
      <c r="F771" s="429" t="s">
        <v>342</v>
      </c>
      <c r="G771" s="429" t="s">
        <v>502</v>
      </c>
      <c r="H771" s="429">
        <v>967342</v>
      </c>
      <c r="I771" s="118"/>
      <c r="J771" s="429" t="s">
        <v>192</v>
      </c>
      <c r="K771" s="560">
        <v>59.814</v>
      </c>
      <c r="L771" s="82"/>
      <c r="M771" s="562">
        <f>K771-(L771+L772+L773+L774)</f>
        <v>59.814</v>
      </c>
      <c r="N771" s="564">
        <f>(L771+L772+L773+L774)/K771</f>
        <v>0</v>
      </c>
    </row>
    <row r="772" spans="1:14">
      <c r="A772" s="429" t="s">
        <v>737</v>
      </c>
      <c r="B772" s="429" t="s">
        <v>335</v>
      </c>
      <c r="C772" s="124">
        <v>44872</v>
      </c>
      <c r="D772" s="429">
        <v>2251</v>
      </c>
      <c r="E772" s="429" t="s">
        <v>670</v>
      </c>
      <c r="F772" s="429" t="s">
        <v>342</v>
      </c>
      <c r="G772" s="429" t="s">
        <v>529</v>
      </c>
      <c r="H772" s="429">
        <v>968797</v>
      </c>
      <c r="I772" s="118"/>
      <c r="J772" s="429" t="s">
        <v>192</v>
      </c>
      <c r="K772" s="566"/>
      <c r="L772" s="82"/>
      <c r="M772" s="567"/>
      <c r="N772" s="568"/>
    </row>
    <row r="773" spans="1:14">
      <c r="A773" s="429" t="s">
        <v>737</v>
      </c>
      <c r="B773" s="429" t="s">
        <v>335</v>
      </c>
      <c r="C773" s="124">
        <v>44872</v>
      </c>
      <c r="D773" s="429">
        <v>2251</v>
      </c>
      <c r="E773" s="429" t="s">
        <v>670</v>
      </c>
      <c r="F773" s="429" t="s">
        <v>342</v>
      </c>
      <c r="G773" s="429" t="s">
        <v>530</v>
      </c>
      <c r="H773" s="429">
        <v>962289</v>
      </c>
      <c r="I773" s="118"/>
      <c r="J773" s="429" t="s">
        <v>192</v>
      </c>
      <c r="K773" s="566"/>
      <c r="L773" s="82"/>
      <c r="M773" s="567"/>
      <c r="N773" s="568"/>
    </row>
    <row r="774" spans="1:14">
      <c r="A774" s="429" t="s">
        <v>737</v>
      </c>
      <c r="B774" s="429" t="s">
        <v>335</v>
      </c>
      <c r="C774" s="124">
        <v>44872</v>
      </c>
      <c r="D774" s="429">
        <v>2251</v>
      </c>
      <c r="E774" s="429" t="s">
        <v>670</v>
      </c>
      <c r="F774" s="429" t="s">
        <v>342</v>
      </c>
      <c r="G774" s="429" t="s">
        <v>531</v>
      </c>
      <c r="H774" s="429">
        <v>698086</v>
      </c>
      <c r="I774" s="118"/>
      <c r="J774" s="429" t="s">
        <v>192</v>
      </c>
      <c r="K774" s="561"/>
      <c r="L774" s="82"/>
      <c r="M774" s="563"/>
      <c r="N774" s="565"/>
    </row>
    <row r="775" spans="1:14">
      <c r="A775" s="429" t="s">
        <v>737</v>
      </c>
      <c r="B775" s="429" t="s">
        <v>335</v>
      </c>
      <c r="C775" s="124">
        <v>44872</v>
      </c>
      <c r="D775" s="429">
        <v>2251</v>
      </c>
      <c r="E775" s="429" t="s">
        <v>670</v>
      </c>
      <c r="F775" s="429" t="s">
        <v>342</v>
      </c>
      <c r="G775" s="361" t="s">
        <v>528</v>
      </c>
      <c r="H775" s="361">
        <v>968981</v>
      </c>
      <c r="I775" s="118"/>
      <c r="J775" s="429" t="s">
        <v>191</v>
      </c>
      <c r="K775" s="560">
        <v>500.26799999999997</v>
      </c>
      <c r="L775" s="82"/>
      <c r="M775" s="562">
        <f>K775-(L775+L776+L777+L778)</f>
        <v>500.26799999999997</v>
      </c>
      <c r="N775" s="564">
        <f>(L775+L776+L777+L778)/K775</f>
        <v>0</v>
      </c>
    </row>
    <row r="776" spans="1:14">
      <c r="A776" s="429" t="s">
        <v>737</v>
      </c>
      <c r="B776" s="429" t="s">
        <v>335</v>
      </c>
      <c r="C776" s="124">
        <v>44872</v>
      </c>
      <c r="D776" s="429">
        <v>2251</v>
      </c>
      <c r="E776" s="429" t="s">
        <v>670</v>
      </c>
      <c r="F776" s="429" t="s">
        <v>342</v>
      </c>
      <c r="G776" s="361" t="s">
        <v>529</v>
      </c>
      <c r="H776" s="361">
        <v>968797</v>
      </c>
      <c r="I776" s="118"/>
      <c r="J776" s="429" t="s">
        <v>191</v>
      </c>
      <c r="K776" s="566"/>
      <c r="L776" s="82"/>
      <c r="M776" s="567"/>
      <c r="N776" s="568"/>
    </row>
    <row r="777" spans="1:14">
      <c r="A777" s="429" t="s">
        <v>737</v>
      </c>
      <c r="B777" s="429" t="s">
        <v>335</v>
      </c>
      <c r="C777" s="124">
        <v>44872</v>
      </c>
      <c r="D777" s="429">
        <v>2251</v>
      </c>
      <c r="E777" s="429" t="s">
        <v>670</v>
      </c>
      <c r="F777" s="429" t="s">
        <v>342</v>
      </c>
      <c r="G777" s="429" t="s">
        <v>530</v>
      </c>
      <c r="H777" s="429">
        <v>962289</v>
      </c>
      <c r="I777" s="118"/>
      <c r="J777" s="429" t="s">
        <v>191</v>
      </c>
      <c r="K777" s="566"/>
      <c r="L777" s="82"/>
      <c r="M777" s="567"/>
      <c r="N777" s="568"/>
    </row>
    <row r="778" spans="1:14">
      <c r="A778" s="429" t="s">
        <v>737</v>
      </c>
      <c r="B778" s="429" t="s">
        <v>335</v>
      </c>
      <c r="C778" s="124">
        <v>44872</v>
      </c>
      <c r="D778" s="429">
        <v>2251</v>
      </c>
      <c r="E778" s="429" t="s">
        <v>670</v>
      </c>
      <c r="F778" s="429" t="s">
        <v>342</v>
      </c>
      <c r="G778" s="429" t="s">
        <v>531</v>
      </c>
      <c r="H778" s="429">
        <v>698086</v>
      </c>
      <c r="I778" s="118"/>
      <c r="J778" s="429" t="s">
        <v>191</v>
      </c>
      <c r="K778" s="561"/>
      <c r="L778" s="82"/>
      <c r="M778" s="563"/>
      <c r="N778" s="565"/>
    </row>
    <row r="779" spans="1:14">
      <c r="A779" s="429" t="s">
        <v>737</v>
      </c>
      <c r="B779" s="429" t="s">
        <v>335</v>
      </c>
      <c r="C779" s="124">
        <v>44872</v>
      </c>
      <c r="D779" s="429">
        <v>2251</v>
      </c>
      <c r="E779" s="429" t="s">
        <v>670</v>
      </c>
      <c r="F779" s="429" t="s">
        <v>342</v>
      </c>
      <c r="G779" s="429" t="s">
        <v>528</v>
      </c>
      <c r="H779" s="429">
        <v>968981</v>
      </c>
      <c r="I779" s="118"/>
      <c r="J779" s="429" t="s">
        <v>192</v>
      </c>
      <c r="K779" s="560">
        <v>560.07299999999998</v>
      </c>
      <c r="L779" s="82"/>
      <c r="M779" s="562">
        <f>K779-(L779+L780+L781+L782)</f>
        <v>560.07299999999998</v>
      </c>
      <c r="N779" s="564">
        <f>(L779+L780+L781+L782)/K779</f>
        <v>0</v>
      </c>
    </row>
    <row r="780" spans="1:14">
      <c r="A780" s="429" t="s">
        <v>737</v>
      </c>
      <c r="B780" s="429" t="s">
        <v>335</v>
      </c>
      <c r="C780" s="124">
        <v>44872</v>
      </c>
      <c r="D780" s="429">
        <v>2251</v>
      </c>
      <c r="E780" s="429" t="s">
        <v>670</v>
      </c>
      <c r="F780" s="429" t="s">
        <v>342</v>
      </c>
      <c r="G780" s="429" t="s">
        <v>529</v>
      </c>
      <c r="H780" s="429">
        <v>968797</v>
      </c>
      <c r="I780" s="118"/>
      <c r="J780" s="429" t="s">
        <v>192</v>
      </c>
      <c r="K780" s="566"/>
      <c r="L780" s="82"/>
      <c r="M780" s="567"/>
      <c r="N780" s="568"/>
    </row>
    <row r="781" spans="1:14">
      <c r="A781" s="429" t="s">
        <v>737</v>
      </c>
      <c r="B781" s="429" t="s">
        <v>335</v>
      </c>
      <c r="C781" s="124">
        <v>44872</v>
      </c>
      <c r="D781" s="429">
        <v>2251</v>
      </c>
      <c r="E781" s="429" t="s">
        <v>670</v>
      </c>
      <c r="F781" s="429" t="s">
        <v>342</v>
      </c>
      <c r="G781" s="429" t="s">
        <v>530</v>
      </c>
      <c r="H781" s="429">
        <v>962289</v>
      </c>
      <c r="I781" s="118"/>
      <c r="J781" s="429" t="s">
        <v>192</v>
      </c>
      <c r="K781" s="566"/>
      <c r="L781" s="82"/>
      <c r="M781" s="567"/>
      <c r="N781" s="568"/>
    </row>
    <row r="782" spans="1:14">
      <c r="A782" s="429" t="s">
        <v>737</v>
      </c>
      <c r="B782" s="429" t="s">
        <v>335</v>
      </c>
      <c r="C782" s="124">
        <v>44872</v>
      </c>
      <c r="D782" s="429">
        <v>2251</v>
      </c>
      <c r="E782" s="429" t="s">
        <v>670</v>
      </c>
      <c r="F782" s="429" t="s">
        <v>342</v>
      </c>
      <c r="G782" s="429" t="s">
        <v>531</v>
      </c>
      <c r="H782" s="429">
        <v>698086</v>
      </c>
      <c r="I782" s="118"/>
      <c r="J782" s="429" t="s">
        <v>192</v>
      </c>
      <c r="K782" s="561"/>
      <c r="L782" s="82"/>
      <c r="M782" s="563"/>
      <c r="N782" s="565"/>
    </row>
    <row r="783" spans="1:14">
      <c r="A783" s="429" t="s">
        <v>737</v>
      </c>
      <c r="B783" s="429" t="s">
        <v>331</v>
      </c>
      <c r="C783" s="124">
        <v>44872</v>
      </c>
      <c r="D783" s="429">
        <v>2251</v>
      </c>
      <c r="E783" s="429" t="s">
        <v>670</v>
      </c>
      <c r="F783" s="429" t="s">
        <v>342</v>
      </c>
      <c r="G783" s="429" t="s">
        <v>521</v>
      </c>
      <c r="H783" s="429">
        <v>968817</v>
      </c>
      <c r="I783" s="118"/>
      <c r="J783" s="429" t="s">
        <v>191</v>
      </c>
      <c r="K783" s="108">
        <v>78.882999999999996</v>
      </c>
      <c r="L783" s="82"/>
      <c r="M783" s="430">
        <f t="shared" ref="M783:M784" si="146">K783-L783</f>
        <v>78.882999999999996</v>
      </c>
      <c r="N783" s="431">
        <f t="shared" ref="N783:N784" si="147">L783/K783</f>
        <v>0</v>
      </c>
    </row>
    <row r="784" spans="1:14">
      <c r="A784" s="429" t="s">
        <v>737</v>
      </c>
      <c r="B784" s="429" t="s">
        <v>331</v>
      </c>
      <c r="C784" s="124">
        <v>44872</v>
      </c>
      <c r="D784" s="429">
        <v>2251</v>
      </c>
      <c r="E784" s="429" t="s">
        <v>670</v>
      </c>
      <c r="F784" s="429" t="s">
        <v>342</v>
      </c>
      <c r="G784" s="429" t="s">
        <v>521</v>
      </c>
      <c r="H784" s="429">
        <v>968817</v>
      </c>
      <c r="I784" s="118"/>
      <c r="J784" s="429" t="s">
        <v>192</v>
      </c>
      <c r="K784" s="108">
        <v>0</v>
      </c>
      <c r="L784" s="82"/>
      <c r="M784" s="430">
        <f t="shared" si="146"/>
        <v>0</v>
      </c>
      <c r="N784" s="431" t="e">
        <f t="shared" si="147"/>
        <v>#DIV/0!</v>
      </c>
    </row>
    <row r="785" spans="1:14">
      <c r="A785" s="361" t="s">
        <v>719</v>
      </c>
      <c r="B785" s="361" t="s">
        <v>331</v>
      </c>
      <c r="C785" s="124">
        <v>44872</v>
      </c>
      <c r="D785" s="361">
        <v>2253</v>
      </c>
      <c r="E785" s="429" t="s">
        <v>670</v>
      </c>
      <c r="F785" s="429" t="s">
        <v>342</v>
      </c>
      <c r="G785" s="361" t="s">
        <v>529</v>
      </c>
      <c r="H785" s="429">
        <v>968797</v>
      </c>
      <c r="I785" s="118"/>
      <c r="J785" s="429" t="s">
        <v>192</v>
      </c>
      <c r="K785" s="108">
        <v>54.54</v>
      </c>
      <c r="L785" s="82"/>
      <c r="M785" s="430">
        <f t="shared" ref="M785:M787" si="148">K785-L785</f>
        <v>54.54</v>
      </c>
      <c r="N785" s="431">
        <f t="shared" ref="N785:N787" si="149">L785/K785</f>
        <v>0</v>
      </c>
    </row>
    <row r="786" spans="1:14">
      <c r="A786" s="361" t="s">
        <v>720</v>
      </c>
      <c r="B786" s="432" t="s">
        <v>331</v>
      </c>
      <c r="C786" s="124">
        <v>44874</v>
      </c>
      <c r="D786" s="361">
        <v>2285</v>
      </c>
      <c r="E786" s="432" t="s">
        <v>670</v>
      </c>
      <c r="F786" s="432" t="s">
        <v>342</v>
      </c>
      <c r="G786" s="361" t="s">
        <v>491</v>
      </c>
      <c r="H786" s="361">
        <v>926065</v>
      </c>
      <c r="I786" s="118"/>
      <c r="J786" s="432" t="s">
        <v>191</v>
      </c>
      <c r="K786" s="108">
        <v>20.356999999999999</v>
      </c>
      <c r="L786" s="82"/>
      <c r="M786" s="433">
        <f t="shared" si="148"/>
        <v>20.356999999999999</v>
      </c>
      <c r="N786" s="434">
        <f t="shared" si="149"/>
        <v>0</v>
      </c>
    </row>
    <row r="787" spans="1:14">
      <c r="A787" s="432" t="s">
        <v>720</v>
      </c>
      <c r="B787" s="432" t="s">
        <v>331</v>
      </c>
      <c r="C787" s="124">
        <v>44874</v>
      </c>
      <c r="D787" s="432">
        <v>2285</v>
      </c>
      <c r="E787" s="432" t="s">
        <v>670</v>
      </c>
      <c r="F787" s="432" t="s">
        <v>342</v>
      </c>
      <c r="G787" s="432" t="s">
        <v>491</v>
      </c>
      <c r="H787" s="432">
        <v>926065</v>
      </c>
      <c r="I787" s="118"/>
      <c r="J787" s="432" t="s">
        <v>192</v>
      </c>
      <c r="K787" s="108">
        <v>120.404</v>
      </c>
      <c r="L787" s="82"/>
      <c r="M787" s="433">
        <f t="shared" si="148"/>
        <v>120.404</v>
      </c>
      <c r="N787" s="434">
        <f t="shared" si="149"/>
        <v>0</v>
      </c>
    </row>
    <row r="788" spans="1:14">
      <c r="A788" s="432" t="s">
        <v>720</v>
      </c>
      <c r="B788" s="432" t="s">
        <v>335</v>
      </c>
      <c r="C788" s="124">
        <v>44874</v>
      </c>
      <c r="D788" s="432">
        <v>2285</v>
      </c>
      <c r="E788" s="432" t="s">
        <v>670</v>
      </c>
      <c r="F788" s="432" t="s">
        <v>342</v>
      </c>
      <c r="G788" s="361" t="s">
        <v>499</v>
      </c>
      <c r="H788" s="361">
        <v>968160</v>
      </c>
      <c r="I788" s="118"/>
      <c r="J788" s="432" t="s">
        <v>191</v>
      </c>
      <c r="K788" s="560">
        <v>71.248999999999995</v>
      </c>
      <c r="L788" s="82"/>
      <c r="M788" s="562">
        <f>K788-(L788+L789)</f>
        <v>71.248999999999995</v>
      </c>
      <c r="N788" s="564">
        <f>(L788+L789)/K788</f>
        <v>0</v>
      </c>
    </row>
    <row r="789" spans="1:14">
      <c r="A789" s="432" t="s">
        <v>720</v>
      </c>
      <c r="B789" s="432" t="s">
        <v>335</v>
      </c>
      <c r="C789" s="124">
        <v>44874</v>
      </c>
      <c r="D789" s="432">
        <v>2285</v>
      </c>
      <c r="E789" s="432" t="s">
        <v>670</v>
      </c>
      <c r="F789" s="432" t="s">
        <v>342</v>
      </c>
      <c r="G789" s="361" t="s">
        <v>498</v>
      </c>
      <c r="H789" s="361">
        <v>969106</v>
      </c>
      <c r="I789" s="118"/>
      <c r="J789" s="432" t="s">
        <v>191</v>
      </c>
      <c r="K789" s="561"/>
      <c r="L789" s="82"/>
      <c r="M789" s="563"/>
      <c r="N789" s="565"/>
    </row>
    <row r="790" spans="1:14">
      <c r="A790" s="432" t="s">
        <v>720</v>
      </c>
      <c r="B790" s="432" t="s">
        <v>335</v>
      </c>
      <c r="C790" s="124">
        <v>44874</v>
      </c>
      <c r="D790" s="432">
        <v>2285</v>
      </c>
      <c r="E790" s="432" t="s">
        <v>670</v>
      </c>
      <c r="F790" s="432" t="s">
        <v>342</v>
      </c>
      <c r="G790" s="432" t="s">
        <v>499</v>
      </c>
      <c r="H790" s="432">
        <v>968160</v>
      </c>
      <c r="I790" s="118"/>
      <c r="J790" s="432" t="s">
        <v>192</v>
      </c>
      <c r="K790" s="560">
        <v>209.73599999999999</v>
      </c>
      <c r="L790" s="82"/>
      <c r="M790" s="562">
        <f>K790-(L790+L791)</f>
        <v>209.73599999999999</v>
      </c>
      <c r="N790" s="564">
        <f>(L790+L791)/K790</f>
        <v>0</v>
      </c>
    </row>
    <row r="791" spans="1:14">
      <c r="A791" s="432" t="s">
        <v>720</v>
      </c>
      <c r="B791" s="432" t="s">
        <v>335</v>
      </c>
      <c r="C791" s="124">
        <v>44874</v>
      </c>
      <c r="D791" s="432">
        <v>2285</v>
      </c>
      <c r="E791" s="432" t="s">
        <v>670</v>
      </c>
      <c r="F791" s="432" t="s">
        <v>342</v>
      </c>
      <c r="G791" s="432" t="s">
        <v>498</v>
      </c>
      <c r="H791" s="432">
        <v>969106</v>
      </c>
      <c r="I791" s="118"/>
      <c r="J791" s="432" t="s">
        <v>192</v>
      </c>
      <c r="K791" s="561"/>
      <c r="L791" s="82"/>
      <c r="M791" s="563"/>
      <c r="N791" s="565"/>
    </row>
    <row r="792" spans="1:14">
      <c r="A792" s="432" t="s">
        <v>720</v>
      </c>
      <c r="B792" s="432" t="s">
        <v>335</v>
      </c>
      <c r="C792" s="124">
        <v>44874</v>
      </c>
      <c r="D792" s="432">
        <v>2285</v>
      </c>
      <c r="E792" s="432" t="s">
        <v>670</v>
      </c>
      <c r="F792" s="432" t="s">
        <v>342</v>
      </c>
      <c r="G792" s="432" t="s">
        <v>529</v>
      </c>
      <c r="H792" s="432">
        <v>968797</v>
      </c>
      <c r="I792" s="118"/>
      <c r="J792" s="432" t="s">
        <v>191</v>
      </c>
      <c r="K792" s="560">
        <v>71.248999999999995</v>
      </c>
      <c r="L792" s="82"/>
      <c r="M792" s="562">
        <f>K792-(L792+L793+L794+L795)</f>
        <v>71.248999999999995</v>
      </c>
      <c r="N792" s="564">
        <f>(L792+L793+L794+L795)/K792</f>
        <v>0</v>
      </c>
    </row>
    <row r="793" spans="1:14">
      <c r="A793" s="432" t="s">
        <v>720</v>
      </c>
      <c r="B793" s="432" t="s">
        <v>335</v>
      </c>
      <c r="C793" s="124">
        <v>44874</v>
      </c>
      <c r="D793" s="432">
        <v>2285</v>
      </c>
      <c r="E793" s="432" t="s">
        <v>670</v>
      </c>
      <c r="F793" s="432" t="s">
        <v>342</v>
      </c>
      <c r="G793" s="432" t="s">
        <v>530</v>
      </c>
      <c r="H793" s="432">
        <v>962289</v>
      </c>
      <c r="I793" s="118"/>
      <c r="J793" s="432" t="s">
        <v>191</v>
      </c>
      <c r="K793" s="566"/>
      <c r="L793" s="82"/>
      <c r="M793" s="567"/>
      <c r="N793" s="568"/>
    </row>
    <row r="794" spans="1:14">
      <c r="A794" s="432" t="s">
        <v>720</v>
      </c>
      <c r="B794" s="432" t="s">
        <v>335</v>
      </c>
      <c r="C794" s="124">
        <v>44874</v>
      </c>
      <c r="D794" s="432">
        <v>2285</v>
      </c>
      <c r="E794" s="432" t="s">
        <v>670</v>
      </c>
      <c r="F794" s="432" t="s">
        <v>342</v>
      </c>
      <c r="G794" s="432" t="s">
        <v>531</v>
      </c>
      <c r="H794" s="432">
        <v>698086</v>
      </c>
      <c r="I794" s="118"/>
      <c r="J794" s="432" t="s">
        <v>191</v>
      </c>
      <c r="K794" s="566"/>
      <c r="L794" s="82"/>
      <c r="M794" s="567"/>
      <c r="N794" s="568"/>
    </row>
    <row r="795" spans="1:14">
      <c r="A795" s="432" t="s">
        <v>720</v>
      </c>
      <c r="B795" s="432" t="s">
        <v>335</v>
      </c>
      <c r="C795" s="124">
        <v>44874</v>
      </c>
      <c r="D795" s="432">
        <v>2285</v>
      </c>
      <c r="E795" s="432" t="s">
        <v>670</v>
      </c>
      <c r="F795" s="432" t="s">
        <v>342</v>
      </c>
      <c r="G795" s="432" t="s">
        <v>528</v>
      </c>
      <c r="H795" s="432">
        <v>968981</v>
      </c>
      <c r="I795" s="118"/>
      <c r="J795" s="432" t="s">
        <v>191</v>
      </c>
      <c r="K795" s="561"/>
      <c r="L795" s="82"/>
      <c r="M795" s="563"/>
      <c r="N795" s="565"/>
    </row>
    <row r="796" spans="1:14">
      <c r="A796" s="432" t="s">
        <v>720</v>
      </c>
      <c r="B796" s="432" t="s">
        <v>335</v>
      </c>
      <c r="C796" s="124">
        <v>44874</v>
      </c>
      <c r="D796" s="432">
        <v>2285</v>
      </c>
      <c r="E796" s="432" t="s">
        <v>670</v>
      </c>
      <c r="F796" s="432" t="s">
        <v>342</v>
      </c>
      <c r="G796" s="432" t="s">
        <v>529</v>
      </c>
      <c r="H796" s="432">
        <v>968797</v>
      </c>
      <c r="I796" s="118"/>
      <c r="J796" s="432" t="s">
        <v>192</v>
      </c>
      <c r="K796" s="560">
        <v>209.73599999999999</v>
      </c>
      <c r="L796" s="82"/>
      <c r="M796" s="562">
        <f>K796-(L796+L797+L798+L799)</f>
        <v>209.73599999999999</v>
      </c>
      <c r="N796" s="564">
        <f>(L796+L797+L798+L799)/K796</f>
        <v>0</v>
      </c>
    </row>
    <row r="797" spans="1:14">
      <c r="A797" s="432" t="s">
        <v>720</v>
      </c>
      <c r="B797" s="432" t="s">
        <v>335</v>
      </c>
      <c r="C797" s="124">
        <v>44874</v>
      </c>
      <c r="D797" s="432">
        <v>2285</v>
      </c>
      <c r="E797" s="432" t="s">
        <v>670</v>
      </c>
      <c r="F797" s="432" t="s">
        <v>342</v>
      </c>
      <c r="G797" s="432" t="s">
        <v>530</v>
      </c>
      <c r="H797" s="432">
        <v>962289</v>
      </c>
      <c r="I797" s="118"/>
      <c r="J797" s="432" t="s">
        <v>192</v>
      </c>
      <c r="K797" s="566"/>
      <c r="L797" s="82"/>
      <c r="M797" s="567"/>
      <c r="N797" s="568"/>
    </row>
    <row r="798" spans="1:14">
      <c r="A798" s="432" t="s">
        <v>720</v>
      </c>
      <c r="B798" s="432" t="s">
        <v>335</v>
      </c>
      <c r="C798" s="124">
        <v>44874</v>
      </c>
      <c r="D798" s="432">
        <v>2285</v>
      </c>
      <c r="E798" s="432" t="s">
        <v>670</v>
      </c>
      <c r="F798" s="432" t="s">
        <v>342</v>
      </c>
      <c r="G798" s="432" t="s">
        <v>531</v>
      </c>
      <c r="H798" s="432">
        <v>698086</v>
      </c>
      <c r="I798" s="118"/>
      <c r="J798" s="432" t="s">
        <v>192</v>
      </c>
      <c r="K798" s="566"/>
      <c r="L798" s="82"/>
      <c r="M798" s="567"/>
      <c r="N798" s="568"/>
    </row>
    <row r="799" spans="1:14">
      <c r="A799" s="432" t="s">
        <v>720</v>
      </c>
      <c r="B799" s="432" t="s">
        <v>335</v>
      </c>
      <c r="C799" s="124">
        <v>44874</v>
      </c>
      <c r="D799" s="432">
        <v>2285</v>
      </c>
      <c r="E799" s="432" t="s">
        <v>670</v>
      </c>
      <c r="F799" s="432" t="s">
        <v>342</v>
      </c>
      <c r="G799" s="432" t="s">
        <v>528</v>
      </c>
      <c r="H799" s="432">
        <v>968981</v>
      </c>
      <c r="I799" s="118"/>
      <c r="J799" s="432" t="s">
        <v>192</v>
      </c>
      <c r="K799" s="561"/>
      <c r="L799" s="82"/>
      <c r="M799" s="563"/>
      <c r="N799" s="565"/>
    </row>
    <row r="800" spans="1:14">
      <c r="A800" s="432" t="s">
        <v>720</v>
      </c>
      <c r="B800" s="432" t="s">
        <v>335</v>
      </c>
      <c r="C800" s="124">
        <v>44874</v>
      </c>
      <c r="D800" s="432">
        <v>2285</v>
      </c>
      <c r="E800" s="432" t="s">
        <v>670</v>
      </c>
      <c r="F800" s="432" t="s">
        <v>342</v>
      </c>
      <c r="G800" s="432" t="s">
        <v>521</v>
      </c>
      <c r="H800" s="432">
        <v>968817</v>
      </c>
      <c r="I800" s="118"/>
      <c r="J800" s="432" t="s">
        <v>191</v>
      </c>
      <c r="K800" s="560">
        <v>76.337999999999994</v>
      </c>
      <c r="L800" s="82"/>
      <c r="M800" s="562">
        <f>K800-(L800+L801+L802)</f>
        <v>76.337999999999994</v>
      </c>
      <c r="N800" s="564">
        <f>(L800+L801+L802)/K800</f>
        <v>0</v>
      </c>
    </row>
    <row r="801" spans="1:14">
      <c r="A801" s="432" t="s">
        <v>720</v>
      </c>
      <c r="B801" s="432" t="s">
        <v>335</v>
      </c>
      <c r="C801" s="124">
        <v>44874</v>
      </c>
      <c r="D801" s="432">
        <v>2285</v>
      </c>
      <c r="E801" s="432" t="s">
        <v>670</v>
      </c>
      <c r="F801" s="432" t="s">
        <v>342</v>
      </c>
      <c r="G801" s="432" t="s">
        <v>520</v>
      </c>
      <c r="H801" s="432">
        <v>697864</v>
      </c>
      <c r="I801" s="118"/>
      <c r="J801" s="432" t="s">
        <v>191</v>
      </c>
      <c r="K801" s="566"/>
      <c r="L801" s="82"/>
      <c r="M801" s="567"/>
      <c r="N801" s="568"/>
    </row>
    <row r="802" spans="1:14">
      <c r="A802" s="432" t="s">
        <v>720</v>
      </c>
      <c r="B802" s="432" t="s">
        <v>335</v>
      </c>
      <c r="C802" s="124">
        <v>44874</v>
      </c>
      <c r="D802" s="432">
        <v>2285</v>
      </c>
      <c r="E802" s="432" t="s">
        <v>670</v>
      </c>
      <c r="F802" s="432" t="s">
        <v>342</v>
      </c>
      <c r="G802" s="361" t="s">
        <v>526</v>
      </c>
      <c r="H802" s="361">
        <v>699846</v>
      </c>
      <c r="I802" s="118"/>
      <c r="J802" s="432" t="s">
        <v>191</v>
      </c>
      <c r="K802" s="561"/>
      <c r="L802" s="82"/>
      <c r="M802" s="563"/>
      <c r="N802" s="565"/>
    </row>
    <row r="803" spans="1:14">
      <c r="A803" s="432" t="s">
        <v>720</v>
      </c>
      <c r="B803" s="432" t="s">
        <v>335</v>
      </c>
      <c r="C803" s="124">
        <v>44874</v>
      </c>
      <c r="D803" s="432">
        <v>2285</v>
      </c>
      <c r="E803" s="432" t="s">
        <v>670</v>
      </c>
      <c r="F803" s="432" t="s">
        <v>342</v>
      </c>
      <c r="G803" s="432" t="s">
        <v>521</v>
      </c>
      <c r="H803" s="432">
        <v>968817</v>
      </c>
      <c r="I803" s="118"/>
      <c r="J803" s="432" t="s">
        <v>192</v>
      </c>
      <c r="K803" s="560">
        <v>233.04</v>
      </c>
      <c r="L803" s="82"/>
      <c r="M803" s="562">
        <f>K803-(L803+L804+L805)</f>
        <v>233.04</v>
      </c>
      <c r="N803" s="564">
        <f>(L803+L804+L805)/K803</f>
        <v>0</v>
      </c>
    </row>
    <row r="804" spans="1:14">
      <c r="A804" s="432" t="s">
        <v>720</v>
      </c>
      <c r="B804" s="432" t="s">
        <v>335</v>
      </c>
      <c r="C804" s="124">
        <v>44874</v>
      </c>
      <c r="D804" s="432">
        <v>2285</v>
      </c>
      <c r="E804" s="432" t="s">
        <v>670</v>
      </c>
      <c r="F804" s="432" t="s">
        <v>342</v>
      </c>
      <c r="G804" s="432" t="s">
        <v>520</v>
      </c>
      <c r="H804" s="432">
        <v>697864</v>
      </c>
      <c r="I804" s="118"/>
      <c r="J804" s="432" t="s">
        <v>192</v>
      </c>
      <c r="K804" s="566"/>
      <c r="L804" s="82"/>
      <c r="M804" s="567"/>
      <c r="N804" s="568"/>
    </row>
    <row r="805" spans="1:14">
      <c r="A805" s="432" t="s">
        <v>720</v>
      </c>
      <c r="B805" s="432" t="s">
        <v>335</v>
      </c>
      <c r="C805" s="124">
        <v>44874</v>
      </c>
      <c r="D805" s="432">
        <v>2285</v>
      </c>
      <c r="E805" s="432" t="s">
        <v>670</v>
      </c>
      <c r="F805" s="432" t="s">
        <v>342</v>
      </c>
      <c r="G805" s="432" t="s">
        <v>526</v>
      </c>
      <c r="H805" s="432">
        <v>699846</v>
      </c>
      <c r="I805" s="118"/>
      <c r="J805" s="432" t="s">
        <v>192</v>
      </c>
      <c r="K805" s="561"/>
      <c r="L805" s="82"/>
      <c r="M805" s="563"/>
      <c r="N805" s="565"/>
    </row>
    <row r="806" spans="1:14">
      <c r="A806" s="361" t="s">
        <v>781</v>
      </c>
      <c r="B806" s="361" t="s">
        <v>335</v>
      </c>
      <c r="C806" s="124">
        <v>44874</v>
      </c>
      <c r="D806" s="361">
        <v>2286</v>
      </c>
      <c r="E806" s="432" t="s">
        <v>670</v>
      </c>
      <c r="F806" s="432" t="s">
        <v>342</v>
      </c>
      <c r="G806" s="361" t="s">
        <v>421</v>
      </c>
      <c r="H806" s="361">
        <v>952296</v>
      </c>
      <c r="I806" s="118"/>
      <c r="J806" s="432" t="s">
        <v>191</v>
      </c>
      <c r="K806" s="560">
        <v>250.91499999999999</v>
      </c>
      <c r="L806" s="82"/>
      <c r="M806" s="562">
        <f>K806-(L806+L807)</f>
        <v>250.91499999999999</v>
      </c>
      <c r="N806" s="564">
        <f>(L806+L807)/K806</f>
        <v>0</v>
      </c>
    </row>
    <row r="807" spans="1:14">
      <c r="A807" s="432" t="s">
        <v>781</v>
      </c>
      <c r="B807" s="432" t="s">
        <v>335</v>
      </c>
      <c r="C807" s="124">
        <v>44874</v>
      </c>
      <c r="D807" s="432">
        <v>2286</v>
      </c>
      <c r="E807" s="432" t="s">
        <v>670</v>
      </c>
      <c r="F807" s="432" t="s">
        <v>342</v>
      </c>
      <c r="G807" s="361" t="s">
        <v>430</v>
      </c>
      <c r="H807" s="361">
        <v>699838</v>
      </c>
      <c r="I807" s="118"/>
      <c r="J807" s="432" t="s">
        <v>191</v>
      </c>
      <c r="K807" s="561"/>
      <c r="L807" s="82"/>
      <c r="M807" s="563"/>
      <c r="N807" s="565"/>
    </row>
    <row r="808" spans="1:14">
      <c r="A808" s="361" t="s">
        <v>691</v>
      </c>
      <c r="B808" s="361" t="s">
        <v>331</v>
      </c>
      <c r="C808" s="124">
        <v>44882</v>
      </c>
      <c r="D808" s="361">
        <v>2380</v>
      </c>
      <c r="E808" s="361" t="s">
        <v>670</v>
      </c>
      <c r="F808" s="361" t="s">
        <v>342</v>
      </c>
      <c r="G808" s="361" t="s">
        <v>484</v>
      </c>
      <c r="H808" s="361">
        <v>969525</v>
      </c>
      <c r="I808" s="118"/>
      <c r="J808" s="439" t="s">
        <v>191</v>
      </c>
      <c r="K808" s="108">
        <v>170</v>
      </c>
      <c r="L808" s="82"/>
      <c r="M808" s="440">
        <f t="shared" ref="M808:M809" si="150">K808-L808</f>
        <v>170</v>
      </c>
      <c r="N808" s="442">
        <f t="shared" ref="N808:N809" si="151">L808/K808</f>
        <v>0</v>
      </c>
    </row>
    <row r="809" spans="1:14">
      <c r="A809" s="439" t="s">
        <v>691</v>
      </c>
      <c r="B809" s="439" t="s">
        <v>331</v>
      </c>
      <c r="C809" s="124">
        <v>44882</v>
      </c>
      <c r="D809" s="439">
        <v>2380</v>
      </c>
      <c r="E809" s="439" t="s">
        <v>670</v>
      </c>
      <c r="F809" s="439" t="s">
        <v>342</v>
      </c>
      <c r="G809" s="439" t="s">
        <v>484</v>
      </c>
      <c r="H809" s="439">
        <v>969525</v>
      </c>
      <c r="I809" s="118"/>
      <c r="J809" s="439" t="s">
        <v>192</v>
      </c>
      <c r="K809" s="108">
        <v>130</v>
      </c>
      <c r="L809" s="82"/>
      <c r="M809" s="440">
        <f t="shared" si="150"/>
        <v>130</v>
      </c>
      <c r="N809" s="442">
        <f t="shared" si="151"/>
        <v>0</v>
      </c>
    </row>
    <row r="810" spans="1:14">
      <c r="A810" s="439" t="s">
        <v>691</v>
      </c>
      <c r="B810" s="439" t="s">
        <v>331</v>
      </c>
      <c r="C810" s="124">
        <v>44882</v>
      </c>
      <c r="D810" s="439">
        <v>2380</v>
      </c>
      <c r="E810" s="439" t="s">
        <v>670</v>
      </c>
      <c r="F810" s="439" t="s">
        <v>342</v>
      </c>
      <c r="G810" s="361" t="s">
        <v>420</v>
      </c>
      <c r="H810" s="361">
        <v>958573</v>
      </c>
      <c r="I810" s="118"/>
      <c r="J810" s="439" t="s">
        <v>191</v>
      </c>
      <c r="K810" s="108">
        <v>170</v>
      </c>
      <c r="L810" s="82"/>
      <c r="M810" s="440">
        <f t="shared" ref="M810:M817" si="152">K810-L810</f>
        <v>170</v>
      </c>
      <c r="N810" s="442">
        <f t="shared" ref="N810:N817" si="153">L810/K810</f>
        <v>0</v>
      </c>
    </row>
    <row r="811" spans="1:14">
      <c r="A811" s="439" t="s">
        <v>691</v>
      </c>
      <c r="B811" s="439" t="s">
        <v>331</v>
      </c>
      <c r="C811" s="124">
        <v>44882</v>
      </c>
      <c r="D811" s="439">
        <v>2380</v>
      </c>
      <c r="E811" s="439" t="s">
        <v>670</v>
      </c>
      <c r="F811" s="439" t="s">
        <v>342</v>
      </c>
      <c r="G811" s="439" t="s">
        <v>420</v>
      </c>
      <c r="H811" s="439">
        <v>958573</v>
      </c>
      <c r="I811" s="118"/>
      <c r="J811" s="439" t="s">
        <v>192</v>
      </c>
      <c r="K811" s="108">
        <v>130</v>
      </c>
      <c r="L811" s="82"/>
      <c r="M811" s="440">
        <f t="shared" si="152"/>
        <v>130</v>
      </c>
      <c r="N811" s="442">
        <f t="shared" si="153"/>
        <v>0</v>
      </c>
    </row>
    <row r="812" spans="1:14">
      <c r="A812" s="439" t="s">
        <v>691</v>
      </c>
      <c r="B812" s="439" t="s">
        <v>331</v>
      </c>
      <c r="C812" s="124">
        <v>44882</v>
      </c>
      <c r="D812" s="439">
        <v>2380</v>
      </c>
      <c r="E812" s="439" t="s">
        <v>670</v>
      </c>
      <c r="F812" s="439" t="s">
        <v>342</v>
      </c>
      <c r="G812" s="361" t="s">
        <v>364</v>
      </c>
      <c r="H812" s="361">
        <v>950818</v>
      </c>
      <c r="I812" s="118"/>
      <c r="J812" s="439" t="s">
        <v>191</v>
      </c>
      <c r="K812" s="108">
        <v>280</v>
      </c>
      <c r="L812" s="82"/>
      <c r="M812" s="440">
        <f t="shared" si="152"/>
        <v>280</v>
      </c>
      <c r="N812" s="442">
        <f t="shared" si="153"/>
        <v>0</v>
      </c>
    </row>
    <row r="813" spans="1:14">
      <c r="A813" s="439" t="s">
        <v>691</v>
      </c>
      <c r="B813" s="439" t="s">
        <v>331</v>
      </c>
      <c r="C813" s="124">
        <v>44882</v>
      </c>
      <c r="D813" s="439">
        <v>2380</v>
      </c>
      <c r="E813" s="439" t="s">
        <v>670</v>
      </c>
      <c r="F813" s="439" t="s">
        <v>342</v>
      </c>
      <c r="G813" s="439" t="s">
        <v>364</v>
      </c>
      <c r="H813" s="439">
        <v>950818</v>
      </c>
      <c r="I813" s="118"/>
      <c r="J813" s="439" t="s">
        <v>192</v>
      </c>
      <c r="K813" s="108">
        <v>220</v>
      </c>
      <c r="L813" s="82"/>
      <c r="M813" s="440">
        <f t="shared" si="152"/>
        <v>220</v>
      </c>
      <c r="N813" s="442">
        <f t="shared" si="153"/>
        <v>0</v>
      </c>
    </row>
    <row r="814" spans="1:14">
      <c r="A814" s="439" t="s">
        <v>691</v>
      </c>
      <c r="B814" s="439" t="s">
        <v>331</v>
      </c>
      <c r="C814" s="124">
        <v>44882</v>
      </c>
      <c r="D814" s="439">
        <v>2380</v>
      </c>
      <c r="E814" s="439" t="s">
        <v>670</v>
      </c>
      <c r="F814" s="439" t="s">
        <v>342</v>
      </c>
      <c r="G814" s="361" t="s">
        <v>368</v>
      </c>
      <c r="H814" s="361">
        <v>968864</v>
      </c>
      <c r="I814" s="118"/>
      <c r="J814" s="439" t="s">
        <v>191</v>
      </c>
      <c r="K814" s="108">
        <v>170</v>
      </c>
      <c r="L814" s="82"/>
      <c r="M814" s="440">
        <f t="shared" si="152"/>
        <v>170</v>
      </c>
      <c r="N814" s="442">
        <f t="shared" si="153"/>
        <v>0</v>
      </c>
    </row>
    <row r="815" spans="1:14">
      <c r="A815" s="439" t="s">
        <v>691</v>
      </c>
      <c r="B815" s="439" t="s">
        <v>331</v>
      </c>
      <c r="C815" s="124">
        <v>44882</v>
      </c>
      <c r="D815" s="439">
        <v>2380</v>
      </c>
      <c r="E815" s="439" t="s">
        <v>670</v>
      </c>
      <c r="F815" s="439" t="s">
        <v>342</v>
      </c>
      <c r="G815" s="439" t="s">
        <v>368</v>
      </c>
      <c r="H815" s="439">
        <v>968864</v>
      </c>
      <c r="I815" s="118"/>
      <c r="J815" s="439" t="s">
        <v>192</v>
      </c>
      <c r="K815" s="108">
        <v>130</v>
      </c>
      <c r="L815" s="82"/>
      <c r="M815" s="440">
        <f t="shared" si="152"/>
        <v>130</v>
      </c>
      <c r="N815" s="442">
        <f t="shared" si="153"/>
        <v>0</v>
      </c>
    </row>
    <row r="816" spans="1:14">
      <c r="A816" s="439" t="s">
        <v>691</v>
      </c>
      <c r="B816" s="439" t="s">
        <v>331</v>
      </c>
      <c r="C816" s="124">
        <v>44882</v>
      </c>
      <c r="D816" s="439">
        <v>2380</v>
      </c>
      <c r="E816" s="439" t="s">
        <v>670</v>
      </c>
      <c r="F816" s="439" t="s">
        <v>342</v>
      </c>
      <c r="G816" s="361" t="s">
        <v>396</v>
      </c>
      <c r="H816" s="361">
        <v>698168</v>
      </c>
      <c r="I816" s="118"/>
      <c r="J816" s="439" t="s">
        <v>191</v>
      </c>
      <c r="K816" s="108">
        <v>170</v>
      </c>
      <c r="L816" s="82"/>
      <c r="M816" s="440">
        <f t="shared" si="152"/>
        <v>170</v>
      </c>
      <c r="N816" s="442">
        <f t="shared" si="153"/>
        <v>0</v>
      </c>
    </row>
    <row r="817" spans="1:14">
      <c r="A817" s="439" t="s">
        <v>691</v>
      </c>
      <c r="B817" s="439" t="s">
        <v>331</v>
      </c>
      <c r="C817" s="124">
        <v>44882</v>
      </c>
      <c r="D817" s="439">
        <v>2380</v>
      </c>
      <c r="E817" s="439" t="s">
        <v>670</v>
      </c>
      <c r="F817" s="439" t="s">
        <v>342</v>
      </c>
      <c r="G817" s="439" t="s">
        <v>396</v>
      </c>
      <c r="H817" s="439">
        <v>698168</v>
      </c>
      <c r="I817" s="118"/>
      <c r="J817" s="439" t="s">
        <v>192</v>
      </c>
      <c r="K817" s="108">
        <v>130</v>
      </c>
      <c r="L817" s="82"/>
      <c r="M817" s="440">
        <f t="shared" si="152"/>
        <v>130</v>
      </c>
      <c r="N817" s="442">
        <f t="shared" si="153"/>
        <v>0</v>
      </c>
    </row>
    <row r="818" spans="1:14">
      <c r="A818" s="361" t="s">
        <v>786</v>
      </c>
      <c r="B818" s="361" t="s">
        <v>331</v>
      </c>
      <c r="C818" s="124">
        <v>44886</v>
      </c>
      <c r="D818" s="361">
        <v>2421</v>
      </c>
      <c r="E818" s="361" t="s">
        <v>670</v>
      </c>
      <c r="F818" s="361" t="s">
        <v>342</v>
      </c>
      <c r="G818" s="361" t="s">
        <v>787</v>
      </c>
      <c r="H818" s="361">
        <v>957812</v>
      </c>
      <c r="I818" s="118"/>
      <c r="J818" s="443" t="s">
        <v>191</v>
      </c>
      <c r="K818" s="108">
        <v>40</v>
      </c>
      <c r="L818" s="82"/>
      <c r="M818" s="444">
        <f t="shared" ref="M818:M819" si="154">K818-L818</f>
        <v>40</v>
      </c>
      <c r="N818" s="445">
        <f t="shared" ref="N818:N819" si="155">L818/K818</f>
        <v>0</v>
      </c>
    </row>
    <row r="819" spans="1:14">
      <c r="A819" s="443" t="s">
        <v>786</v>
      </c>
      <c r="B819" s="443" t="s">
        <v>331</v>
      </c>
      <c r="C819" s="124">
        <v>44886</v>
      </c>
      <c r="D819" s="443">
        <v>2421</v>
      </c>
      <c r="E819" s="443" t="s">
        <v>670</v>
      </c>
      <c r="F819" s="443" t="s">
        <v>342</v>
      </c>
      <c r="G819" s="443" t="s">
        <v>787</v>
      </c>
      <c r="H819" s="443">
        <v>957812</v>
      </c>
      <c r="I819" s="118"/>
      <c r="J819" s="443" t="s">
        <v>192</v>
      </c>
      <c r="K819" s="108">
        <v>119</v>
      </c>
      <c r="L819" s="82"/>
      <c r="M819" s="444">
        <f t="shared" si="154"/>
        <v>119</v>
      </c>
      <c r="N819" s="445">
        <f t="shared" si="155"/>
        <v>0</v>
      </c>
    </row>
    <row r="820" spans="1:14">
      <c r="A820" s="361" t="s">
        <v>732</v>
      </c>
      <c r="B820" s="361" t="s">
        <v>331</v>
      </c>
      <c r="C820" s="124">
        <v>44894</v>
      </c>
      <c r="D820" s="361">
        <v>2452</v>
      </c>
      <c r="E820" s="455" t="s">
        <v>670</v>
      </c>
      <c r="F820" s="455" t="s">
        <v>342</v>
      </c>
      <c r="G820" s="361" t="s">
        <v>733</v>
      </c>
      <c r="H820" s="361">
        <v>960769</v>
      </c>
      <c r="I820" s="118"/>
      <c r="J820" s="455" t="s">
        <v>191</v>
      </c>
      <c r="K820" s="108">
        <v>5.2</v>
      </c>
      <c r="L820" s="82"/>
      <c r="M820" s="456">
        <f t="shared" ref="M820:M822" si="156">K820-L820</f>
        <v>5.2</v>
      </c>
      <c r="N820" s="457">
        <f t="shared" ref="N820:N822" si="157">L820/K820</f>
        <v>0</v>
      </c>
    </row>
    <row r="821" spans="1:14">
      <c r="A821" s="462" t="s">
        <v>673</v>
      </c>
      <c r="B821" s="361" t="s">
        <v>331</v>
      </c>
      <c r="C821" s="124">
        <v>44908</v>
      </c>
      <c r="D821" s="361">
        <v>2557</v>
      </c>
      <c r="E821" s="361" t="s">
        <v>670</v>
      </c>
      <c r="F821" s="361" t="s">
        <v>342</v>
      </c>
      <c r="G821" s="361" t="s">
        <v>356</v>
      </c>
      <c r="H821" s="361">
        <v>966146</v>
      </c>
      <c r="I821" s="118"/>
      <c r="J821" s="462" t="s">
        <v>191</v>
      </c>
      <c r="K821" s="108">
        <v>292</v>
      </c>
      <c r="L821" s="82"/>
      <c r="M821" s="463">
        <f t="shared" si="156"/>
        <v>292</v>
      </c>
      <c r="N821" s="464">
        <f t="shared" si="157"/>
        <v>0</v>
      </c>
    </row>
    <row r="822" spans="1:14">
      <c r="A822" s="462" t="s">
        <v>673</v>
      </c>
      <c r="B822" s="462" t="s">
        <v>331</v>
      </c>
      <c r="C822" s="124">
        <v>44908</v>
      </c>
      <c r="D822" s="462">
        <v>2557</v>
      </c>
      <c r="E822" s="462" t="s">
        <v>670</v>
      </c>
      <c r="F822" s="462" t="s">
        <v>342</v>
      </c>
      <c r="G822" s="462" t="s">
        <v>356</v>
      </c>
      <c r="H822" s="462">
        <v>966146</v>
      </c>
      <c r="I822" s="118"/>
      <c r="J822" s="462" t="s">
        <v>192</v>
      </c>
      <c r="K822" s="108">
        <v>108</v>
      </c>
      <c r="L822" s="82"/>
      <c r="M822" s="463">
        <f t="shared" si="156"/>
        <v>108</v>
      </c>
      <c r="N822" s="464">
        <f t="shared" si="157"/>
        <v>0</v>
      </c>
    </row>
    <row r="823" spans="1:14">
      <c r="A823" s="462" t="s">
        <v>673</v>
      </c>
      <c r="B823" s="462" t="s">
        <v>331</v>
      </c>
      <c r="C823" s="124">
        <v>44908</v>
      </c>
      <c r="D823" s="462">
        <v>2557</v>
      </c>
      <c r="E823" s="462" t="s">
        <v>670</v>
      </c>
      <c r="F823" s="462" t="s">
        <v>342</v>
      </c>
      <c r="G823" s="361" t="s">
        <v>718</v>
      </c>
      <c r="H823" s="361">
        <v>955809</v>
      </c>
      <c r="I823" s="118"/>
      <c r="J823" s="462" t="s">
        <v>191</v>
      </c>
      <c r="K823" s="108">
        <v>219</v>
      </c>
      <c r="L823" s="82"/>
      <c r="M823" s="463">
        <f t="shared" ref="M823:M840" si="158">K823-L823</f>
        <v>219</v>
      </c>
      <c r="N823" s="464">
        <f t="shared" ref="N823:N840" si="159">L823/K823</f>
        <v>0</v>
      </c>
    </row>
    <row r="824" spans="1:14">
      <c r="A824" s="462" t="s">
        <v>673</v>
      </c>
      <c r="B824" s="462" t="s">
        <v>331</v>
      </c>
      <c r="C824" s="124">
        <v>44908</v>
      </c>
      <c r="D824" s="462">
        <v>2557</v>
      </c>
      <c r="E824" s="462" t="s">
        <v>670</v>
      </c>
      <c r="F824" s="462" t="s">
        <v>342</v>
      </c>
      <c r="G824" s="462" t="s">
        <v>718</v>
      </c>
      <c r="H824" s="462">
        <v>955809</v>
      </c>
      <c r="I824" s="118"/>
      <c r="J824" s="462" t="s">
        <v>192</v>
      </c>
      <c r="K824" s="108">
        <v>81</v>
      </c>
      <c r="L824" s="82"/>
      <c r="M824" s="463">
        <f t="shared" si="158"/>
        <v>81</v>
      </c>
      <c r="N824" s="464">
        <f t="shared" si="159"/>
        <v>0</v>
      </c>
    </row>
    <row r="825" spans="1:14">
      <c r="A825" s="462" t="s">
        <v>673</v>
      </c>
      <c r="B825" s="462" t="s">
        <v>331</v>
      </c>
      <c r="C825" s="124">
        <v>44908</v>
      </c>
      <c r="D825" s="462">
        <v>2557</v>
      </c>
      <c r="E825" s="462" t="s">
        <v>670</v>
      </c>
      <c r="F825" s="462" t="s">
        <v>342</v>
      </c>
      <c r="G825" s="361" t="s">
        <v>717</v>
      </c>
      <c r="H825" s="361">
        <v>964621</v>
      </c>
      <c r="I825" s="118"/>
      <c r="J825" s="462" t="s">
        <v>191</v>
      </c>
      <c r="K825" s="108">
        <v>146</v>
      </c>
      <c r="L825" s="82"/>
      <c r="M825" s="463">
        <f t="shared" si="158"/>
        <v>146</v>
      </c>
      <c r="N825" s="464">
        <f t="shared" si="159"/>
        <v>0</v>
      </c>
    </row>
    <row r="826" spans="1:14">
      <c r="A826" s="462" t="s">
        <v>673</v>
      </c>
      <c r="B826" s="462" t="s">
        <v>331</v>
      </c>
      <c r="C826" s="124">
        <v>44908</v>
      </c>
      <c r="D826" s="462">
        <v>2557</v>
      </c>
      <c r="E826" s="462" t="s">
        <v>670</v>
      </c>
      <c r="F826" s="462" t="s">
        <v>342</v>
      </c>
      <c r="G826" s="462" t="s">
        <v>717</v>
      </c>
      <c r="H826" s="462">
        <v>964621</v>
      </c>
      <c r="I826" s="118"/>
      <c r="J826" s="462" t="s">
        <v>192</v>
      </c>
      <c r="K826" s="108">
        <v>54</v>
      </c>
      <c r="L826" s="82"/>
      <c r="M826" s="463">
        <f t="shared" si="158"/>
        <v>54</v>
      </c>
      <c r="N826" s="464">
        <f t="shared" si="159"/>
        <v>0</v>
      </c>
    </row>
    <row r="827" spans="1:14">
      <c r="A827" s="462" t="s">
        <v>673</v>
      </c>
      <c r="B827" s="462" t="s">
        <v>331</v>
      </c>
      <c r="C827" s="124">
        <v>44908</v>
      </c>
      <c r="D827" s="462">
        <v>2557</v>
      </c>
      <c r="E827" s="462" t="s">
        <v>670</v>
      </c>
      <c r="F827" s="462" t="s">
        <v>342</v>
      </c>
      <c r="G827" s="361" t="s">
        <v>593</v>
      </c>
      <c r="H827" s="361">
        <v>966342</v>
      </c>
      <c r="I827" s="118"/>
      <c r="J827" s="462" t="s">
        <v>191</v>
      </c>
      <c r="K827" s="108">
        <v>146</v>
      </c>
      <c r="L827" s="82"/>
      <c r="M827" s="463">
        <f t="shared" si="158"/>
        <v>146</v>
      </c>
      <c r="N827" s="464">
        <f t="shared" si="159"/>
        <v>0</v>
      </c>
    </row>
    <row r="828" spans="1:14">
      <c r="A828" s="462" t="s">
        <v>673</v>
      </c>
      <c r="B828" s="462" t="s">
        <v>331</v>
      </c>
      <c r="C828" s="124">
        <v>44908</v>
      </c>
      <c r="D828" s="462">
        <v>2557</v>
      </c>
      <c r="E828" s="462" t="s">
        <v>670</v>
      </c>
      <c r="F828" s="462" t="s">
        <v>342</v>
      </c>
      <c r="G828" s="462" t="s">
        <v>593</v>
      </c>
      <c r="H828" s="462">
        <v>966342</v>
      </c>
      <c r="I828" s="118"/>
      <c r="J828" s="462" t="s">
        <v>192</v>
      </c>
      <c r="K828" s="108">
        <v>54</v>
      </c>
      <c r="L828" s="82"/>
      <c r="M828" s="463">
        <f t="shared" si="158"/>
        <v>54</v>
      </c>
      <c r="N828" s="464">
        <f t="shared" si="159"/>
        <v>0</v>
      </c>
    </row>
    <row r="829" spans="1:14">
      <c r="A829" s="462" t="s">
        <v>673</v>
      </c>
      <c r="B829" s="462" t="s">
        <v>331</v>
      </c>
      <c r="C829" s="124">
        <v>44908</v>
      </c>
      <c r="D829" s="462">
        <v>2557</v>
      </c>
      <c r="E829" s="462" t="s">
        <v>670</v>
      </c>
      <c r="F829" s="462" t="s">
        <v>342</v>
      </c>
      <c r="G829" s="361" t="s">
        <v>339</v>
      </c>
      <c r="H829" s="361">
        <v>923199</v>
      </c>
      <c r="I829" s="118"/>
      <c r="J829" s="462" t="s">
        <v>191</v>
      </c>
      <c r="K829" s="108">
        <v>342</v>
      </c>
      <c r="L829" s="82"/>
      <c r="M829" s="463">
        <f t="shared" si="158"/>
        <v>342</v>
      </c>
      <c r="N829" s="464">
        <f t="shared" si="159"/>
        <v>0</v>
      </c>
    </row>
    <row r="830" spans="1:14">
      <c r="A830" s="462" t="s">
        <v>673</v>
      </c>
      <c r="B830" s="462" t="s">
        <v>331</v>
      </c>
      <c r="C830" s="124">
        <v>44908</v>
      </c>
      <c r="D830" s="462">
        <v>2557</v>
      </c>
      <c r="E830" s="462" t="s">
        <v>670</v>
      </c>
      <c r="F830" s="462" t="s">
        <v>342</v>
      </c>
      <c r="G830" s="462" t="s">
        <v>339</v>
      </c>
      <c r="H830" s="462">
        <v>923199</v>
      </c>
      <c r="I830" s="118"/>
      <c r="J830" s="462" t="s">
        <v>192</v>
      </c>
      <c r="K830" s="108">
        <v>108</v>
      </c>
      <c r="L830" s="82"/>
      <c r="M830" s="463">
        <f t="shared" si="158"/>
        <v>108</v>
      </c>
      <c r="N830" s="464">
        <f t="shared" si="159"/>
        <v>0</v>
      </c>
    </row>
    <row r="831" spans="1:14">
      <c r="A831" s="462" t="s">
        <v>673</v>
      </c>
      <c r="B831" s="462" t="s">
        <v>331</v>
      </c>
      <c r="C831" s="124">
        <v>44908</v>
      </c>
      <c r="D831" s="462">
        <v>2557</v>
      </c>
      <c r="E831" s="462" t="s">
        <v>670</v>
      </c>
      <c r="F831" s="462" t="s">
        <v>342</v>
      </c>
      <c r="G831" s="361" t="s">
        <v>490</v>
      </c>
      <c r="H831" s="361">
        <v>958905</v>
      </c>
      <c r="I831" s="118"/>
      <c r="J831" s="462" t="s">
        <v>191</v>
      </c>
      <c r="K831" s="108">
        <v>342</v>
      </c>
      <c r="L831" s="82"/>
      <c r="M831" s="463">
        <f t="shared" si="158"/>
        <v>342</v>
      </c>
      <c r="N831" s="464">
        <f t="shared" si="159"/>
        <v>0</v>
      </c>
    </row>
    <row r="832" spans="1:14">
      <c r="A832" s="462" t="s">
        <v>673</v>
      </c>
      <c r="B832" s="462" t="s">
        <v>331</v>
      </c>
      <c r="C832" s="124">
        <v>44908</v>
      </c>
      <c r="D832" s="462">
        <v>2557</v>
      </c>
      <c r="E832" s="462" t="s">
        <v>670</v>
      </c>
      <c r="F832" s="462" t="s">
        <v>342</v>
      </c>
      <c r="G832" s="462" t="s">
        <v>490</v>
      </c>
      <c r="H832" s="462">
        <v>958905</v>
      </c>
      <c r="I832" s="118"/>
      <c r="J832" s="462" t="s">
        <v>192</v>
      </c>
      <c r="K832" s="108">
        <v>108</v>
      </c>
      <c r="L832" s="82"/>
      <c r="M832" s="463">
        <f t="shared" si="158"/>
        <v>108</v>
      </c>
      <c r="N832" s="464">
        <f t="shared" si="159"/>
        <v>0</v>
      </c>
    </row>
    <row r="833" spans="1:14">
      <c r="A833" s="462" t="s">
        <v>673</v>
      </c>
      <c r="B833" s="462" t="s">
        <v>331</v>
      </c>
      <c r="C833" s="124">
        <v>44908</v>
      </c>
      <c r="D833" s="462">
        <v>2557</v>
      </c>
      <c r="E833" s="462" t="s">
        <v>670</v>
      </c>
      <c r="F833" s="462" t="s">
        <v>342</v>
      </c>
      <c r="G833" s="361" t="s">
        <v>383</v>
      </c>
      <c r="H833" s="361">
        <v>953832</v>
      </c>
      <c r="I833" s="118"/>
      <c r="J833" s="462" t="s">
        <v>191</v>
      </c>
      <c r="K833" s="108">
        <v>222</v>
      </c>
      <c r="L833" s="82"/>
      <c r="M833" s="463">
        <f t="shared" si="158"/>
        <v>222</v>
      </c>
      <c r="N833" s="464">
        <f t="shared" si="159"/>
        <v>0</v>
      </c>
    </row>
    <row r="834" spans="1:14">
      <c r="A834" s="462" t="s">
        <v>673</v>
      </c>
      <c r="B834" s="462" t="s">
        <v>331</v>
      </c>
      <c r="C834" s="124">
        <v>44908</v>
      </c>
      <c r="D834" s="462">
        <v>2557</v>
      </c>
      <c r="E834" s="462" t="s">
        <v>670</v>
      </c>
      <c r="F834" s="462" t="s">
        <v>342</v>
      </c>
      <c r="G834" s="462" t="s">
        <v>383</v>
      </c>
      <c r="H834" s="462">
        <v>953832</v>
      </c>
      <c r="I834" s="118"/>
      <c r="J834" s="462" t="s">
        <v>192</v>
      </c>
      <c r="K834" s="108">
        <v>78</v>
      </c>
      <c r="L834" s="82"/>
      <c r="M834" s="463">
        <f t="shared" si="158"/>
        <v>78</v>
      </c>
      <c r="N834" s="464">
        <f t="shared" si="159"/>
        <v>0</v>
      </c>
    </row>
    <row r="835" spans="1:14">
      <c r="A835" s="462" t="s">
        <v>673</v>
      </c>
      <c r="B835" s="462" t="s">
        <v>331</v>
      </c>
      <c r="C835" s="124">
        <v>44908</v>
      </c>
      <c r="D835" s="462">
        <v>2557</v>
      </c>
      <c r="E835" s="462" t="s">
        <v>670</v>
      </c>
      <c r="F835" s="462" t="s">
        <v>342</v>
      </c>
      <c r="G835" s="361" t="s">
        <v>521</v>
      </c>
      <c r="H835" s="361">
        <v>968817</v>
      </c>
      <c r="I835" s="118"/>
      <c r="J835" s="462" t="s">
        <v>191</v>
      </c>
      <c r="K835" s="108">
        <v>146</v>
      </c>
      <c r="L835" s="82"/>
      <c r="M835" s="463">
        <f t="shared" si="158"/>
        <v>146</v>
      </c>
      <c r="N835" s="464">
        <f t="shared" si="159"/>
        <v>0</v>
      </c>
    </row>
    <row r="836" spans="1:14">
      <c r="A836" s="462" t="s">
        <v>673</v>
      </c>
      <c r="B836" s="462" t="s">
        <v>331</v>
      </c>
      <c r="C836" s="124">
        <v>44908</v>
      </c>
      <c r="D836" s="462">
        <v>2557</v>
      </c>
      <c r="E836" s="462" t="s">
        <v>670</v>
      </c>
      <c r="F836" s="462" t="s">
        <v>342</v>
      </c>
      <c r="G836" s="462" t="s">
        <v>521</v>
      </c>
      <c r="H836" s="462">
        <v>968817</v>
      </c>
      <c r="I836" s="118"/>
      <c r="J836" s="462" t="s">
        <v>192</v>
      </c>
      <c r="K836" s="108">
        <v>54</v>
      </c>
      <c r="L836" s="82"/>
      <c r="M836" s="463">
        <f t="shared" si="158"/>
        <v>54</v>
      </c>
      <c r="N836" s="464">
        <f t="shared" si="159"/>
        <v>0</v>
      </c>
    </row>
    <row r="837" spans="1:14">
      <c r="A837" s="462" t="s">
        <v>673</v>
      </c>
      <c r="B837" s="462" t="s">
        <v>331</v>
      </c>
      <c r="C837" s="124">
        <v>44908</v>
      </c>
      <c r="D837" s="462">
        <v>2557</v>
      </c>
      <c r="E837" s="462" t="s">
        <v>670</v>
      </c>
      <c r="F837" s="462" t="s">
        <v>342</v>
      </c>
      <c r="G837" s="361" t="s">
        <v>788</v>
      </c>
      <c r="H837" s="361">
        <v>697864</v>
      </c>
      <c r="I837" s="118"/>
      <c r="J837" s="462" t="s">
        <v>191</v>
      </c>
      <c r="K837" s="108">
        <v>146</v>
      </c>
      <c r="L837" s="82"/>
      <c r="M837" s="463">
        <f t="shared" si="158"/>
        <v>146</v>
      </c>
      <c r="N837" s="464">
        <f t="shared" si="159"/>
        <v>0</v>
      </c>
    </row>
    <row r="838" spans="1:14">
      <c r="A838" s="462" t="s">
        <v>673</v>
      </c>
      <c r="B838" s="462" t="s">
        <v>331</v>
      </c>
      <c r="C838" s="124">
        <v>44908</v>
      </c>
      <c r="D838" s="462">
        <v>2557</v>
      </c>
      <c r="E838" s="462" t="s">
        <v>670</v>
      </c>
      <c r="F838" s="462" t="s">
        <v>342</v>
      </c>
      <c r="G838" s="462" t="s">
        <v>788</v>
      </c>
      <c r="H838" s="462">
        <v>697864</v>
      </c>
      <c r="I838" s="118"/>
      <c r="J838" s="462" t="s">
        <v>192</v>
      </c>
      <c r="K838" s="108">
        <v>54</v>
      </c>
      <c r="L838" s="82"/>
      <c r="M838" s="463">
        <f t="shared" si="158"/>
        <v>54</v>
      </c>
      <c r="N838" s="464">
        <f t="shared" si="159"/>
        <v>0</v>
      </c>
    </row>
    <row r="839" spans="1:14">
      <c r="A839" s="462" t="s">
        <v>673</v>
      </c>
      <c r="B839" s="462" t="s">
        <v>331</v>
      </c>
      <c r="C839" s="124">
        <v>44908</v>
      </c>
      <c r="D839" s="462">
        <v>2557</v>
      </c>
      <c r="E839" s="462" t="s">
        <v>670</v>
      </c>
      <c r="F839" s="462" t="s">
        <v>342</v>
      </c>
      <c r="G839" s="361" t="s">
        <v>522</v>
      </c>
      <c r="H839" s="361">
        <v>697885</v>
      </c>
      <c r="I839" s="118"/>
      <c r="J839" s="462" t="s">
        <v>191</v>
      </c>
      <c r="K839" s="108">
        <v>146</v>
      </c>
      <c r="L839" s="82"/>
      <c r="M839" s="463">
        <f t="shared" si="158"/>
        <v>146</v>
      </c>
      <c r="N839" s="464">
        <f t="shared" si="159"/>
        <v>0</v>
      </c>
    </row>
    <row r="840" spans="1:14">
      <c r="A840" s="462" t="s">
        <v>673</v>
      </c>
      <c r="B840" s="462" t="s">
        <v>331</v>
      </c>
      <c r="C840" s="124">
        <v>44908</v>
      </c>
      <c r="D840" s="462">
        <v>2557</v>
      </c>
      <c r="E840" s="462" t="s">
        <v>670</v>
      </c>
      <c r="F840" s="462" t="s">
        <v>342</v>
      </c>
      <c r="G840" s="462" t="s">
        <v>522</v>
      </c>
      <c r="H840" s="462">
        <v>697885</v>
      </c>
      <c r="I840" s="118"/>
      <c r="J840" s="462" t="s">
        <v>192</v>
      </c>
      <c r="K840" s="108">
        <v>54</v>
      </c>
      <c r="L840" s="82"/>
      <c r="M840" s="463">
        <f t="shared" si="158"/>
        <v>54</v>
      </c>
      <c r="N840" s="464">
        <f t="shared" si="159"/>
        <v>0</v>
      </c>
    </row>
    <row r="841" spans="1:14">
      <c r="A841" s="361" t="s">
        <v>692</v>
      </c>
      <c r="B841" s="361" t="s">
        <v>335</v>
      </c>
      <c r="C841" s="124">
        <v>44908</v>
      </c>
      <c r="D841" s="361">
        <v>2559</v>
      </c>
      <c r="E841" s="462" t="s">
        <v>670</v>
      </c>
      <c r="F841" s="462" t="s">
        <v>342</v>
      </c>
      <c r="G841" s="361" t="s">
        <v>789</v>
      </c>
      <c r="H841" s="361">
        <v>957802</v>
      </c>
      <c r="I841" s="118"/>
      <c r="J841" s="462" t="s">
        <v>191</v>
      </c>
      <c r="K841" s="560">
        <v>65</v>
      </c>
      <c r="L841" s="82"/>
      <c r="M841" s="562">
        <f>K841-(L841+L842+L843)</f>
        <v>65</v>
      </c>
      <c r="N841" s="564">
        <f>(L841+L842+L843)/K841</f>
        <v>0</v>
      </c>
    </row>
    <row r="842" spans="1:14">
      <c r="A842" s="462" t="s">
        <v>692</v>
      </c>
      <c r="B842" s="462" t="s">
        <v>335</v>
      </c>
      <c r="C842" s="124">
        <v>44908</v>
      </c>
      <c r="D842" s="462">
        <v>2559</v>
      </c>
      <c r="E842" s="462" t="s">
        <v>670</v>
      </c>
      <c r="F842" s="462" t="s">
        <v>342</v>
      </c>
      <c r="G842" s="361" t="s">
        <v>790</v>
      </c>
      <c r="H842" s="361">
        <v>31071</v>
      </c>
      <c r="I842" s="118"/>
      <c r="J842" s="462" t="s">
        <v>191</v>
      </c>
      <c r="K842" s="566"/>
      <c r="L842" s="82"/>
      <c r="M842" s="567"/>
      <c r="N842" s="568"/>
    </row>
    <row r="843" spans="1:14">
      <c r="A843" s="462" t="s">
        <v>692</v>
      </c>
      <c r="B843" s="462" t="s">
        <v>335</v>
      </c>
      <c r="C843" s="124">
        <v>44908</v>
      </c>
      <c r="D843" s="462">
        <v>2559</v>
      </c>
      <c r="E843" s="462" t="s">
        <v>670</v>
      </c>
      <c r="F843" s="462" t="s">
        <v>342</v>
      </c>
      <c r="G843" s="361" t="s">
        <v>791</v>
      </c>
      <c r="H843" s="361">
        <v>961055</v>
      </c>
      <c r="I843" s="118"/>
      <c r="J843" s="462" t="s">
        <v>191</v>
      </c>
      <c r="K843" s="561"/>
      <c r="L843" s="82"/>
      <c r="M843" s="563"/>
      <c r="N843" s="565"/>
    </row>
    <row r="844" spans="1:14">
      <c r="A844" s="462" t="s">
        <v>692</v>
      </c>
      <c r="B844" s="462" t="s">
        <v>335</v>
      </c>
      <c r="C844" s="124">
        <v>44908</v>
      </c>
      <c r="D844" s="462">
        <v>2559</v>
      </c>
      <c r="E844" s="462" t="s">
        <v>670</v>
      </c>
      <c r="F844" s="462" t="s">
        <v>342</v>
      </c>
      <c r="G844" s="462" t="s">
        <v>789</v>
      </c>
      <c r="H844" s="462">
        <v>957802</v>
      </c>
      <c r="I844" s="118"/>
      <c r="J844" s="462" t="s">
        <v>192</v>
      </c>
      <c r="K844" s="560">
        <v>7</v>
      </c>
      <c r="L844" s="82"/>
      <c r="M844" s="562">
        <f>K844-(L844+L845+L846)</f>
        <v>7</v>
      </c>
      <c r="N844" s="564">
        <f>(L844+L845+L846)/K844</f>
        <v>0</v>
      </c>
    </row>
    <row r="845" spans="1:14">
      <c r="A845" s="462" t="s">
        <v>692</v>
      </c>
      <c r="B845" s="462" t="s">
        <v>335</v>
      </c>
      <c r="C845" s="124">
        <v>44908</v>
      </c>
      <c r="D845" s="462">
        <v>2559</v>
      </c>
      <c r="E845" s="462" t="s">
        <v>670</v>
      </c>
      <c r="F845" s="462" t="s">
        <v>342</v>
      </c>
      <c r="G845" s="462" t="s">
        <v>790</v>
      </c>
      <c r="H845" s="462">
        <v>31071</v>
      </c>
      <c r="I845" s="118"/>
      <c r="J845" s="462" t="s">
        <v>192</v>
      </c>
      <c r="K845" s="566"/>
      <c r="L845" s="82"/>
      <c r="M845" s="567"/>
      <c r="N845" s="568"/>
    </row>
    <row r="846" spans="1:14">
      <c r="A846" s="462" t="s">
        <v>692</v>
      </c>
      <c r="B846" s="462" t="s">
        <v>335</v>
      </c>
      <c r="C846" s="124">
        <v>44908</v>
      </c>
      <c r="D846" s="462">
        <v>2559</v>
      </c>
      <c r="E846" s="462" t="s">
        <v>670</v>
      </c>
      <c r="F846" s="462" t="s">
        <v>342</v>
      </c>
      <c r="G846" s="462" t="s">
        <v>791</v>
      </c>
      <c r="H846" s="462">
        <v>961055</v>
      </c>
      <c r="I846" s="118"/>
      <c r="J846" s="462" t="s">
        <v>192</v>
      </c>
      <c r="K846" s="561"/>
      <c r="L846" s="82"/>
      <c r="M846" s="563"/>
      <c r="N846" s="565"/>
    </row>
    <row r="847" spans="1:14">
      <c r="A847" s="361" t="s">
        <v>663</v>
      </c>
      <c r="B847" s="361" t="s">
        <v>331</v>
      </c>
      <c r="C847" s="124">
        <v>44918</v>
      </c>
      <c r="D847" s="361">
        <v>2698</v>
      </c>
      <c r="E847" s="361" t="s">
        <v>670</v>
      </c>
      <c r="F847" s="361" t="s">
        <v>333</v>
      </c>
      <c r="G847" s="361" t="s">
        <v>596</v>
      </c>
      <c r="H847" s="361">
        <v>968700</v>
      </c>
      <c r="I847" s="118"/>
      <c r="J847" s="469" t="s">
        <v>191</v>
      </c>
      <c r="K847" s="108">
        <v>45</v>
      </c>
      <c r="L847" s="82"/>
      <c r="M847" s="470">
        <f t="shared" ref="M847:M848" si="160">K847-L847</f>
        <v>45</v>
      </c>
      <c r="N847" s="471">
        <f t="shared" ref="N847:N848" si="161">L847/K847</f>
        <v>0</v>
      </c>
    </row>
    <row r="848" spans="1:14">
      <c r="A848" s="469" t="s">
        <v>663</v>
      </c>
      <c r="B848" s="469" t="s">
        <v>331</v>
      </c>
      <c r="C848" s="124">
        <v>44918</v>
      </c>
      <c r="D848" s="469">
        <v>2698</v>
      </c>
      <c r="E848" s="469" t="s">
        <v>670</v>
      </c>
      <c r="F848" s="469" t="s">
        <v>333</v>
      </c>
      <c r="G848" s="469" t="s">
        <v>596</v>
      </c>
      <c r="H848" s="469">
        <v>968700</v>
      </c>
      <c r="I848" s="118"/>
      <c r="J848" s="469" t="s">
        <v>192</v>
      </c>
      <c r="K848" s="108">
        <v>55</v>
      </c>
      <c r="L848" s="82"/>
      <c r="M848" s="470">
        <f t="shared" si="160"/>
        <v>55</v>
      </c>
      <c r="N848" s="471">
        <f t="shared" si="161"/>
        <v>0</v>
      </c>
    </row>
    <row r="849" spans="1:14">
      <c r="A849" s="469" t="s">
        <v>663</v>
      </c>
      <c r="B849" s="469" t="s">
        <v>331</v>
      </c>
      <c r="C849" s="124">
        <v>44918</v>
      </c>
      <c r="D849" s="361">
        <v>2699</v>
      </c>
      <c r="E849" s="469" t="s">
        <v>670</v>
      </c>
      <c r="F849" s="469" t="s">
        <v>333</v>
      </c>
      <c r="G849" s="361" t="s">
        <v>792</v>
      </c>
      <c r="H849" s="361">
        <v>968373</v>
      </c>
      <c r="I849" s="118"/>
      <c r="J849" s="469" t="s">
        <v>191</v>
      </c>
      <c r="K849" s="108">
        <v>77.781999999999996</v>
      </c>
      <c r="L849" s="82"/>
      <c r="M849" s="470">
        <f t="shared" ref="M849:M850" si="162">K849-L849</f>
        <v>77.781999999999996</v>
      </c>
      <c r="N849" s="471">
        <f t="shared" ref="N849:N850" si="163">L849/K849</f>
        <v>0</v>
      </c>
    </row>
    <row r="850" spans="1:14">
      <c r="A850" s="469" t="s">
        <v>663</v>
      </c>
      <c r="B850" s="469" t="s">
        <v>331</v>
      </c>
      <c r="C850" s="124">
        <v>44918</v>
      </c>
      <c r="D850" s="469">
        <v>2699</v>
      </c>
      <c r="E850" s="469" t="s">
        <v>670</v>
      </c>
      <c r="F850" s="469" t="s">
        <v>333</v>
      </c>
      <c r="G850" s="469" t="s">
        <v>792</v>
      </c>
      <c r="H850" s="469">
        <v>968373</v>
      </c>
      <c r="I850" s="118"/>
      <c r="J850" s="469" t="s">
        <v>192</v>
      </c>
      <c r="K850" s="108">
        <v>88.295000000000002</v>
      </c>
      <c r="L850" s="82"/>
      <c r="M850" s="470">
        <f t="shared" si="162"/>
        <v>88.295000000000002</v>
      </c>
      <c r="N850" s="471">
        <f t="shared" si="163"/>
        <v>0</v>
      </c>
    </row>
    <row r="851" spans="1:14">
      <c r="A851" s="469" t="s">
        <v>692</v>
      </c>
      <c r="B851" s="469" t="s">
        <v>331</v>
      </c>
      <c r="C851" s="124">
        <v>44917</v>
      </c>
      <c r="D851" s="361">
        <v>2651</v>
      </c>
      <c r="E851" s="469" t="s">
        <v>670</v>
      </c>
      <c r="F851" s="361" t="s">
        <v>342</v>
      </c>
      <c r="G851" s="361" t="s">
        <v>346</v>
      </c>
      <c r="H851" s="361">
        <v>968281</v>
      </c>
      <c r="I851" s="118"/>
      <c r="J851" s="469" t="s">
        <v>191</v>
      </c>
      <c r="K851" s="108">
        <v>143</v>
      </c>
      <c r="L851" s="82"/>
      <c r="M851" s="470">
        <f t="shared" ref="M851:M852" si="164">K851-L851</f>
        <v>143</v>
      </c>
      <c r="N851" s="471">
        <f t="shared" ref="N851:N852" si="165">L851/K851</f>
        <v>0</v>
      </c>
    </row>
    <row r="852" spans="1:14">
      <c r="A852" s="469" t="s">
        <v>692</v>
      </c>
      <c r="B852" s="469" t="s">
        <v>331</v>
      </c>
      <c r="C852" s="124">
        <v>44917</v>
      </c>
      <c r="D852" s="469">
        <v>2651</v>
      </c>
      <c r="E852" s="469" t="s">
        <v>670</v>
      </c>
      <c r="F852" s="469" t="s">
        <v>342</v>
      </c>
      <c r="G852" s="469" t="s">
        <v>346</v>
      </c>
      <c r="H852" s="469">
        <v>968281</v>
      </c>
      <c r="I852" s="118"/>
      <c r="J852" s="469" t="s">
        <v>192</v>
      </c>
      <c r="K852" s="108">
        <v>57</v>
      </c>
      <c r="L852" s="82"/>
      <c r="M852" s="470">
        <f t="shared" si="164"/>
        <v>57</v>
      </c>
      <c r="N852" s="471">
        <f t="shared" si="165"/>
        <v>0</v>
      </c>
    </row>
    <row r="853" spans="1:14">
      <c r="A853" s="361" t="s">
        <v>793</v>
      </c>
      <c r="B853" s="361" t="s">
        <v>335</v>
      </c>
      <c r="C853" s="124">
        <v>44917</v>
      </c>
      <c r="D853" s="361">
        <v>2657</v>
      </c>
      <c r="E853" s="469" t="s">
        <v>670</v>
      </c>
      <c r="F853" s="469" t="s">
        <v>342</v>
      </c>
      <c r="G853" s="361" t="s">
        <v>418</v>
      </c>
      <c r="H853" s="361">
        <v>965073</v>
      </c>
      <c r="I853" s="118"/>
      <c r="J853" s="469" t="s">
        <v>192</v>
      </c>
      <c r="K853" s="560">
        <v>640.86</v>
      </c>
      <c r="L853" s="82"/>
      <c r="M853" s="562">
        <f>K853-(L853+L854)</f>
        <v>640.86</v>
      </c>
      <c r="N853" s="564">
        <f>(L853+L854)/K853</f>
        <v>0</v>
      </c>
    </row>
    <row r="854" spans="1:14">
      <c r="A854" s="469" t="s">
        <v>793</v>
      </c>
      <c r="B854" s="469" t="s">
        <v>335</v>
      </c>
      <c r="C854" s="124">
        <v>44917</v>
      </c>
      <c r="D854" s="469">
        <v>2657</v>
      </c>
      <c r="E854" s="469" t="s">
        <v>670</v>
      </c>
      <c r="F854" s="469" t="s">
        <v>342</v>
      </c>
      <c r="G854" s="361" t="s">
        <v>528</v>
      </c>
      <c r="H854" s="361">
        <v>968981</v>
      </c>
      <c r="I854" s="118"/>
      <c r="J854" s="469" t="s">
        <v>192</v>
      </c>
      <c r="K854" s="561"/>
      <c r="L854" s="82"/>
      <c r="M854" s="563"/>
      <c r="N854" s="565"/>
    </row>
    <row r="855" spans="1:14">
      <c r="A855" s="361" t="s">
        <v>691</v>
      </c>
      <c r="B855" s="361" t="s">
        <v>331</v>
      </c>
      <c r="C855" s="124">
        <v>44917</v>
      </c>
      <c r="D855" s="361">
        <v>2658</v>
      </c>
      <c r="E855" s="469" t="s">
        <v>670</v>
      </c>
      <c r="F855" s="469" t="s">
        <v>342</v>
      </c>
      <c r="G855" s="361" t="s">
        <v>794</v>
      </c>
      <c r="H855" s="361">
        <v>968488</v>
      </c>
      <c r="I855" s="118"/>
      <c r="J855" s="469" t="s">
        <v>191</v>
      </c>
      <c r="K855" s="108">
        <v>112</v>
      </c>
      <c r="L855" s="82"/>
      <c r="M855" s="470">
        <f t="shared" ref="M855:M856" si="166">K855-L855</f>
        <v>112</v>
      </c>
      <c r="N855" s="471">
        <f t="shared" ref="N855:N856" si="167">L855/K855</f>
        <v>0</v>
      </c>
    </row>
    <row r="856" spans="1:14">
      <c r="A856" s="469" t="s">
        <v>691</v>
      </c>
      <c r="B856" s="469" t="s">
        <v>331</v>
      </c>
      <c r="C856" s="124">
        <v>44917</v>
      </c>
      <c r="D856" s="469">
        <v>2658</v>
      </c>
      <c r="E856" s="469" t="s">
        <v>670</v>
      </c>
      <c r="F856" s="469" t="s">
        <v>342</v>
      </c>
      <c r="G856" s="469" t="s">
        <v>794</v>
      </c>
      <c r="H856" s="469">
        <v>968488</v>
      </c>
      <c r="I856" s="118"/>
      <c r="J856" s="469" t="s">
        <v>192</v>
      </c>
      <c r="K856" s="108">
        <v>88</v>
      </c>
      <c r="L856" s="82"/>
      <c r="M856" s="470">
        <f t="shared" si="166"/>
        <v>88</v>
      </c>
      <c r="N856" s="471">
        <f t="shared" si="167"/>
        <v>0</v>
      </c>
    </row>
    <row r="857" spans="1:14">
      <c r="A857" s="469" t="s">
        <v>691</v>
      </c>
      <c r="B857" s="469" t="s">
        <v>331</v>
      </c>
      <c r="C857" s="124">
        <v>44917</v>
      </c>
      <c r="D857" s="469">
        <v>2658</v>
      </c>
      <c r="E857" s="469" t="s">
        <v>670</v>
      </c>
      <c r="F857" s="469" t="s">
        <v>342</v>
      </c>
      <c r="G857" s="361" t="s">
        <v>617</v>
      </c>
      <c r="H857" s="361">
        <v>958253</v>
      </c>
      <c r="I857" s="118"/>
      <c r="J857" s="469" t="s">
        <v>191</v>
      </c>
      <c r="K857" s="108">
        <v>112</v>
      </c>
      <c r="L857" s="82"/>
      <c r="M857" s="470">
        <f t="shared" ref="M857:M898" si="168">K857-L857</f>
        <v>112</v>
      </c>
      <c r="N857" s="471">
        <f t="shared" ref="N857:N898" si="169">L857/K857</f>
        <v>0</v>
      </c>
    </row>
    <row r="858" spans="1:14">
      <c r="A858" s="469" t="s">
        <v>691</v>
      </c>
      <c r="B858" s="469" t="s">
        <v>331</v>
      </c>
      <c r="C858" s="124">
        <v>44917</v>
      </c>
      <c r="D858" s="469">
        <v>2658</v>
      </c>
      <c r="E858" s="469" t="s">
        <v>670</v>
      </c>
      <c r="F858" s="469" t="s">
        <v>342</v>
      </c>
      <c r="G858" s="469" t="s">
        <v>617</v>
      </c>
      <c r="H858" s="469">
        <v>958253</v>
      </c>
      <c r="I858" s="118"/>
      <c r="J858" s="469" t="s">
        <v>192</v>
      </c>
      <c r="K858" s="108">
        <v>88</v>
      </c>
      <c r="L858" s="82"/>
      <c r="M858" s="470">
        <f t="shared" si="168"/>
        <v>88</v>
      </c>
      <c r="N858" s="471">
        <f t="shared" si="169"/>
        <v>0</v>
      </c>
    </row>
    <row r="859" spans="1:14">
      <c r="A859" s="469" t="s">
        <v>691</v>
      </c>
      <c r="B859" s="469" t="s">
        <v>331</v>
      </c>
      <c r="C859" s="124">
        <v>44917</v>
      </c>
      <c r="D859" s="469">
        <v>2658</v>
      </c>
      <c r="E859" s="469" t="s">
        <v>670</v>
      </c>
      <c r="F859" s="469" t="s">
        <v>342</v>
      </c>
      <c r="G859" s="361" t="s">
        <v>699</v>
      </c>
      <c r="H859" s="361">
        <v>698252</v>
      </c>
      <c r="I859" s="118"/>
      <c r="J859" s="469" t="s">
        <v>191</v>
      </c>
      <c r="K859" s="108">
        <v>140</v>
      </c>
      <c r="L859" s="82"/>
      <c r="M859" s="470">
        <f t="shared" si="168"/>
        <v>140</v>
      </c>
      <c r="N859" s="471">
        <f t="shared" si="169"/>
        <v>0</v>
      </c>
    </row>
    <row r="860" spans="1:14">
      <c r="A860" s="469" t="s">
        <v>691</v>
      </c>
      <c r="B860" s="469" t="s">
        <v>331</v>
      </c>
      <c r="C860" s="124">
        <v>44917</v>
      </c>
      <c r="D860" s="469">
        <v>2658</v>
      </c>
      <c r="E860" s="469" t="s">
        <v>670</v>
      </c>
      <c r="F860" s="469" t="s">
        <v>342</v>
      </c>
      <c r="G860" s="469" t="s">
        <v>699</v>
      </c>
      <c r="H860" s="469">
        <v>698252</v>
      </c>
      <c r="I860" s="118"/>
      <c r="J860" s="469" t="s">
        <v>192</v>
      </c>
      <c r="K860" s="108">
        <v>110</v>
      </c>
      <c r="L860" s="82"/>
      <c r="M860" s="470">
        <f t="shared" si="168"/>
        <v>110</v>
      </c>
      <c r="N860" s="471">
        <f t="shared" si="169"/>
        <v>0</v>
      </c>
    </row>
    <row r="861" spans="1:14">
      <c r="A861" s="469" t="s">
        <v>691</v>
      </c>
      <c r="B861" s="469" t="s">
        <v>331</v>
      </c>
      <c r="C861" s="124">
        <v>44917</v>
      </c>
      <c r="D861" s="469">
        <v>2658</v>
      </c>
      <c r="E861" s="469" t="s">
        <v>670</v>
      </c>
      <c r="F861" s="469" t="s">
        <v>342</v>
      </c>
      <c r="G861" s="361" t="s">
        <v>618</v>
      </c>
      <c r="H861" s="361">
        <v>951093</v>
      </c>
      <c r="I861" s="118"/>
      <c r="J861" s="469" t="s">
        <v>191</v>
      </c>
      <c r="K861" s="108">
        <v>56</v>
      </c>
      <c r="L861" s="82"/>
      <c r="M861" s="470">
        <f t="shared" si="168"/>
        <v>56</v>
      </c>
      <c r="N861" s="471">
        <f t="shared" si="169"/>
        <v>0</v>
      </c>
    </row>
    <row r="862" spans="1:14">
      <c r="A862" s="469" t="s">
        <v>691</v>
      </c>
      <c r="B862" s="469" t="s">
        <v>331</v>
      </c>
      <c r="C862" s="124">
        <v>44917</v>
      </c>
      <c r="D862" s="469">
        <v>2658</v>
      </c>
      <c r="E862" s="469" t="s">
        <v>670</v>
      </c>
      <c r="F862" s="469" t="s">
        <v>342</v>
      </c>
      <c r="G862" s="469" t="s">
        <v>618</v>
      </c>
      <c r="H862" s="469">
        <v>951093</v>
      </c>
      <c r="I862" s="118"/>
      <c r="J862" s="469" t="s">
        <v>192</v>
      </c>
      <c r="K862" s="108">
        <v>44</v>
      </c>
      <c r="L862" s="82"/>
      <c r="M862" s="470">
        <f t="shared" si="168"/>
        <v>44</v>
      </c>
      <c r="N862" s="471">
        <f t="shared" si="169"/>
        <v>0</v>
      </c>
    </row>
    <row r="863" spans="1:14">
      <c r="A863" s="469" t="s">
        <v>691</v>
      </c>
      <c r="B863" s="469" t="s">
        <v>331</v>
      </c>
      <c r="C863" s="124">
        <v>44917</v>
      </c>
      <c r="D863" s="469">
        <v>2658</v>
      </c>
      <c r="E863" s="469" t="s">
        <v>670</v>
      </c>
      <c r="F863" s="469" t="s">
        <v>342</v>
      </c>
      <c r="G863" s="361" t="s">
        <v>619</v>
      </c>
      <c r="H863" s="361">
        <v>955189</v>
      </c>
      <c r="I863" s="118"/>
      <c r="J863" s="469" t="s">
        <v>191</v>
      </c>
      <c r="K863" s="108">
        <v>168</v>
      </c>
      <c r="L863" s="82"/>
      <c r="M863" s="470">
        <f t="shared" si="168"/>
        <v>168</v>
      </c>
      <c r="N863" s="471">
        <f t="shared" si="169"/>
        <v>0</v>
      </c>
    </row>
    <row r="864" spans="1:14">
      <c r="A864" s="469" t="s">
        <v>691</v>
      </c>
      <c r="B864" s="469" t="s">
        <v>331</v>
      </c>
      <c r="C864" s="124">
        <v>44917</v>
      </c>
      <c r="D864" s="469">
        <v>2658</v>
      </c>
      <c r="E864" s="469" t="s">
        <v>670</v>
      </c>
      <c r="F864" s="469" t="s">
        <v>342</v>
      </c>
      <c r="G864" s="469" t="s">
        <v>619</v>
      </c>
      <c r="H864" s="469">
        <v>955189</v>
      </c>
      <c r="I864" s="118"/>
      <c r="J864" s="469" t="s">
        <v>192</v>
      </c>
      <c r="K864" s="108">
        <v>132</v>
      </c>
      <c r="L864" s="82"/>
      <c r="M864" s="470">
        <f t="shared" si="168"/>
        <v>132</v>
      </c>
      <c r="N864" s="471">
        <f t="shared" si="169"/>
        <v>0</v>
      </c>
    </row>
    <row r="865" spans="1:14">
      <c r="A865" s="469" t="s">
        <v>691</v>
      </c>
      <c r="B865" s="469" t="s">
        <v>331</v>
      </c>
      <c r="C865" s="124">
        <v>44917</v>
      </c>
      <c r="D865" s="469">
        <v>2658</v>
      </c>
      <c r="E865" s="469" t="s">
        <v>670</v>
      </c>
      <c r="F865" s="469" t="s">
        <v>342</v>
      </c>
      <c r="G865" s="361" t="s">
        <v>392</v>
      </c>
      <c r="H865" s="361">
        <v>955517</v>
      </c>
      <c r="I865" s="118"/>
      <c r="J865" s="469" t="s">
        <v>191</v>
      </c>
      <c r="K865" s="108">
        <v>168</v>
      </c>
      <c r="L865" s="82"/>
      <c r="M865" s="470">
        <f t="shared" si="168"/>
        <v>168</v>
      </c>
      <c r="N865" s="471">
        <f t="shared" si="169"/>
        <v>0</v>
      </c>
    </row>
    <row r="866" spans="1:14">
      <c r="A866" s="469" t="s">
        <v>691</v>
      </c>
      <c r="B866" s="469" t="s">
        <v>331</v>
      </c>
      <c r="C866" s="124">
        <v>44917</v>
      </c>
      <c r="D866" s="469">
        <v>2658</v>
      </c>
      <c r="E866" s="469" t="s">
        <v>670</v>
      </c>
      <c r="F866" s="469" t="s">
        <v>342</v>
      </c>
      <c r="G866" s="469" t="s">
        <v>392</v>
      </c>
      <c r="H866" s="469">
        <v>955517</v>
      </c>
      <c r="I866" s="118"/>
      <c r="J866" s="469" t="s">
        <v>192</v>
      </c>
      <c r="K866" s="108">
        <v>132</v>
      </c>
      <c r="L866" s="82"/>
      <c r="M866" s="470">
        <f t="shared" si="168"/>
        <v>132</v>
      </c>
      <c r="N866" s="471">
        <f t="shared" si="169"/>
        <v>0</v>
      </c>
    </row>
    <row r="867" spans="1:14">
      <c r="A867" s="469" t="s">
        <v>691</v>
      </c>
      <c r="B867" s="469" t="s">
        <v>331</v>
      </c>
      <c r="C867" s="124">
        <v>44917</v>
      </c>
      <c r="D867" s="469">
        <v>2658</v>
      </c>
      <c r="E867" s="469" t="s">
        <v>670</v>
      </c>
      <c r="F867" s="469" t="s">
        <v>342</v>
      </c>
      <c r="G867" s="361" t="s">
        <v>620</v>
      </c>
      <c r="H867" s="361">
        <v>968725</v>
      </c>
      <c r="I867" s="118"/>
      <c r="J867" s="469" t="s">
        <v>191</v>
      </c>
      <c r="K867" s="108">
        <v>112</v>
      </c>
      <c r="L867" s="82"/>
      <c r="M867" s="470">
        <f t="shared" si="168"/>
        <v>112</v>
      </c>
      <c r="N867" s="471">
        <f t="shared" si="169"/>
        <v>0</v>
      </c>
    </row>
    <row r="868" spans="1:14">
      <c r="A868" s="469" t="s">
        <v>691</v>
      </c>
      <c r="B868" s="469" t="s">
        <v>331</v>
      </c>
      <c r="C868" s="124">
        <v>44917</v>
      </c>
      <c r="D868" s="469">
        <v>2658</v>
      </c>
      <c r="E868" s="469" t="s">
        <v>670</v>
      </c>
      <c r="F868" s="469" t="s">
        <v>342</v>
      </c>
      <c r="G868" s="469" t="s">
        <v>620</v>
      </c>
      <c r="H868" s="469">
        <v>968725</v>
      </c>
      <c r="I868" s="118"/>
      <c r="J868" s="469" t="s">
        <v>192</v>
      </c>
      <c r="K868" s="108">
        <v>88</v>
      </c>
      <c r="L868" s="82"/>
      <c r="M868" s="470">
        <f t="shared" si="168"/>
        <v>88</v>
      </c>
      <c r="N868" s="471">
        <f t="shared" si="169"/>
        <v>0</v>
      </c>
    </row>
    <row r="869" spans="1:14">
      <c r="A869" s="469" t="s">
        <v>691</v>
      </c>
      <c r="B869" s="469" t="s">
        <v>331</v>
      </c>
      <c r="C869" s="124">
        <v>44917</v>
      </c>
      <c r="D869" s="469">
        <v>2658</v>
      </c>
      <c r="E869" s="469" t="s">
        <v>670</v>
      </c>
      <c r="F869" s="469" t="s">
        <v>342</v>
      </c>
      <c r="G869" s="361" t="s">
        <v>795</v>
      </c>
      <c r="H869" s="361">
        <v>699166</v>
      </c>
      <c r="I869" s="118"/>
      <c r="J869" s="469" t="s">
        <v>191</v>
      </c>
      <c r="K869" s="108">
        <v>112</v>
      </c>
      <c r="L869" s="82"/>
      <c r="M869" s="470">
        <f t="shared" si="168"/>
        <v>112</v>
      </c>
      <c r="N869" s="471">
        <f t="shared" si="169"/>
        <v>0</v>
      </c>
    </row>
    <row r="870" spans="1:14">
      <c r="A870" s="469" t="s">
        <v>691</v>
      </c>
      <c r="B870" s="469" t="s">
        <v>331</v>
      </c>
      <c r="C870" s="124">
        <v>44917</v>
      </c>
      <c r="D870" s="469">
        <v>2658</v>
      </c>
      <c r="E870" s="469" t="s">
        <v>670</v>
      </c>
      <c r="F870" s="469" t="s">
        <v>342</v>
      </c>
      <c r="G870" s="469" t="s">
        <v>795</v>
      </c>
      <c r="H870" s="469">
        <v>699166</v>
      </c>
      <c r="I870" s="118"/>
      <c r="J870" s="469" t="s">
        <v>192</v>
      </c>
      <c r="K870" s="108">
        <v>88</v>
      </c>
      <c r="L870" s="82"/>
      <c r="M870" s="470">
        <f t="shared" si="168"/>
        <v>88</v>
      </c>
      <c r="N870" s="471">
        <f t="shared" si="169"/>
        <v>0</v>
      </c>
    </row>
    <row r="871" spans="1:14">
      <c r="A871" s="469" t="s">
        <v>691</v>
      </c>
      <c r="B871" s="469" t="s">
        <v>331</v>
      </c>
      <c r="C871" s="124">
        <v>44917</v>
      </c>
      <c r="D871" s="469">
        <v>2658</v>
      </c>
      <c r="E871" s="469" t="s">
        <v>670</v>
      </c>
      <c r="F871" s="469" t="s">
        <v>342</v>
      </c>
      <c r="G871" s="361" t="s">
        <v>623</v>
      </c>
      <c r="H871" s="361">
        <v>956236</v>
      </c>
      <c r="I871" s="118"/>
      <c r="J871" s="469" t="s">
        <v>191</v>
      </c>
      <c r="K871" s="108">
        <v>112</v>
      </c>
      <c r="L871" s="82"/>
      <c r="M871" s="470">
        <f t="shared" si="168"/>
        <v>112</v>
      </c>
      <c r="N871" s="471">
        <f t="shared" si="169"/>
        <v>0</v>
      </c>
    </row>
    <row r="872" spans="1:14">
      <c r="A872" s="469" t="s">
        <v>691</v>
      </c>
      <c r="B872" s="469" t="s">
        <v>331</v>
      </c>
      <c r="C872" s="124">
        <v>44917</v>
      </c>
      <c r="D872" s="469">
        <v>2658</v>
      </c>
      <c r="E872" s="469" t="s">
        <v>670</v>
      </c>
      <c r="F872" s="469" t="s">
        <v>342</v>
      </c>
      <c r="G872" s="469" t="s">
        <v>623</v>
      </c>
      <c r="H872" s="469">
        <v>956236</v>
      </c>
      <c r="I872" s="118"/>
      <c r="J872" s="469" t="s">
        <v>192</v>
      </c>
      <c r="K872" s="108">
        <v>88</v>
      </c>
      <c r="L872" s="82"/>
      <c r="M872" s="470">
        <f t="shared" si="168"/>
        <v>88</v>
      </c>
      <c r="N872" s="471">
        <f t="shared" si="169"/>
        <v>0</v>
      </c>
    </row>
    <row r="873" spans="1:14">
      <c r="A873" s="469" t="s">
        <v>691</v>
      </c>
      <c r="B873" s="469" t="s">
        <v>331</v>
      </c>
      <c r="C873" s="124">
        <v>44917</v>
      </c>
      <c r="D873" s="469">
        <v>2658</v>
      </c>
      <c r="E873" s="469" t="s">
        <v>670</v>
      </c>
      <c r="F873" s="469" t="s">
        <v>342</v>
      </c>
      <c r="G873" s="361" t="s">
        <v>796</v>
      </c>
      <c r="H873" s="361">
        <v>964451</v>
      </c>
      <c r="I873" s="118"/>
      <c r="J873" s="469" t="s">
        <v>191</v>
      </c>
      <c r="K873" s="108">
        <v>112</v>
      </c>
      <c r="L873" s="82"/>
      <c r="M873" s="470">
        <f t="shared" si="168"/>
        <v>112</v>
      </c>
      <c r="N873" s="471">
        <f t="shared" si="169"/>
        <v>0</v>
      </c>
    </row>
    <row r="874" spans="1:14">
      <c r="A874" s="469" t="s">
        <v>691</v>
      </c>
      <c r="B874" s="469" t="s">
        <v>331</v>
      </c>
      <c r="C874" s="124">
        <v>44917</v>
      </c>
      <c r="D874" s="469">
        <v>2658</v>
      </c>
      <c r="E874" s="469" t="s">
        <v>670</v>
      </c>
      <c r="F874" s="469" t="s">
        <v>342</v>
      </c>
      <c r="G874" s="469" t="s">
        <v>796</v>
      </c>
      <c r="H874" s="469">
        <v>964451</v>
      </c>
      <c r="I874" s="118"/>
      <c r="J874" s="469" t="s">
        <v>192</v>
      </c>
      <c r="K874" s="108">
        <v>88</v>
      </c>
      <c r="L874" s="82"/>
      <c r="M874" s="470">
        <f t="shared" si="168"/>
        <v>88</v>
      </c>
      <c r="N874" s="471">
        <f t="shared" si="169"/>
        <v>0</v>
      </c>
    </row>
    <row r="875" spans="1:14">
      <c r="A875" s="469" t="s">
        <v>691</v>
      </c>
      <c r="B875" s="469" t="s">
        <v>331</v>
      </c>
      <c r="C875" s="124">
        <v>44917</v>
      </c>
      <c r="D875" s="469">
        <v>2658</v>
      </c>
      <c r="E875" s="469" t="s">
        <v>670</v>
      </c>
      <c r="F875" s="469" t="s">
        <v>342</v>
      </c>
      <c r="G875" s="361" t="s">
        <v>624</v>
      </c>
      <c r="H875" s="361">
        <v>954645</v>
      </c>
      <c r="I875" s="118"/>
      <c r="J875" s="469" t="s">
        <v>191</v>
      </c>
      <c r="K875" s="108">
        <v>56</v>
      </c>
      <c r="L875" s="82"/>
      <c r="M875" s="470">
        <f t="shared" si="168"/>
        <v>56</v>
      </c>
      <c r="N875" s="471">
        <f t="shared" si="169"/>
        <v>0</v>
      </c>
    </row>
    <row r="876" spans="1:14">
      <c r="A876" s="469" t="s">
        <v>691</v>
      </c>
      <c r="B876" s="469" t="s">
        <v>331</v>
      </c>
      <c r="C876" s="124">
        <v>44917</v>
      </c>
      <c r="D876" s="469">
        <v>2658</v>
      </c>
      <c r="E876" s="469" t="s">
        <v>670</v>
      </c>
      <c r="F876" s="469" t="s">
        <v>342</v>
      </c>
      <c r="G876" s="469" t="s">
        <v>624</v>
      </c>
      <c r="H876" s="469">
        <v>954645</v>
      </c>
      <c r="I876" s="118"/>
      <c r="J876" s="469" t="s">
        <v>192</v>
      </c>
      <c r="K876" s="108">
        <v>44</v>
      </c>
      <c r="L876" s="82"/>
      <c r="M876" s="470">
        <f t="shared" si="168"/>
        <v>44</v>
      </c>
      <c r="N876" s="471">
        <f t="shared" si="169"/>
        <v>0</v>
      </c>
    </row>
    <row r="877" spans="1:14">
      <c r="A877" s="469" t="s">
        <v>691</v>
      </c>
      <c r="B877" s="469" t="s">
        <v>331</v>
      </c>
      <c r="C877" s="124">
        <v>44917</v>
      </c>
      <c r="D877" s="469">
        <v>2658</v>
      </c>
      <c r="E877" s="469" t="s">
        <v>670</v>
      </c>
      <c r="F877" s="469" t="s">
        <v>342</v>
      </c>
      <c r="G877" s="361" t="s">
        <v>625</v>
      </c>
      <c r="H877" s="361">
        <v>967983</v>
      </c>
      <c r="I877" s="118"/>
      <c r="J877" s="469" t="s">
        <v>191</v>
      </c>
      <c r="K877" s="108">
        <v>84</v>
      </c>
      <c r="L877" s="82"/>
      <c r="M877" s="470">
        <f t="shared" si="168"/>
        <v>84</v>
      </c>
      <c r="N877" s="471">
        <f t="shared" si="169"/>
        <v>0</v>
      </c>
    </row>
    <row r="878" spans="1:14">
      <c r="A878" s="469" t="s">
        <v>691</v>
      </c>
      <c r="B878" s="469" t="s">
        <v>331</v>
      </c>
      <c r="C878" s="124">
        <v>44917</v>
      </c>
      <c r="D878" s="469">
        <v>2658</v>
      </c>
      <c r="E878" s="469" t="s">
        <v>670</v>
      </c>
      <c r="F878" s="469" t="s">
        <v>342</v>
      </c>
      <c r="G878" s="469" t="s">
        <v>625</v>
      </c>
      <c r="H878" s="469">
        <v>967983</v>
      </c>
      <c r="I878" s="118"/>
      <c r="J878" s="469" t="s">
        <v>192</v>
      </c>
      <c r="K878" s="108">
        <v>66</v>
      </c>
      <c r="L878" s="82"/>
      <c r="M878" s="470">
        <f t="shared" si="168"/>
        <v>66</v>
      </c>
      <c r="N878" s="471">
        <f t="shared" si="169"/>
        <v>0</v>
      </c>
    </row>
    <row r="879" spans="1:14">
      <c r="A879" s="469" t="s">
        <v>691</v>
      </c>
      <c r="B879" s="469" t="s">
        <v>331</v>
      </c>
      <c r="C879" s="124">
        <v>44917</v>
      </c>
      <c r="D879" s="469">
        <v>2658</v>
      </c>
      <c r="E879" s="469" t="s">
        <v>670</v>
      </c>
      <c r="F879" s="469" t="s">
        <v>342</v>
      </c>
      <c r="G879" s="361" t="s">
        <v>626</v>
      </c>
      <c r="H879" s="361">
        <v>955250</v>
      </c>
      <c r="I879" s="118"/>
      <c r="J879" s="469" t="s">
        <v>191</v>
      </c>
      <c r="K879" s="108">
        <v>140</v>
      </c>
      <c r="L879" s="82"/>
      <c r="M879" s="470">
        <f t="shared" si="168"/>
        <v>140</v>
      </c>
      <c r="N879" s="471">
        <f t="shared" si="169"/>
        <v>0</v>
      </c>
    </row>
    <row r="880" spans="1:14">
      <c r="A880" s="469" t="s">
        <v>691</v>
      </c>
      <c r="B880" s="469" t="s">
        <v>331</v>
      </c>
      <c r="C880" s="124">
        <v>44917</v>
      </c>
      <c r="D880" s="469">
        <v>2658</v>
      </c>
      <c r="E880" s="469" t="s">
        <v>670</v>
      </c>
      <c r="F880" s="469" t="s">
        <v>342</v>
      </c>
      <c r="G880" s="469" t="s">
        <v>626</v>
      </c>
      <c r="H880" s="469">
        <v>955250</v>
      </c>
      <c r="I880" s="118"/>
      <c r="J880" s="469" t="s">
        <v>192</v>
      </c>
      <c r="K880" s="108">
        <v>110</v>
      </c>
      <c r="L880" s="82"/>
      <c r="M880" s="470">
        <f t="shared" si="168"/>
        <v>110</v>
      </c>
      <c r="N880" s="471">
        <f t="shared" si="169"/>
        <v>0</v>
      </c>
    </row>
    <row r="881" spans="1:14">
      <c r="A881" s="469" t="s">
        <v>691</v>
      </c>
      <c r="B881" s="469" t="s">
        <v>331</v>
      </c>
      <c r="C881" s="124">
        <v>44917</v>
      </c>
      <c r="D881" s="469">
        <v>2658</v>
      </c>
      <c r="E881" s="469" t="s">
        <v>670</v>
      </c>
      <c r="F881" s="469" t="s">
        <v>342</v>
      </c>
      <c r="G881" s="361" t="s">
        <v>627</v>
      </c>
      <c r="H881" s="361">
        <v>697356</v>
      </c>
      <c r="I881" s="118"/>
      <c r="J881" s="469" t="s">
        <v>191</v>
      </c>
      <c r="K881" s="108">
        <v>140</v>
      </c>
      <c r="L881" s="82"/>
      <c r="M881" s="470">
        <f t="shared" si="168"/>
        <v>140</v>
      </c>
      <c r="N881" s="471">
        <f t="shared" si="169"/>
        <v>0</v>
      </c>
    </row>
    <row r="882" spans="1:14">
      <c r="A882" s="469" t="s">
        <v>691</v>
      </c>
      <c r="B882" s="469" t="s">
        <v>331</v>
      </c>
      <c r="C882" s="124">
        <v>44917</v>
      </c>
      <c r="D882" s="469">
        <v>2658</v>
      </c>
      <c r="E882" s="469" t="s">
        <v>670</v>
      </c>
      <c r="F882" s="469" t="s">
        <v>342</v>
      </c>
      <c r="G882" s="469" t="s">
        <v>627</v>
      </c>
      <c r="H882" s="469">
        <v>697356</v>
      </c>
      <c r="I882" s="118"/>
      <c r="J882" s="469" t="s">
        <v>192</v>
      </c>
      <c r="K882" s="108">
        <v>110</v>
      </c>
      <c r="L882" s="82"/>
      <c r="M882" s="470">
        <f t="shared" si="168"/>
        <v>110</v>
      </c>
      <c r="N882" s="471">
        <f t="shared" si="169"/>
        <v>0</v>
      </c>
    </row>
    <row r="883" spans="1:14">
      <c r="A883" s="469" t="s">
        <v>691</v>
      </c>
      <c r="B883" s="469" t="s">
        <v>331</v>
      </c>
      <c r="C883" s="124">
        <v>44917</v>
      </c>
      <c r="D883" s="469">
        <v>2658</v>
      </c>
      <c r="E883" s="469" t="s">
        <v>670</v>
      </c>
      <c r="F883" s="469" t="s">
        <v>342</v>
      </c>
      <c r="G883" s="361" t="s">
        <v>801</v>
      </c>
      <c r="H883" s="361">
        <v>700452</v>
      </c>
      <c r="I883" s="118"/>
      <c r="J883" s="469" t="s">
        <v>191</v>
      </c>
      <c r="K883" s="108">
        <v>168</v>
      </c>
      <c r="L883" s="82"/>
      <c r="M883" s="470">
        <f t="shared" si="168"/>
        <v>168</v>
      </c>
      <c r="N883" s="471">
        <f t="shared" si="169"/>
        <v>0</v>
      </c>
    </row>
    <row r="884" spans="1:14">
      <c r="A884" s="469" t="s">
        <v>691</v>
      </c>
      <c r="B884" s="469" t="s">
        <v>331</v>
      </c>
      <c r="C884" s="124">
        <v>44917</v>
      </c>
      <c r="D884" s="469">
        <v>2658</v>
      </c>
      <c r="E884" s="469" t="s">
        <v>670</v>
      </c>
      <c r="F884" s="469" t="s">
        <v>342</v>
      </c>
      <c r="G884" s="489" t="s">
        <v>801</v>
      </c>
      <c r="H884" s="489">
        <v>700452</v>
      </c>
      <c r="I884" s="118"/>
      <c r="J884" s="469" t="s">
        <v>192</v>
      </c>
      <c r="K884" s="108">
        <v>132</v>
      </c>
      <c r="L884" s="82"/>
      <c r="M884" s="470">
        <f t="shared" si="168"/>
        <v>132</v>
      </c>
      <c r="N884" s="471">
        <f t="shared" si="169"/>
        <v>0</v>
      </c>
    </row>
    <row r="885" spans="1:14">
      <c r="A885" s="469" t="s">
        <v>691</v>
      </c>
      <c r="B885" s="469" t="s">
        <v>331</v>
      </c>
      <c r="C885" s="124">
        <v>44917</v>
      </c>
      <c r="D885" s="469">
        <v>2658</v>
      </c>
      <c r="E885" s="469" t="s">
        <v>670</v>
      </c>
      <c r="F885" s="469" t="s">
        <v>342</v>
      </c>
      <c r="G885" s="361" t="s">
        <v>356</v>
      </c>
      <c r="H885" s="361">
        <v>966146</v>
      </c>
      <c r="I885" s="118"/>
      <c r="J885" s="469" t="s">
        <v>191</v>
      </c>
      <c r="K885" s="108">
        <v>168</v>
      </c>
      <c r="L885" s="82"/>
      <c r="M885" s="470">
        <f t="shared" si="168"/>
        <v>168</v>
      </c>
      <c r="N885" s="471">
        <f t="shared" si="169"/>
        <v>0</v>
      </c>
    </row>
    <row r="886" spans="1:14">
      <c r="A886" s="469" t="s">
        <v>691</v>
      </c>
      <c r="B886" s="469" t="s">
        <v>331</v>
      </c>
      <c r="C886" s="124">
        <v>44917</v>
      </c>
      <c r="D886" s="469">
        <v>2658</v>
      </c>
      <c r="E886" s="469" t="s">
        <v>670</v>
      </c>
      <c r="F886" s="469" t="s">
        <v>342</v>
      </c>
      <c r="G886" s="469" t="s">
        <v>356</v>
      </c>
      <c r="H886" s="469">
        <v>966146</v>
      </c>
      <c r="I886" s="118"/>
      <c r="J886" s="469" t="s">
        <v>192</v>
      </c>
      <c r="K886" s="108">
        <v>132</v>
      </c>
      <c r="L886" s="82"/>
      <c r="M886" s="470">
        <f t="shared" si="168"/>
        <v>132</v>
      </c>
      <c r="N886" s="471">
        <f t="shared" si="169"/>
        <v>0</v>
      </c>
    </row>
    <row r="887" spans="1:14">
      <c r="A887" s="469" t="s">
        <v>691</v>
      </c>
      <c r="B887" s="469" t="s">
        <v>331</v>
      </c>
      <c r="C887" s="124">
        <v>44917</v>
      </c>
      <c r="D887" s="469">
        <v>2658</v>
      </c>
      <c r="E887" s="469" t="s">
        <v>670</v>
      </c>
      <c r="F887" s="469" t="s">
        <v>342</v>
      </c>
      <c r="G887" s="361" t="s">
        <v>501</v>
      </c>
      <c r="H887" s="361">
        <v>959370</v>
      </c>
      <c r="I887" s="118"/>
      <c r="J887" s="469" t="s">
        <v>191</v>
      </c>
      <c r="K887" s="108">
        <v>168</v>
      </c>
      <c r="L887" s="82"/>
      <c r="M887" s="470">
        <f t="shared" si="168"/>
        <v>168</v>
      </c>
      <c r="N887" s="471">
        <f t="shared" si="169"/>
        <v>0</v>
      </c>
    </row>
    <row r="888" spans="1:14">
      <c r="A888" s="469" t="s">
        <v>691</v>
      </c>
      <c r="B888" s="469" t="s">
        <v>331</v>
      </c>
      <c r="C888" s="124">
        <v>44917</v>
      </c>
      <c r="D888" s="469">
        <v>2658</v>
      </c>
      <c r="E888" s="469" t="s">
        <v>670</v>
      </c>
      <c r="F888" s="469" t="s">
        <v>342</v>
      </c>
      <c r="G888" s="469" t="s">
        <v>501</v>
      </c>
      <c r="H888" s="469">
        <v>959370</v>
      </c>
      <c r="I888" s="118"/>
      <c r="J888" s="469" t="s">
        <v>192</v>
      </c>
      <c r="K888" s="108">
        <v>132</v>
      </c>
      <c r="L888" s="82"/>
      <c r="M888" s="470">
        <f t="shared" si="168"/>
        <v>132</v>
      </c>
      <c r="N888" s="471">
        <f t="shared" si="169"/>
        <v>0</v>
      </c>
    </row>
    <row r="889" spans="1:14">
      <c r="A889" s="469" t="s">
        <v>691</v>
      </c>
      <c r="B889" s="469" t="s">
        <v>331</v>
      </c>
      <c r="C889" s="124">
        <v>44917</v>
      </c>
      <c r="D889" s="469">
        <v>2658</v>
      </c>
      <c r="E889" s="469" t="s">
        <v>670</v>
      </c>
      <c r="F889" s="469" t="s">
        <v>342</v>
      </c>
      <c r="G889" s="361" t="s">
        <v>628</v>
      </c>
      <c r="H889" s="361">
        <v>958067</v>
      </c>
      <c r="I889" s="118"/>
      <c r="J889" s="469" t="s">
        <v>191</v>
      </c>
      <c r="K889" s="108">
        <v>112</v>
      </c>
      <c r="L889" s="82"/>
      <c r="M889" s="470">
        <f t="shared" si="168"/>
        <v>112</v>
      </c>
      <c r="N889" s="471">
        <f t="shared" si="169"/>
        <v>0</v>
      </c>
    </row>
    <row r="890" spans="1:14">
      <c r="A890" s="469" t="s">
        <v>691</v>
      </c>
      <c r="B890" s="469" t="s">
        <v>331</v>
      </c>
      <c r="C890" s="124">
        <v>44917</v>
      </c>
      <c r="D890" s="469">
        <v>2658</v>
      </c>
      <c r="E890" s="469" t="s">
        <v>670</v>
      </c>
      <c r="F890" s="469" t="s">
        <v>342</v>
      </c>
      <c r="G890" s="469" t="s">
        <v>628</v>
      </c>
      <c r="H890" s="469">
        <v>958067</v>
      </c>
      <c r="I890" s="118"/>
      <c r="J890" s="469" t="s">
        <v>192</v>
      </c>
      <c r="K890" s="108">
        <v>88</v>
      </c>
      <c r="L890" s="82"/>
      <c r="M890" s="470">
        <f t="shared" si="168"/>
        <v>88</v>
      </c>
      <c r="N890" s="471">
        <f t="shared" si="169"/>
        <v>0</v>
      </c>
    </row>
    <row r="891" spans="1:14">
      <c r="A891" s="469" t="s">
        <v>691</v>
      </c>
      <c r="B891" s="469" t="s">
        <v>331</v>
      </c>
      <c r="C891" s="124">
        <v>44917</v>
      </c>
      <c r="D891" s="469">
        <v>2658</v>
      </c>
      <c r="E891" s="469" t="s">
        <v>670</v>
      </c>
      <c r="F891" s="469" t="s">
        <v>342</v>
      </c>
      <c r="G891" s="361" t="s">
        <v>629</v>
      </c>
      <c r="H891" s="361">
        <v>968764</v>
      </c>
      <c r="I891" s="118"/>
      <c r="J891" s="469" t="s">
        <v>191</v>
      </c>
      <c r="K891" s="108">
        <v>280</v>
      </c>
      <c r="L891" s="82"/>
      <c r="M891" s="470">
        <f t="shared" si="168"/>
        <v>280</v>
      </c>
      <c r="N891" s="471">
        <f t="shared" si="169"/>
        <v>0</v>
      </c>
    </row>
    <row r="892" spans="1:14">
      <c r="A892" s="469" t="s">
        <v>691</v>
      </c>
      <c r="B892" s="469" t="s">
        <v>331</v>
      </c>
      <c r="C892" s="124">
        <v>44917</v>
      </c>
      <c r="D892" s="469">
        <v>2658</v>
      </c>
      <c r="E892" s="469" t="s">
        <v>670</v>
      </c>
      <c r="F892" s="469" t="s">
        <v>342</v>
      </c>
      <c r="G892" s="469" t="s">
        <v>629</v>
      </c>
      <c r="H892" s="469">
        <v>968764</v>
      </c>
      <c r="I892" s="118"/>
      <c r="J892" s="469" t="s">
        <v>192</v>
      </c>
      <c r="K892" s="108">
        <v>220</v>
      </c>
      <c r="L892" s="82"/>
      <c r="M892" s="470">
        <f t="shared" si="168"/>
        <v>220</v>
      </c>
      <c r="N892" s="471">
        <f t="shared" si="169"/>
        <v>0</v>
      </c>
    </row>
    <row r="893" spans="1:14">
      <c r="A893" s="469" t="s">
        <v>691</v>
      </c>
      <c r="B893" s="469" t="s">
        <v>331</v>
      </c>
      <c r="C893" s="124">
        <v>44917</v>
      </c>
      <c r="D893" s="469">
        <v>2658</v>
      </c>
      <c r="E893" s="469" t="s">
        <v>670</v>
      </c>
      <c r="F893" s="469" t="s">
        <v>342</v>
      </c>
      <c r="G893" s="361" t="s">
        <v>355</v>
      </c>
      <c r="H893" s="361">
        <v>959347</v>
      </c>
      <c r="I893" s="118"/>
      <c r="J893" s="469" t="s">
        <v>191</v>
      </c>
      <c r="K893" s="108">
        <v>168</v>
      </c>
      <c r="L893" s="82"/>
      <c r="M893" s="470">
        <f t="shared" si="168"/>
        <v>168</v>
      </c>
      <c r="N893" s="471">
        <f t="shared" si="169"/>
        <v>0</v>
      </c>
    </row>
    <row r="894" spans="1:14">
      <c r="A894" s="469" t="s">
        <v>691</v>
      </c>
      <c r="B894" s="469" t="s">
        <v>331</v>
      </c>
      <c r="C894" s="124">
        <v>44917</v>
      </c>
      <c r="D894" s="469">
        <v>2658</v>
      </c>
      <c r="E894" s="469" t="s">
        <v>670</v>
      </c>
      <c r="F894" s="469" t="s">
        <v>342</v>
      </c>
      <c r="G894" s="469" t="s">
        <v>355</v>
      </c>
      <c r="H894" s="469">
        <v>959347</v>
      </c>
      <c r="I894" s="118"/>
      <c r="J894" s="469" t="s">
        <v>192</v>
      </c>
      <c r="K894" s="108">
        <v>132</v>
      </c>
      <c r="L894" s="82"/>
      <c r="M894" s="470">
        <f t="shared" si="168"/>
        <v>132</v>
      </c>
      <c r="N894" s="471">
        <f t="shared" si="169"/>
        <v>0</v>
      </c>
    </row>
    <row r="895" spans="1:14">
      <c r="A895" s="469" t="s">
        <v>691</v>
      </c>
      <c r="B895" s="469" t="s">
        <v>331</v>
      </c>
      <c r="C895" s="124">
        <v>44917</v>
      </c>
      <c r="D895" s="469">
        <v>2658</v>
      </c>
      <c r="E895" s="469" t="s">
        <v>670</v>
      </c>
      <c r="F895" s="469" t="s">
        <v>342</v>
      </c>
      <c r="G895" s="361" t="s">
        <v>630</v>
      </c>
      <c r="H895" s="361">
        <v>968606</v>
      </c>
      <c r="I895" s="118"/>
      <c r="J895" s="469" t="s">
        <v>191</v>
      </c>
      <c r="K895" s="108">
        <v>112</v>
      </c>
      <c r="L895" s="82"/>
      <c r="M895" s="470">
        <f t="shared" si="168"/>
        <v>112</v>
      </c>
      <c r="N895" s="471">
        <f t="shared" si="169"/>
        <v>0</v>
      </c>
    </row>
    <row r="896" spans="1:14">
      <c r="A896" s="469" t="s">
        <v>691</v>
      </c>
      <c r="B896" s="469" t="s">
        <v>331</v>
      </c>
      <c r="C896" s="124">
        <v>44917</v>
      </c>
      <c r="D896" s="469">
        <v>2658</v>
      </c>
      <c r="E896" s="469" t="s">
        <v>670</v>
      </c>
      <c r="F896" s="469" t="s">
        <v>342</v>
      </c>
      <c r="G896" s="469" t="s">
        <v>630</v>
      </c>
      <c r="H896" s="469">
        <v>968606</v>
      </c>
      <c r="I896" s="118"/>
      <c r="J896" s="469" t="s">
        <v>192</v>
      </c>
      <c r="K896" s="108">
        <v>88</v>
      </c>
      <c r="L896" s="82"/>
      <c r="M896" s="470">
        <f t="shared" si="168"/>
        <v>88</v>
      </c>
      <c r="N896" s="471">
        <f t="shared" si="169"/>
        <v>0</v>
      </c>
    </row>
    <row r="897" spans="1:14">
      <c r="A897" s="469" t="s">
        <v>691</v>
      </c>
      <c r="B897" s="469" t="s">
        <v>331</v>
      </c>
      <c r="C897" s="124">
        <v>44917</v>
      </c>
      <c r="D897" s="469">
        <v>2658</v>
      </c>
      <c r="E897" s="469" t="s">
        <v>670</v>
      </c>
      <c r="F897" s="469" t="s">
        <v>342</v>
      </c>
      <c r="G897" s="361" t="s">
        <v>523</v>
      </c>
      <c r="H897" s="361">
        <v>968833</v>
      </c>
      <c r="I897" s="118"/>
      <c r="J897" s="469" t="s">
        <v>191</v>
      </c>
      <c r="K897" s="108">
        <v>168</v>
      </c>
      <c r="L897" s="82"/>
      <c r="M897" s="470">
        <f t="shared" si="168"/>
        <v>168</v>
      </c>
      <c r="N897" s="471">
        <f t="shared" si="169"/>
        <v>0</v>
      </c>
    </row>
    <row r="898" spans="1:14">
      <c r="A898" s="469" t="s">
        <v>691</v>
      </c>
      <c r="B898" s="469" t="s">
        <v>331</v>
      </c>
      <c r="C898" s="124">
        <v>44917</v>
      </c>
      <c r="D898" s="469">
        <v>2658</v>
      </c>
      <c r="E898" s="469" t="s">
        <v>670</v>
      </c>
      <c r="F898" s="469" t="s">
        <v>342</v>
      </c>
      <c r="G898" s="469" t="s">
        <v>523</v>
      </c>
      <c r="H898" s="469">
        <v>968833</v>
      </c>
      <c r="I898" s="118"/>
      <c r="J898" s="469" t="s">
        <v>192</v>
      </c>
      <c r="K898" s="108">
        <v>132</v>
      </c>
      <c r="L898" s="82"/>
      <c r="M898" s="470">
        <f t="shared" si="168"/>
        <v>132</v>
      </c>
      <c r="N898" s="471">
        <f t="shared" si="169"/>
        <v>0</v>
      </c>
    </row>
    <row r="899" spans="1:14">
      <c r="A899" s="473" t="s">
        <v>691</v>
      </c>
      <c r="B899" s="473" t="s">
        <v>331</v>
      </c>
      <c r="C899" s="124">
        <v>44923</v>
      </c>
      <c r="D899" s="361">
        <v>2745</v>
      </c>
      <c r="E899" s="473" t="s">
        <v>670</v>
      </c>
      <c r="F899" s="473" t="s">
        <v>342</v>
      </c>
      <c r="G899" s="361" t="s">
        <v>365</v>
      </c>
      <c r="H899" s="361">
        <v>961126</v>
      </c>
      <c r="I899" s="118"/>
      <c r="J899" s="473" t="s">
        <v>191</v>
      </c>
      <c r="K899" s="108">
        <v>140</v>
      </c>
      <c r="L899" s="82"/>
      <c r="M899" s="474">
        <f t="shared" ref="M899:M900" si="170">K899-L899</f>
        <v>140</v>
      </c>
      <c r="N899" s="475">
        <f t="shared" ref="N899:N900" si="171">L899/K899</f>
        <v>0</v>
      </c>
    </row>
    <row r="900" spans="1:14">
      <c r="A900" s="473" t="s">
        <v>691</v>
      </c>
      <c r="B900" s="473" t="s">
        <v>331</v>
      </c>
      <c r="C900" s="124">
        <v>44923</v>
      </c>
      <c r="D900" s="473">
        <v>2745</v>
      </c>
      <c r="E900" s="473" t="s">
        <v>670</v>
      </c>
      <c r="F900" s="473" t="s">
        <v>342</v>
      </c>
      <c r="G900" s="473" t="s">
        <v>365</v>
      </c>
      <c r="H900" s="473">
        <v>961126</v>
      </c>
      <c r="I900" s="118"/>
      <c r="J900" s="473" t="s">
        <v>192</v>
      </c>
      <c r="K900" s="108">
        <v>110</v>
      </c>
      <c r="L900" s="82"/>
      <c r="M900" s="474">
        <f t="shared" si="170"/>
        <v>110</v>
      </c>
      <c r="N900" s="475">
        <f t="shared" si="171"/>
        <v>0</v>
      </c>
    </row>
    <row r="901" spans="1:14">
      <c r="A901" s="473" t="s">
        <v>691</v>
      </c>
      <c r="B901" s="473" t="s">
        <v>331</v>
      </c>
      <c r="C901" s="124">
        <v>44923</v>
      </c>
      <c r="D901" s="473">
        <v>2745</v>
      </c>
      <c r="E901" s="473" t="s">
        <v>670</v>
      </c>
      <c r="F901" s="473" t="s">
        <v>342</v>
      </c>
      <c r="G901" s="361" t="s">
        <v>484</v>
      </c>
      <c r="H901" s="361">
        <v>969525</v>
      </c>
      <c r="I901" s="118"/>
      <c r="J901" s="473" t="s">
        <v>191</v>
      </c>
      <c r="K901" s="108">
        <v>193</v>
      </c>
      <c r="L901" s="82"/>
      <c r="M901" s="474">
        <f t="shared" ref="M901:M916" si="172">K901-L901</f>
        <v>193</v>
      </c>
      <c r="N901" s="475">
        <f t="shared" ref="N901:N916" si="173">L901/K901</f>
        <v>0</v>
      </c>
    </row>
    <row r="902" spans="1:14">
      <c r="A902" s="473" t="s">
        <v>691</v>
      </c>
      <c r="B902" s="473" t="s">
        <v>331</v>
      </c>
      <c r="C902" s="124">
        <v>44923</v>
      </c>
      <c r="D902" s="473">
        <v>2745</v>
      </c>
      <c r="E902" s="473" t="s">
        <v>670</v>
      </c>
      <c r="F902" s="473" t="s">
        <v>342</v>
      </c>
      <c r="G902" s="473" t="s">
        <v>484</v>
      </c>
      <c r="H902" s="473">
        <v>969525</v>
      </c>
      <c r="I902" s="118"/>
      <c r="J902" s="473" t="s">
        <v>192</v>
      </c>
      <c r="K902" s="108">
        <v>107</v>
      </c>
      <c r="L902" s="82"/>
      <c r="M902" s="474">
        <f t="shared" si="172"/>
        <v>107</v>
      </c>
      <c r="N902" s="475">
        <f t="shared" si="173"/>
        <v>0</v>
      </c>
    </row>
    <row r="903" spans="1:14">
      <c r="A903" s="473" t="s">
        <v>691</v>
      </c>
      <c r="B903" s="473" t="s">
        <v>331</v>
      </c>
      <c r="C903" s="124">
        <v>44923</v>
      </c>
      <c r="D903" s="473">
        <v>2745</v>
      </c>
      <c r="E903" s="473" t="s">
        <v>670</v>
      </c>
      <c r="F903" s="473" t="s">
        <v>342</v>
      </c>
      <c r="G903" s="361" t="s">
        <v>420</v>
      </c>
      <c r="H903" s="361">
        <v>958573</v>
      </c>
      <c r="I903" s="118"/>
      <c r="J903" s="473" t="s">
        <v>191</v>
      </c>
      <c r="K903" s="108">
        <v>168</v>
      </c>
      <c r="L903" s="82"/>
      <c r="M903" s="474">
        <f t="shared" si="172"/>
        <v>168</v>
      </c>
      <c r="N903" s="475">
        <f t="shared" si="173"/>
        <v>0</v>
      </c>
    </row>
    <row r="904" spans="1:14">
      <c r="A904" s="473" t="s">
        <v>691</v>
      </c>
      <c r="B904" s="473" t="s">
        <v>331</v>
      </c>
      <c r="C904" s="124">
        <v>44923</v>
      </c>
      <c r="D904" s="473">
        <v>2745</v>
      </c>
      <c r="E904" s="473" t="s">
        <v>670</v>
      </c>
      <c r="F904" s="473" t="s">
        <v>342</v>
      </c>
      <c r="G904" s="473" t="s">
        <v>420</v>
      </c>
      <c r="H904" s="473">
        <v>958573</v>
      </c>
      <c r="I904" s="118"/>
      <c r="J904" s="473" t="s">
        <v>192</v>
      </c>
      <c r="K904" s="108">
        <v>132</v>
      </c>
      <c r="L904" s="82"/>
      <c r="M904" s="474">
        <f t="shared" si="172"/>
        <v>132</v>
      </c>
      <c r="N904" s="475">
        <f t="shared" si="173"/>
        <v>0</v>
      </c>
    </row>
    <row r="905" spans="1:14">
      <c r="A905" s="473" t="s">
        <v>691</v>
      </c>
      <c r="B905" s="473" t="s">
        <v>331</v>
      </c>
      <c r="C905" s="124">
        <v>44923</v>
      </c>
      <c r="D905" s="473">
        <v>2745</v>
      </c>
      <c r="E905" s="473" t="s">
        <v>670</v>
      </c>
      <c r="F905" s="473" t="s">
        <v>342</v>
      </c>
      <c r="G905" s="361" t="s">
        <v>381</v>
      </c>
      <c r="H905" s="361">
        <v>958078</v>
      </c>
      <c r="I905" s="118"/>
      <c r="J905" s="473" t="s">
        <v>191</v>
      </c>
      <c r="K905" s="108">
        <v>168</v>
      </c>
      <c r="L905" s="82"/>
      <c r="M905" s="474">
        <f t="shared" si="172"/>
        <v>168</v>
      </c>
      <c r="N905" s="475">
        <f t="shared" si="173"/>
        <v>0</v>
      </c>
    </row>
    <row r="906" spans="1:14">
      <c r="A906" s="473" t="s">
        <v>691</v>
      </c>
      <c r="B906" s="473" t="s">
        <v>331</v>
      </c>
      <c r="C906" s="124">
        <v>44923</v>
      </c>
      <c r="D906" s="473">
        <v>2745</v>
      </c>
      <c r="E906" s="473" t="s">
        <v>670</v>
      </c>
      <c r="F906" s="473" t="s">
        <v>342</v>
      </c>
      <c r="G906" s="473" t="s">
        <v>381</v>
      </c>
      <c r="H906" s="473">
        <v>958078</v>
      </c>
      <c r="I906" s="118"/>
      <c r="J906" s="473" t="s">
        <v>192</v>
      </c>
      <c r="K906" s="108">
        <v>132</v>
      </c>
      <c r="L906" s="82"/>
      <c r="M906" s="474">
        <f t="shared" si="172"/>
        <v>132</v>
      </c>
      <c r="N906" s="475">
        <f t="shared" si="173"/>
        <v>0</v>
      </c>
    </row>
    <row r="907" spans="1:14">
      <c r="A907" s="473" t="s">
        <v>691</v>
      </c>
      <c r="B907" s="473" t="s">
        <v>331</v>
      </c>
      <c r="C907" s="124">
        <v>44923</v>
      </c>
      <c r="D907" s="473">
        <v>2745</v>
      </c>
      <c r="E907" s="473" t="s">
        <v>670</v>
      </c>
      <c r="F907" s="473" t="s">
        <v>342</v>
      </c>
      <c r="G907" s="361" t="s">
        <v>369</v>
      </c>
      <c r="H907" s="361">
        <v>958713</v>
      </c>
      <c r="I907" s="118"/>
      <c r="J907" s="473" t="s">
        <v>191</v>
      </c>
      <c r="K907" s="108">
        <v>168</v>
      </c>
      <c r="L907" s="82"/>
      <c r="M907" s="474">
        <f t="shared" si="172"/>
        <v>168</v>
      </c>
      <c r="N907" s="475">
        <f t="shared" si="173"/>
        <v>0</v>
      </c>
    </row>
    <row r="908" spans="1:14">
      <c r="A908" s="473" t="s">
        <v>691</v>
      </c>
      <c r="B908" s="473" t="s">
        <v>331</v>
      </c>
      <c r="C908" s="124">
        <v>44923</v>
      </c>
      <c r="D908" s="473">
        <v>2745</v>
      </c>
      <c r="E908" s="473" t="s">
        <v>670</v>
      </c>
      <c r="F908" s="473" t="s">
        <v>342</v>
      </c>
      <c r="G908" s="473" t="s">
        <v>369</v>
      </c>
      <c r="H908" s="473">
        <v>958713</v>
      </c>
      <c r="I908" s="118"/>
      <c r="J908" s="473" t="s">
        <v>192</v>
      </c>
      <c r="K908" s="108">
        <v>132</v>
      </c>
      <c r="L908" s="82"/>
      <c r="M908" s="474">
        <f t="shared" si="172"/>
        <v>132</v>
      </c>
      <c r="N908" s="475">
        <f t="shared" si="173"/>
        <v>0</v>
      </c>
    </row>
    <row r="909" spans="1:14">
      <c r="A909" s="473" t="s">
        <v>691</v>
      </c>
      <c r="B909" s="473" t="s">
        <v>331</v>
      </c>
      <c r="C909" s="124">
        <v>44923</v>
      </c>
      <c r="D909" s="473">
        <v>2745</v>
      </c>
      <c r="E909" s="473" t="s">
        <v>670</v>
      </c>
      <c r="F909" s="473" t="s">
        <v>342</v>
      </c>
      <c r="G909" s="361" t="s">
        <v>405</v>
      </c>
      <c r="H909" s="361">
        <v>959954</v>
      </c>
      <c r="I909" s="118"/>
      <c r="J909" s="473" t="s">
        <v>191</v>
      </c>
      <c r="K909" s="108">
        <v>168</v>
      </c>
      <c r="L909" s="82"/>
      <c r="M909" s="474">
        <f t="shared" si="172"/>
        <v>168</v>
      </c>
      <c r="N909" s="475">
        <f t="shared" si="173"/>
        <v>0</v>
      </c>
    </row>
    <row r="910" spans="1:14">
      <c r="A910" s="473" t="s">
        <v>691</v>
      </c>
      <c r="B910" s="473" t="s">
        <v>331</v>
      </c>
      <c r="C910" s="124">
        <v>44923</v>
      </c>
      <c r="D910" s="473">
        <v>2745</v>
      </c>
      <c r="E910" s="473" t="s">
        <v>670</v>
      </c>
      <c r="F910" s="473" t="s">
        <v>342</v>
      </c>
      <c r="G910" s="473" t="s">
        <v>405</v>
      </c>
      <c r="H910" s="473">
        <v>959954</v>
      </c>
      <c r="I910" s="118"/>
      <c r="J910" s="473" t="s">
        <v>192</v>
      </c>
      <c r="K910" s="108">
        <v>132</v>
      </c>
      <c r="L910" s="82"/>
      <c r="M910" s="474">
        <f t="shared" si="172"/>
        <v>132</v>
      </c>
      <c r="N910" s="475">
        <f t="shared" si="173"/>
        <v>0</v>
      </c>
    </row>
    <row r="911" spans="1:14">
      <c r="A911" s="473" t="s">
        <v>691</v>
      </c>
      <c r="B911" s="473" t="s">
        <v>331</v>
      </c>
      <c r="C911" s="124">
        <v>44923</v>
      </c>
      <c r="D911" s="473">
        <v>2745</v>
      </c>
      <c r="E911" s="473" t="s">
        <v>670</v>
      </c>
      <c r="F911" s="473" t="s">
        <v>342</v>
      </c>
      <c r="G911" s="361" t="s">
        <v>368</v>
      </c>
      <c r="H911" s="361">
        <v>968864</v>
      </c>
      <c r="I911" s="118"/>
      <c r="J911" s="473" t="s">
        <v>191</v>
      </c>
      <c r="K911" s="108">
        <v>168</v>
      </c>
      <c r="L911" s="82"/>
      <c r="M911" s="474">
        <f t="shared" si="172"/>
        <v>168</v>
      </c>
      <c r="N911" s="475">
        <f t="shared" si="173"/>
        <v>0</v>
      </c>
    </row>
    <row r="912" spans="1:14">
      <c r="A912" s="473" t="s">
        <v>691</v>
      </c>
      <c r="B912" s="473" t="s">
        <v>331</v>
      </c>
      <c r="C912" s="124">
        <v>44923</v>
      </c>
      <c r="D912" s="473">
        <v>2745</v>
      </c>
      <c r="E912" s="473" t="s">
        <v>670</v>
      </c>
      <c r="F912" s="473" t="s">
        <v>342</v>
      </c>
      <c r="G912" s="473" t="s">
        <v>368</v>
      </c>
      <c r="H912" s="473">
        <v>968864</v>
      </c>
      <c r="I912" s="118"/>
      <c r="J912" s="473" t="s">
        <v>192</v>
      </c>
      <c r="K912" s="108">
        <v>132</v>
      </c>
      <c r="L912" s="82"/>
      <c r="M912" s="474">
        <f t="shared" si="172"/>
        <v>132</v>
      </c>
      <c r="N912" s="475">
        <f t="shared" si="173"/>
        <v>0</v>
      </c>
    </row>
    <row r="913" spans="1:14">
      <c r="A913" s="473" t="s">
        <v>691</v>
      </c>
      <c r="B913" s="473" t="s">
        <v>331</v>
      </c>
      <c r="C913" s="124">
        <v>44923</v>
      </c>
      <c r="D913" s="473">
        <v>2745</v>
      </c>
      <c r="E913" s="473" t="s">
        <v>670</v>
      </c>
      <c r="F913" s="473" t="s">
        <v>342</v>
      </c>
      <c r="G913" s="361" t="s">
        <v>396</v>
      </c>
      <c r="H913" s="361">
        <v>698168</v>
      </c>
      <c r="I913" s="118"/>
      <c r="J913" s="473" t="s">
        <v>191</v>
      </c>
      <c r="K913" s="108">
        <v>168</v>
      </c>
      <c r="L913" s="82"/>
      <c r="M913" s="474">
        <f t="shared" si="172"/>
        <v>168</v>
      </c>
      <c r="N913" s="475">
        <f t="shared" si="173"/>
        <v>0</v>
      </c>
    </row>
    <row r="914" spans="1:14">
      <c r="A914" s="473" t="s">
        <v>691</v>
      </c>
      <c r="B914" s="473" t="s">
        <v>331</v>
      </c>
      <c r="C914" s="124">
        <v>44923</v>
      </c>
      <c r="D914" s="473">
        <v>2745</v>
      </c>
      <c r="E914" s="473" t="s">
        <v>670</v>
      </c>
      <c r="F914" s="473" t="s">
        <v>342</v>
      </c>
      <c r="G914" s="473" t="s">
        <v>396</v>
      </c>
      <c r="H914" s="473">
        <v>698168</v>
      </c>
      <c r="I914" s="118"/>
      <c r="J914" s="473" t="s">
        <v>192</v>
      </c>
      <c r="K914" s="108">
        <v>132</v>
      </c>
      <c r="L914" s="82"/>
      <c r="M914" s="474">
        <f t="shared" si="172"/>
        <v>132</v>
      </c>
      <c r="N914" s="475">
        <f t="shared" si="173"/>
        <v>0</v>
      </c>
    </row>
    <row r="915" spans="1:14">
      <c r="A915" s="473" t="s">
        <v>691</v>
      </c>
      <c r="B915" s="473" t="s">
        <v>331</v>
      </c>
      <c r="C915" s="124">
        <v>44923</v>
      </c>
      <c r="D915" s="473">
        <v>2745</v>
      </c>
      <c r="E915" s="473" t="s">
        <v>670</v>
      </c>
      <c r="F915" s="473" t="s">
        <v>342</v>
      </c>
      <c r="G915" s="361" t="s">
        <v>464</v>
      </c>
      <c r="H915" s="361">
        <v>968727</v>
      </c>
      <c r="I915" s="118"/>
      <c r="J915" s="473" t="s">
        <v>191</v>
      </c>
      <c r="K915" s="108">
        <v>140</v>
      </c>
      <c r="L915" s="82"/>
      <c r="M915" s="474">
        <f t="shared" si="172"/>
        <v>140</v>
      </c>
      <c r="N915" s="475">
        <f t="shared" si="173"/>
        <v>0</v>
      </c>
    </row>
    <row r="916" spans="1:14">
      <c r="A916" s="473" t="s">
        <v>691</v>
      </c>
      <c r="B916" s="473" t="s">
        <v>331</v>
      </c>
      <c r="C916" s="124">
        <v>44923</v>
      </c>
      <c r="D916" s="473">
        <v>2745</v>
      </c>
      <c r="E916" s="473" t="s">
        <v>670</v>
      </c>
      <c r="F916" s="473" t="s">
        <v>342</v>
      </c>
      <c r="G916" s="473" t="s">
        <v>464</v>
      </c>
      <c r="H916" s="473">
        <v>968727</v>
      </c>
      <c r="I916" s="118"/>
      <c r="J916" s="473" t="s">
        <v>192</v>
      </c>
      <c r="K916" s="108">
        <v>110</v>
      </c>
      <c r="L916" s="82"/>
      <c r="M916" s="474">
        <f t="shared" si="172"/>
        <v>110</v>
      </c>
      <c r="N916" s="475">
        <f t="shared" si="173"/>
        <v>0</v>
      </c>
    </row>
    <row r="917" spans="1:14">
      <c r="A917" s="361" t="s">
        <v>692</v>
      </c>
      <c r="B917" s="361" t="s">
        <v>331</v>
      </c>
      <c r="C917" s="124">
        <v>44923</v>
      </c>
      <c r="D917" s="361">
        <v>2746</v>
      </c>
      <c r="E917" s="473" t="s">
        <v>670</v>
      </c>
      <c r="F917" s="473" t="s">
        <v>342</v>
      </c>
      <c r="G917" s="361" t="s">
        <v>436</v>
      </c>
      <c r="H917" s="361">
        <v>697914</v>
      </c>
      <c r="I917" s="118"/>
      <c r="J917" s="473" t="s">
        <v>191</v>
      </c>
      <c r="K917" s="108">
        <v>200</v>
      </c>
      <c r="L917" s="82"/>
      <c r="M917" s="474">
        <f t="shared" ref="M917:M918" si="174">K917-L917</f>
        <v>200</v>
      </c>
      <c r="N917" s="475">
        <f t="shared" ref="N917:N918" si="175">L917/K917</f>
        <v>0</v>
      </c>
    </row>
    <row r="918" spans="1:14">
      <c r="A918" s="473" t="s">
        <v>692</v>
      </c>
      <c r="B918" s="473" t="s">
        <v>331</v>
      </c>
      <c r="C918" s="124">
        <v>44923</v>
      </c>
      <c r="D918" s="473">
        <v>2746</v>
      </c>
      <c r="E918" s="473" t="s">
        <v>670</v>
      </c>
      <c r="F918" s="473" t="s">
        <v>342</v>
      </c>
      <c r="G918" s="473" t="s">
        <v>436</v>
      </c>
      <c r="H918" s="473">
        <v>697914</v>
      </c>
      <c r="I918" s="118"/>
      <c r="J918" s="473" t="s">
        <v>192</v>
      </c>
      <c r="K918" s="108">
        <v>25</v>
      </c>
      <c r="L918" s="82"/>
      <c r="M918" s="474">
        <f t="shared" si="174"/>
        <v>25</v>
      </c>
      <c r="N918" s="475">
        <f t="shared" si="175"/>
        <v>0</v>
      </c>
    </row>
    <row r="919" spans="1:14">
      <c r="A919" s="473" t="s">
        <v>692</v>
      </c>
      <c r="B919" s="473" t="s">
        <v>331</v>
      </c>
      <c r="C919" s="124">
        <v>44923</v>
      </c>
      <c r="D919" s="473">
        <v>2746</v>
      </c>
      <c r="E919" s="473" t="s">
        <v>670</v>
      </c>
      <c r="F919" s="473" t="s">
        <v>342</v>
      </c>
      <c r="G919" s="361" t="s">
        <v>701</v>
      </c>
      <c r="H919" s="361">
        <v>968614</v>
      </c>
      <c r="I919" s="118"/>
      <c r="J919" s="473" t="s">
        <v>191</v>
      </c>
      <c r="K919" s="108">
        <v>0</v>
      </c>
      <c r="L919" s="82"/>
      <c r="M919" s="474">
        <f t="shared" ref="M919:M926" si="176">K919-L919</f>
        <v>0</v>
      </c>
      <c r="N919" s="475" t="e">
        <f t="shared" ref="N919:N926" si="177">L919/K919</f>
        <v>#DIV/0!</v>
      </c>
    </row>
    <row r="920" spans="1:14">
      <c r="A920" s="473" t="s">
        <v>692</v>
      </c>
      <c r="B920" s="473" t="s">
        <v>331</v>
      </c>
      <c r="C920" s="124">
        <v>44923</v>
      </c>
      <c r="D920" s="473">
        <v>2746</v>
      </c>
      <c r="E920" s="473" t="s">
        <v>670</v>
      </c>
      <c r="F920" s="473" t="s">
        <v>342</v>
      </c>
      <c r="G920" s="473" t="s">
        <v>701</v>
      </c>
      <c r="H920" s="473">
        <v>968614</v>
      </c>
      <c r="I920" s="118"/>
      <c r="J920" s="473" t="s">
        <v>192</v>
      </c>
      <c r="K920" s="108">
        <v>100</v>
      </c>
      <c r="L920" s="82"/>
      <c r="M920" s="474">
        <f t="shared" si="176"/>
        <v>100</v>
      </c>
      <c r="N920" s="475">
        <f t="shared" si="177"/>
        <v>0</v>
      </c>
    </row>
    <row r="921" spans="1:14">
      <c r="A921" s="473" t="s">
        <v>692</v>
      </c>
      <c r="B921" s="473" t="s">
        <v>331</v>
      </c>
      <c r="C921" s="124">
        <v>44923</v>
      </c>
      <c r="D921" s="473">
        <v>2746</v>
      </c>
      <c r="E921" s="473" t="s">
        <v>670</v>
      </c>
      <c r="F921" s="473" t="s">
        <v>342</v>
      </c>
      <c r="G921" s="361" t="s">
        <v>447</v>
      </c>
      <c r="H921" s="361">
        <v>962102</v>
      </c>
      <c r="I921" s="118"/>
      <c r="J921" s="473" t="s">
        <v>191</v>
      </c>
      <c r="K921" s="108">
        <v>230</v>
      </c>
      <c r="L921" s="82"/>
      <c r="M921" s="474">
        <f t="shared" si="176"/>
        <v>230</v>
      </c>
      <c r="N921" s="475">
        <f t="shared" si="177"/>
        <v>0</v>
      </c>
    </row>
    <row r="922" spans="1:14">
      <c r="A922" s="473" t="s">
        <v>692</v>
      </c>
      <c r="B922" s="473" t="s">
        <v>331</v>
      </c>
      <c r="C922" s="124">
        <v>44923</v>
      </c>
      <c r="D922" s="473">
        <v>2746</v>
      </c>
      <c r="E922" s="473" t="s">
        <v>670</v>
      </c>
      <c r="F922" s="473" t="s">
        <v>342</v>
      </c>
      <c r="G922" s="473" t="s">
        <v>447</v>
      </c>
      <c r="H922" s="473">
        <v>962102</v>
      </c>
      <c r="I922" s="118"/>
      <c r="J922" s="473" t="s">
        <v>192</v>
      </c>
      <c r="K922" s="108">
        <v>60</v>
      </c>
      <c r="L922" s="82"/>
      <c r="M922" s="474">
        <f t="shared" si="176"/>
        <v>60</v>
      </c>
      <c r="N922" s="475">
        <f t="shared" si="177"/>
        <v>0</v>
      </c>
    </row>
    <row r="923" spans="1:14">
      <c r="A923" s="473" t="s">
        <v>692</v>
      </c>
      <c r="B923" s="473" t="s">
        <v>331</v>
      </c>
      <c r="C923" s="124">
        <v>44923</v>
      </c>
      <c r="D923" s="473">
        <v>2746</v>
      </c>
      <c r="E923" s="473" t="s">
        <v>670</v>
      </c>
      <c r="F923" s="473" t="s">
        <v>342</v>
      </c>
      <c r="G923" s="361" t="s">
        <v>703</v>
      </c>
      <c r="H923" s="361">
        <v>698731</v>
      </c>
      <c r="I923" s="118"/>
      <c r="J923" s="473" t="s">
        <v>191</v>
      </c>
      <c r="K923" s="108">
        <v>230</v>
      </c>
      <c r="L923" s="82"/>
      <c r="M923" s="474">
        <f t="shared" si="176"/>
        <v>230</v>
      </c>
      <c r="N923" s="475">
        <f t="shared" si="177"/>
        <v>0</v>
      </c>
    </row>
    <row r="924" spans="1:14">
      <c r="A924" s="473" t="s">
        <v>692</v>
      </c>
      <c r="B924" s="473" t="s">
        <v>331</v>
      </c>
      <c r="C924" s="124">
        <v>44923</v>
      </c>
      <c r="D924" s="473">
        <v>2746</v>
      </c>
      <c r="E924" s="473" t="s">
        <v>670</v>
      </c>
      <c r="F924" s="473" t="s">
        <v>342</v>
      </c>
      <c r="G924" s="473" t="s">
        <v>703</v>
      </c>
      <c r="H924" s="473">
        <v>698731</v>
      </c>
      <c r="I924" s="118"/>
      <c r="J924" s="473" t="s">
        <v>192</v>
      </c>
      <c r="K924" s="108">
        <v>60</v>
      </c>
      <c r="L924" s="82"/>
      <c r="M924" s="474">
        <f t="shared" si="176"/>
        <v>60</v>
      </c>
      <c r="N924" s="475">
        <f t="shared" si="177"/>
        <v>0</v>
      </c>
    </row>
    <row r="925" spans="1:14">
      <c r="A925" s="473" t="s">
        <v>692</v>
      </c>
      <c r="B925" s="473" t="s">
        <v>331</v>
      </c>
      <c r="C925" s="124">
        <v>44923</v>
      </c>
      <c r="D925" s="473">
        <v>2746</v>
      </c>
      <c r="E925" s="473" t="s">
        <v>670</v>
      </c>
      <c r="F925" s="473" t="s">
        <v>342</v>
      </c>
      <c r="G925" s="361" t="s">
        <v>344</v>
      </c>
      <c r="H925" s="361">
        <v>960094</v>
      </c>
      <c r="I925" s="118"/>
      <c r="J925" s="473" t="s">
        <v>191</v>
      </c>
      <c r="K925" s="108">
        <v>100</v>
      </c>
      <c r="L925" s="82"/>
      <c r="M925" s="474">
        <f t="shared" si="176"/>
        <v>100</v>
      </c>
      <c r="N925" s="475">
        <f t="shared" si="177"/>
        <v>0</v>
      </c>
    </row>
    <row r="926" spans="1:14">
      <c r="A926" s="473" t="s">
        <v>692</v>
      </c>
      <c r="B926" s="473" t="s">
        <v>331</v>
      </c>
      <c r="C926" s="124">
        <v>44923</v>
      </c>
      <c r="D926" s="473">
        <v>2746</v>
      </c>
      <c r="E926" s="473" t="s">
        <v>670</v>
      </c>
      <c r="F926" s="473" t="s">
        <v>342</v>
      </c>
      <c r="G926" s="473" t="s">
        <v>344</v>
      </c>
      <c r="H926" s="473">
        <v>960094</v>
      </c>
      <c r="I926" s="118"/>
      <c r="J926" s="473" t="s">
        <v>192</v>
      </c>
      <c r="K926" s="108">
        <v>0</v>
      </c>
      <c r="L926" s="82"/>
      <c r="M926" s="474">
        <f t="shared" si="176"/>
        <v>0</v>
      </c>
      <c r="N926" s="475" t="e">
        <f t="shared" si="177"/>
        <v>#DIV/0!</v>
      </c>
    </row>
    <row r="927" spans="1:14">
      <c r="A927" s="473" t="s">
        <v>692</v>
      </c>
      <c r="B927" s="473" t="s">
        <v>335</v>
      </c>
      <c r="C927" s="124">
        <v>44923</v>
      </c>
      <c r="D927" s="473">
        <v>2746</v>
      </c>
      <c r="E927" s="473" t="s">
        <v>670</v>
      </c>
      <c r="F927" s="473" t="s">
        <v>342</v>
      </c>
      <c r="G927" s="361" t="s">
        <v>515</v>
      </c>
      <c r="H927" s="361">
        <v>31015</v>
      </c>
      <c r="I927" s="118"/>
      <c r="J927" s="473" t="s">
        <v>191</v>
      </c>
      <c r="K927" s="560">
        <v>500</v>
      </c>
      <c r="L927" s="82"/>
      <c r="M927" s="562">
        <f>K927-(L927+L928+L929+L930)</f>
        <v>500</v>
      </c>
      <c r="N927" s="564">
        <f>(L927+L928+L929+L930)/K927</f>
        <v>0</v>
      </c>
    </row>
    <row r="928" spans="1:14">
      <c r="A928" s="473" t="s">
        <v>692</v>
      </c>
      <c r="B928" s="473" t="s">
        <v>335</v>
      </c>
      <c r="C928" s="124">
        <v>44923</v>
      </c>
      <c r="D928" s="473">
        <v>2746</v>
      </c>
      <c r="E928" s="473" t="s">
        <v>670</v>
      </c>
      <c r="F928" s="473" t="s">
        <v>342</v>
      </c>
      <c r="G928" s="361" t="s">
        <v>400</v>
      </c>
      <c r="H928" s="361">
        <v>968938</v>
      </c>
      <c r="I928" s="118"/>
      <c r="J928" s="473" t="s">
        <v>191</v>
      </c>
      <c r="K928" s="566"/>
      <c r="L928" s="82"/>
      <c r="M928" s="567"/>
      <c r="N928" s="568"/>
    </row>
    <row r="929" spans="1:14">
      <c r="A929" s="473" t="s">
        <v>692</v>
      </c>
      <c r="B929" s="473" t="s">
        <v>335</v>
      </c>
      <c r="C929" s="124">
        <v>44923</v>
      </c>
      <c r="D929" s="473">
        <v>2746</v>
      </c>
      <c r="E929" s="473" t="s">
        <v>670</v>
      </c>
      <c r="F929" s="473" t="s">
        <v>342</v>
      </c>
      <c r="G929" s="361" t="s">
        <v>489</v>
      </c>
      <c r="H929" s="361">
        <v>966410</v>
      </c>
      <c r="I929" s="118"/>
      <c r="J929" s="473" t="s">
        <v>191</v>
      </c>
      <c r="K929" s="566"/>
      <c r="L929" s="82"/>
      <c r="M929" s="567"/>
      <c r="N929" s="568"/>
    </row>
    <row r="930" spans="1:14">
      <c r="A930" s="473" t="s">
        <v>692</v>
      </c>
      <c r="B930" s="473" t="s">
        <v>335</v>
      </c>
      <c r="C930" s="124">
        <v>44923</v>
      </c>
      <c r="D930" s="473">
        <v>2746</v>
      </c>
      <c r="E930" s="473" t="s">
        <v>670</v>
      </c>
      <c r="F930" s="473" t="s">
        <v>342</v>
      </c>
      <c r="G930" s="361" t="s">
        <v>600</v>
      </c>
      <c r="H930" s="361">
        <v>700254</v>
      </c>
      <c r="I930" s="118"/>
      <c r="J930" s="473" t="s">
        <v>191</v>
      </c>
      <c r="K930" s="561"/>
      <c r="L930" s="82"/>
      <c r="M930" s="563"/>
      <c r="N930" s="565"/>
    </row>
    <row r="931" spans="1:14">
      <c r="A931" s="473" t="s">
        <v>692</v>
      </c>
      <c r="B931" s="473" t="s">
        <v>335</v>
      </c>
      <c r="C931" s="124">
        <v>44923</v>
      </c>
      <c r="D931" s="473">
        <v>2746</v>
      </c>
      <c r="E931" s="473" t="s">
        <v>670</v>
      </c>
      <c r="F931" s="473" t="s">
        <v>342</v>
      </c>
      <c r="G931" s="473" t="s">
        <v>515</v>
      </c>
      <c r="H931" s="473">
        <v>31015</v>
      </c>
      <c r="I931" s="118"/>
      <c r="J931" s="473" t="s">
        <v>192</v>
      </c>
      <c r="K931" s="560">
        <v>110</v>
      </c>
      <c r="L931" s="82"/>
      <c r="M931" s="562">
        <f>K931-(L931+L932+L933+L934)</f>
        <v>110</v>
      </c>
      <c r="N931" s="564">
        <f>(L931+L932+L933+L934)/K931</f>
        <v>0</v>
      </c>
    </row>
    <row r="932" spans="1:14">
      <c r="A932" s="473" t="s">
        <v>692</v>
      </c>
      <c r="B932" s="473" t="s">
        <v>335</v>
      </c>
      <c r="C932" s="124">
        <v>44923</v>
      </c>
      <c r="D932" s="473">
        <v>2746</v>
      </c>
      <c r="E932" s="473" t="s">
        <v>670</v>
      </c>
      <c r="F932" s="473" t="s">
        <v>342</v>
      </c>
      <c r="G932" s="473" t="s">
        <v>400</v>
      </c>
      <c r="H932" s="473">
        <v>968938</v>
      </c>
      <c r="I932" s="118"/>
      <c r="J932" s="473" t="s">
        <v>192</v>
      </c>
      <c r="K932" s="566"/>
      <c r="L932" s="82"/>
      <c r="M932" s="567"/>
      <c r="N932" s="568"/>
    </row>
    <row r="933" spans="1:14">
      <c r="A933" s="473" t="s">
        <v>692</v>
      </c>
      <c r="B933" s="473" t="s">
        <v>335</v>
      </c>
      <c r="C933" s="124">
        <v>44923</v>
      </c>
      <c r="D933" s="473">
        <v>2746</v>
      </c>
      <c r="E933" s="473" t="s">
        <v>670</v>
      </c>
      <c r="F933" s="473" t="s">
        <v>342</v>
      </c>
      <c r="G933" s="473" t="s">
        <v>489</v>
      </c>
      <c r="H933" s="473">
        <v>966410</v>
      </c>
      <c r="I933" s="118"/>
      <c r="J933" s="473" t="s">
        <v>192</v>
      </c>
      <c r="K933" s="566"/>
      <c r="L933" s="82"/>
      <c r="M933" s="567"/>
      <c r="N933" s="568"/>
    </row>
    <row r="934" spans="1:14">
      <c r="A934" s="473" t="s">
        <v>692</v>
      </c>
      <c r="B934" s="473" t="s">
        <v>335</v>
      </c>
      <c r="C934" s="124">
        <v>44923</v>
      </c>
      <c r="D934" s="473">
        <v>2746</v>
      </c>
      <c r="E934" s="473" t="s">
        <v>670</v>
      </c>
      <c r="F934" s="473" t="s">
        <v>342</v>
      </c>
      <c r="G934" s="473" t="s">
        <v>600</v>
      </c>
      <c r="H934" s="473">
        <v>700254</v>
      </c>
      <c r="I934" s="118"/>
      <c r="J934" s="473" t="s">
        <v>192</v>
      </c>
      <c r="K934" s="561"/>
      <c r="L934" s="82"/>
      <c r="M934" s="563"/>
      <c r="N934" s="565"/>
    </row>
    <row r="935" spans="1:14">
      <c r="A935" s="473" t="s">
        <v>692</v>
      </c>
      <c r="B935" s="473" t="s">
        <v>331</v>
      </c>
      <c r="C935" s="124">
        <v>44923</v>
      </c>
      <c r="D935" s="473">
        <v>2746</v>
      </c>
      <c r="E935" s="473" t="s">
        <v>670</v>
      </c>
      <c r="F935" s="473" t="s">
        <v>342</v>
      </c>
      <c r="G935" s="361" t="s">
        <v>797</v>
      </c>
      <c r="H935" s="361">
        <v>700140</v>
      </c>
      <c r="I935" s="118"/>
      <c r="J935" s="473" t="s">
        <v>191</v>
      </c>
      <c r="K935" s="108">
        <v>351</v>
      </c>
      <c r="L935" s="82"/>
      <c r="M935" s="474">
        <f t="shared" ref="M935:M936" si="178">K935-L935</f>
        <v>351</v>
      </c>
      <c r="N935" s="475">
        <f t="shared" ref="N935:N936" si="179">L935/K935</f>
        <v>0</v>
      </c>
    </row>
    <row r="936" spans="1:14">
      <c r="A936" s="473" t="s">
        <v>692</v>
      </c>
      <c r="B936" s="473" t="s">
        <v>331</v>
      </c>
      <c r="C936" s="124">
        <v>44923</v>
      </c>
      <c r="D936" s="473">
        <v>2746</v>
      </c>
      <c r="E936" s="473" t="s">
        <v>670</v>
      </c>
      <c r="F936" s="473" t="s">
        <v>342</v>
      </c>
      <c r="G936" s="473" t="s">
        <v>797</v>
      </c>
      <c r="H936" s="473">
        <v>700140</v>
      </c>
      <c r="I936" s="118"/>
      <c r="J936" s="473" t="s">
        <v>192</v>
      </c>
      <c r="K936" s="108">
        <v>98</v>
      </c>
      <c r="L936" s="82"/>
      <c r="M936" s="474">
        <f t="shared" si="178"/>
        <v>98</v>
      </c>
      <c r="N936" s="475">
        <f t="shared" si="179"/>
        <v>0</v>
      </c>
    </row>
    <row r="937" spans="1:14">
      <c r="A937" s="473" t="s">
        <v>692</v>
      </c>
      <c r="B937" s="473" t="s">
        <v>331</v>
      </c>
      <c r="C937" s="124">
        <v>44923</v>
      </c>
      <c r="D937" s="473">
        <v>2746</v>
      </c>
      <c r="E937" s="473" t="s">
        <v>670</v>
      </c>
      <c r="F937" s="473" t="s">
        <v>342</v>
      </c>
      <c r="G937" s="361" t="s">
        <v>469</v>
      </c>
      <c r="H937" s="361">
        <v>969602</v>
      </c>
      <c r="I937" s="118"/>
      <c r="J937" s="473" t="s">
        <v>191</v>
      </c>
      <c r="K937" s="108">
        <v>351</v>
      </c>
      <c r="L937" s="82"/>
      <c r="M937" s="474">
        <f t="shared" ref="M937:M939" si="180">K937-L937</f>
        <v>351</v>
      </c>
      <c r="N937" s="475">
        <f t="shared" ref="N937:N939" si="181">L937/K937</f>
        <v>0</v>
      </c>
    </row>
    <row r="938" spans="1:14">
      <c r="A938" s="473" t="s">
        <v>692</v>
      </c>
      <c r="B938" s="473" t="s">
        <v>331</v>
      </c>
      <c r="C938" s="124">
        <v>44923</v>
      </c>
      <c r="D938" s="473">
        <v>2746</v>
      </c>
      <c r="E938" s="473" t="s">
        <v>670</v>
      </c>
      <c r="F938" s="473" t="s">
        <v>342</v>
      </c>
      <c r="G938" s="473" t="s">
        <v>469</v>
      </c>
      <c r="H938" s="473">
        <v>969602</v>
      </c>
      <c r="I938" s="118"/>
      <c r="J938" s="473" t="s">
        <v>192</v>
      </c>
      <c r="K938" s="108">
        <v>97.29</v>
      </c>
      <c r="L938" s="82"/>
      <c r="M938" s="474">
        <f t="shared" si="180"/>
        <v>97.29</v>
      </c>
      <c r="N938" s="475">
        <f t="shared" si="181"/>
        <v>0</v>
      </c>
    </row>
    <row r="939" spans="1:14">
      <c r="A939" s="361" t="s">
        <v>798</v>
      </c>
      <c r="B939" s="361" t="s">
        <v>331</v>
      </c>
      <c r="C939" s="124">
        <v>44923</v>
      </c>
      <c r="D939" s="361">
        <v>127</v>
      </c>
      <c r="E939" s="361" t="s">
        <v>332</v>
      </c>
      <c r="F939" s="361" t="s">
        <v>333</v>
      </c>
      <c r="G939" s="476" t="s">
        <v>701</v>
      </c>
      <c r="H939" s="476">
        <v>968614</v>
      </c>
      <c r="I939" s="118"/>
      <c r="J939" s="476" t="s">
        <v>191</v>
      </c>
      <c r="K939" s="108">
        <v>150</v>
      </c>
      <c r="L939" s="82"/>
      <c r="M939" s="477">
        <f t="shared" si="180"/>
        <v>150</v>
      </c>
      <c r="N939" s="478">
        <f t="shared" si="181"/>
        <v>0</v>
      </c>
    </row>
    <row r="940" spans="1:14">
      <c r="A940" s="361" t="s">
        <v>694</v>
      </c>
      <c r="B940" s="361" t="s">
        <v>335</v>
      </c>
      <c r="C940" s="124">
        <v>44925</v>
      </c>
      <c r="D940" s="361">
        <v>2824</v>
      </c>
      <c r="E940" s="361" t="s">
        <v>670</v>
      </c>
      <c r="F940" s="361" t="s">
        <v>342</v>
      </c>
      <c r="G940" s="361" t="s">
        <v>690</v>
      </c>
      <c r="H940" s="361">
        <v>960952</v>
      </c>
      <c r="I940" s="118"/>
      <c r="J940" s="479" t="s">
        <v>191</v>
      </c>
      <c r="K940" s="560">
        <v>475</v>
      </c>
      <c r="L940" s="82"/>
      <c r="M940" s="562">
        <f>K940-(L940+L941)</f>
        <v>475</v>
      </c>
      <c r="N940" s="564">
        <f>(L940+L941)/K940</f>
        <v>0</v>
      </c>
    </row>
    <row r="941" spans="1:14">
      <c r="A941" s="479" t="s">
        <v>694</v>
      </c>
      <c r="B941" s="479" t="s">
        <v>335</v>
      </c>
      <c r="C941" s="124">
        <v>44925</v>
      </c>
      <c r="D941" s="479">
        <v>2824</v>
      </c>
      <c r="E941" s="479" t="s">
        <v>670</v>
      </c>
      <c r="F941" s="479" t="s">
        <v>342</v>
      </c>
      <c r="G941" s="361" t="s">
        <v>538</v>
      </c>
      <c r="H941" s="361">
        <v>700411</v>
      </c>
      <c r="I941" s="118"/>
      <c r="J941" s="479" t="s">
        <v>191</v>
      </c>
      <c r="K941" s="561"/>
      <c r="L941" s="82"/>
      <c r="M941" s="563"/>
      <c r="N941" s="565"/>
    </row>
    <row r="942" spans="1:14">
      <c r="A942" s="479" t="s">
        <v>694</v>
      </c>
      <c r="B942" s="479" t="s">
        <v>335</v>
      </c>
      <c r="C942" s="124">
        <v>44925</v>
      </c>
      <c r="D942" s="479">
        <v>2824</v>
      </c>
      <c r="E942" s="479" t="s">
        <v>670</v>
      </c>
      <c r="F942" s="479" t="s">
        <v>342</v>
      </c>
      <c r="G942" s="479" t="s">
        <v>690</v>
      </c>
      <c r="H942" s="479">
        <v>960952</v>
      </c>
      <c r="I942" s="118"/>
      <c r="J942" s="479" t="s">
        <v>192</v>
      </c>
      <c r="K942" s="560">
        <v>1</v>
      </c>
      <c r="L942" s="82"/>
      <c r="M942" s="562">
        <f>K942-(L942+L943)</f>
        <v>1</v>
      </c>
      <c r="N942" s="564">
        <f>(L942+L943)/K942</f>
        <v>0</v>
      </c>
    </row>
    <row r="943" spans="1:14">
      <c r="A943" s="479" t="s">
        <v>694</v>
      </c>
      <c r="B943" s="479" t="s">
        <v>335</v>
      </c>
      <c r="C943" s="124">
        <v>44925</v>
      </c>
      <c r="D943" s="479">
        <v>2824</v>
      </c>
      <c r="E943" s="479" t="s">
        <v>670</v>
      </c>
      <c r="F943" s="479" t="s">
        <v>342</v>
      </c>
      <c r="G943" s="479" t="s">
        <v>538</v>
      </c>
      <c r="H943" s="479">
        <v>700411</v>
      </c>
      <c r="I943" s="118"/>
      <c r="J943" s="479" t="s">
        <v>192</v>
      </c>
      <c r="K943" s="561"/>
      <c r="L943" s="82"/>
      <c r="M943" s="563"/>
      <c r="N943" s="565"/>
    </row>
    <row r="944" spans="1:14">
      <c r="A944" s="479" t="s">
        <v>694</v>
      </c>
      <c r="B944" s="479" t="s">
        <v>331</v>
      </c>
      <c r="C944" s="124">
        <v>44925</v>
      </c>
      <c r="D944" s="479">
        <v>2824</v>
      </c>
      <c r="E944" s="479" t="s">
        <v>670</v>
      </c>
      <c r="F944" s="479" t="s">
        <v>342</v>
      </c>
      <c r="G944" s="361" t="s">
        <v>347</v>
      </c>
      <c r="H944" s="361">
        <v>955516</v>
      </c>
      <c r="I944" s="118"/>
      <c r="J944" s="479" t="s">
        <v>191</v>
      </c>
      <c r="K944" s="108">
        <v>475</v>
      </c>
      <c r="L944" s="82"/>
      <c r="M944" s="480">
        <f t="shared" ref="M944:M945" si="182">K944-L944</f>
        <v>475</v>
      </c>
      <c r="N944" s="481">
        <f t="shared" ref="N944:N945" si="183">L944/K944</f>
        <v>0</v>
      </c>
    </row>
    <row r="945" spans="1:14">
      <c r="A945" s="479" t="s">
        <v>694</v>
      </c>
      <c r="B945" s="479" t="s">
        <v>331</v>
      </c>
      <c r="C945" s="124">
        <v>44925</v>
      </c>
      <c r="D945" s="479">
        <v>2824</v>
      </c>
      <c r="E945" s="479" t="s">
        <v>670</v>
      </c>
      <c r="F945" s="479" t="s">
        <v>342</v>
      </c>
      <c r="G945" s="479" t="s">
        <v>347</v>
      </c>
      <c r="H945" s="479">
        <v>955516</v>
      </c>
      <c r="I945" s="118"/>
      <c r="J945" s="479" t="s">
        <v>192</v>
      </c>
      <c r="K945" s="108">
        <v>1</v>
      </c>
      <c r="L945" s="82"/>
      <c r="M945" s="480">
        <f t="shared" si="182"/>
        <v>1</v>
      </c>
      <c r="N945" s="481">
        <f t="shared" si="183"/>
        <v>0</v>
      </c>
    </row>
    <row r="946" spans="1:14">
      <c r="A946" s="361" t="s">
        <v>692</v>
      </c>
      <c r="B946" s="361" t="s">
        <v>331</v>
      </c>
      <c r="C946" s="124">
        <v>44925</v>
      </c>
      <c r="D946" s="361">
        <v>2825</v>
      </c>
      <c r="E946" s="361" t="s">
        <v>670</v>
      </c>
      <c r="F946" s="361" t="s">
        <v>342</v>
      </c>
      <c r="G946" s="361" t="s">
        <v>588</v>
      </c>
      <c r="H946" s="361">
        <v>964054</v>
      </c>
      <c r="I946" s="118"/>
      <c r="J946" s="479" t="s">
        <v>191</v>
      </c>
      <c r="K946" s="108">
        <v>150</v>
      </c>
      <c r="L946" s="82"/>
      <c r="M946" s="480">
        <f t="shared" ref="M946" si="184">K946-L946</f>
        <v>150</v>
      </c>
      <c r="N946" s="481">
        <f t="shared" ref="N946" si="185">L946/K946</f>
        <v>0</v>
      </c>
    </row>
    <row r="947" spans="1:14">
      <c r="A947" s="361" t="s">
        <v>746</v>
      </c>
      <c r="B947" s="361" t="s">
        <v>335</v>
      </c>
      <c r="C947" s="124">
        <v>44925</v>
      </c>
      <c r="D947" s="361">
        <v>2826</v>
      </c>
      <c r="E947" s="479" t="s">
        <v>670</v>
      </c>
      <c r="F947" s="361" t="s">
        <v>342</v>
      </c>
      <c r="G947" s="361" t="s">
        <v>362</v>
      </c>
      <c r="H947" s="361">
        <v>952452</v>
      </c>
      <c r="I947" s="118"/>
      <c r="J947" s="479" t="s">
        <v>191</v>
      </c>
      <c r="K947" s="560">
        <v>260</v>
      </c>
      <c r="L947" s="82"/>
      <c r="M947" s="562">
        <f>K947-(L947+L948)</f>
        <v>260</v>
      </c>
      <c r="N947" s="564">
        <f>(L947+L948)/K947</f>
        <v>0</v>
      </c>
    </row>
    <row r="948" spans="1:14">
      <c r="A948" s="479" t="s">
        <v>746</v>
      </c>
      <c r="B948" s="479" t="s">
        <v>335</v>
      </c>
      <c r="C948" s="124">
        <v>44925</v>
      </c>
      <c r="D948" s="479">
        <v>2826</v>
      </c>
      <c r="E948" s="479" t="s">
        <v>670</v>
      </c>
      <c r="F948" s="479" t="s">
        <v>342</v>
      </c>
      <c r="G948" s="361" t="s">
        <v>357</v>
      </c>
      <c r="H948" s="361">
        <v>969679</v>
      </c>
      <c r="I948" s="118"/>
      <c r="J948" s="479" t="s">
        <v>191</v>
      </c>
      <c r="K948" s="561"/>
      <c r="L948" s="82"/>
      <c r="M948" s="563"/>
      <c r="N948" s="565"/>
    </row>
    <row r="949" spans="1:14">
      <c r="A949" s="361" t="s">
        <v>724</v>
      </c>
      <c r="B949" s="361" t="s">
        <v>331</v>
      </c>
      <c r="C949" s="124">
        <v>44925</v>
      </c>
      <c r="D949" s="361">
        <v>2827</v>
      </c>
      <c r="E949" s="361" t="s">
        <v>670</v>
      </c>
      <c r="F949" s="361" t="s">
        <v>342</v>
      </c>
      <c r="G949" s="361" t="s">
        <v>364</v>
      </c>
      <c r="H949" s="361">
        <v>950818</v>
      </c>
      <c r="I949" s="118"/>
      <c r="J949" s="479" t="s">
        <v>191</v>
      </c>
      <c r="K949" s="108">
        <v>208.08</v>
      </c>
      <c r="L949" s="82"/>
      <c r="M949" s="480">
        <f t="shared" ref="M949" si="186">K949-L949</f>
        <v>208.08</v>
      </c>
      <c r="N949" s="481">
        <f t="shared" ref="N949" si="187">L949/K949</f>
        <v>0</v>
      </c>
    </row>
    <row r="950" spans="1:14">
      <c r="A950" s="361" t="s">
        <v>732</v>
      </c>
      <c r="B950" s="361" t="s">
        <v>331</v>
      </c>
      <c r="C950" s="124">
        <v>44925</v>
      </c>
      <c r="D950" s="361">
        <v>2879</v>
      </c>
      <c r="E950" s="486" t="s">
        <v>670</v>
      </c>
      <c r="F950" s="486" t="s">
        <v>342</v>
      </c>
      <c r="G950" s="361" t="s">
        <v>733</v>
      </c>
      <c r="H950" s="361">
        <v>960769</v>
      </c>
      <c r="I950" s="118"/>
      <c r="J950" s="486" t="s">
        <v>191</v>
      </c>
      <c r="K950" s="108">
        <v>54.250999999999998</v>
      </c>
      <c r="L950" s="82"/>
      <c r="M950" s="487">
        <f t="shared" ref="M950" si="188">K950-L950</f>
        <v>54.250999999999998</v>
      </c>
      <c r="N950" s="488">
        <f t="shared" ref="N950" si="189">L950/K950</f>
        <v>0</v>
      </c>
    </row>
    <row r="951" spans="1:14">
      <c r="A951" s="361"/>
      <c r="B951" s="361"/>
      <c r="C951" s="361"/>
      <c r="D951" s="361"/>
      <c r="E951" s="361"/>
      <c r="F951" s="361"/>
      <c r="G951" s="361"/>
      <c r="H951" s="361"/>
      <c r="I951" s="118"/>
      <c r="J951" s="361"/>
      <c r="K951" s="108"/>
      <c r="L951" s="82"/>
      <c r="M951" s="362"/>
      <c r="N951" s="363"/>
    </row>
    <row r="952" spans="1:14">
      <c r="A952" s="361"/>
      <c r="B952" s="361"/>
      <c r="C952" s="361"/>
      <c r="D952" s="361"/>
      <c r="E952" s="361"/>
      <c r="F952" s="361"/>
      <c r="G952" s="361"/>
      <c r="H952" s="361"/>
      <c r="I952" s="118"/>
      <c r="J952" s="361"/>
      <c r="K952" s="108"/>
      <c r="L952" s="82"/>
      <c r="M952" s="362"/>
      <c r="N952" s="363"/>
    </row>
    <row r="953" spans="1:14">
      <c r="A953" s="361"/>
      <c r="B953" s="361"/>
      <c r="C953" s="361"/>
      <c r="D953" s="361"/>
      <c r="E953" s="361"/>
      <c r="F953" s="361"/>
      <c r="G953" s="361"/>
      <c r="H953" s="361"/>
      <c r="I953" s="118"/>
      <c r="J953" s="361"/>
      <c r="K953" s="108"/>
      <c r="L953" s="82"/>
      <c r="M953" s="362"/>
      <c r="N953" s="363"/>
    </row>
    <row r="954" spans="1:14">
      <c r="A954" s="361"/>
      <c r="B954" s="361"/>
      <c r="C954" s="361"/>
      <c r="D954" s="361"/>
      <c r="E954" s="361"/>
      <c r="F954" s="361"/>
      <c r="G954" s="361"/>
      <c r="H954" s="361"/>
      <c r="I954" s="118"/>
      <c r="J954" s="361"/>
      <c r="K954" s="108"/>
      <c r="L954" s="82"/>
      <c r="M954" s="362"/>
      <c r="N954" s="363"/>
    </row>
    <row r="955" spans="1:14">
      <c r="A955" s="361"/>
      <c r="B955" s="361"/>
      <c r="C955" s="361"/>
      <c r="D955" s="361"/>
      <c r="E955" s="361"/>
      <c r="F955" s="361"/>
      <c r="G955" s="361"/>
      <c r="H955" s="361"/>
      <c r="I955" s="118"/>
      <c r="J955" s="361"/>
      <c r="K955" s="108"/>
      <c r="L955" s="82"/>
      <c r="M955" s="362"/>
      <c r="N955" s="363"/>
    </row>
    <row r="956" spans="1:14">
      <c r="A956" s="361"/>
      <c r="B956" s="361"/>
      <c r="C956" s="361"/>
      <c r="D956" s="361"/>
      <c r="E956" s="361"/>
      <c r="F956" s="361"/>
      <c r="G956" s="361"/>
      <c r="H956" s="361"/>
      <c r="I956" s="118"/>
      <c r="J956" s="361"/>
      <c r="K956" s="108"/>
      <c r="L956" s="82"/>
      <c r="M956" s="362"/>
      <c r="N956" s="363"/>
    </row>
    <row r="957" spans="1:14">
      <c r="A957" s="361"/>
      <c r="B957" s="361"/>
      <c r="C957" s="361"/>
      <c r="D957" s="361"/>
      <c r="E957" s="361"/>
      <c r="F957" s="361"/>
      <c r="G957" s="361"/>
      <c r="H957" s="361"/>
      <c r="I957" s="118"/>
      <c r="J957" s="361"/>
      <c r="K957" s="108"/>
      <c r="L957" s="82"/>
      <c r="M957" s="362"/>
      <c r="N957" s="363"/>
    </row>
    <row r="958" spans="1:14">
      <c r="A958" s="361"/>
      <c r="B958" s="361"/>
      <c r="C958" s="361"/>
      <c r="D958" s="361"/>
      <c r="E958" s="361"/>
      <c r="F958" s="361"/>
      <c r="G958" s="361"/>
      <c r="H958" s="361"/>
      <c r="I958" s="118"/>
      <c r="J958" s="361"/>
      <c r="K958" s="108"/>
      <c r="L958" s="82"/>
      <c r="M958" s="362"/>
      <c r="N958" s="363"/>
    </row>
    <row r="959" spans="1:14">
      <c r="A959" s="361"/>
      <c r="B959" s="361"/>
      <c r="C959" s="361"/>
      <c r="D959" s="361"/>
      <c r="E959" s="361"/>
      <c r="F959" s="361"/>
      <c r="G959" s="361"/>
      <c r="H959" s="361"/>
      <c r="I959" s="118"/>
      <c r="J959" s="361"/>
      <c r="K959" s="108"/>
      <c r="L959" s="82"/>
      <c r="M959" s="362"/>
      <c r="N959" s="363"/>
    </row>
    <row r="960" spans="1:14">
      <c r="A960" s="361"/>
      <c r="B960" s="361"/>
      <c r="C960" s="361"/>
      <c r="D960" s="361"/>
      <c r="E960" s="361"/>
      <c r="F960" s="361"/>
      <c r="G960" s="361"/>
      <c r="H960" s="361"/>
      <c r="I960" s="118"/>
      <c r="J960" s="361"/>
      <c r="K960" s="108"/>
      <c r="L960" s="82"/>
      <c r="M960" s="362"/>
      <c r="N960" s="363"/>
    </row>
    <row r="961" spans="1:14">
      <c r="A961" s="361"/>
      <c r="B961" s="361"/>
      <c r="C961" s="361"/>
      <c r="D961" s="361"/>
      <c r="E961" s="361"/>
      <c r="F961" s="361"/>
      <c r="G961" s="361"/>
      <c r="H961" s="361"/>
      <c r="I961" s="118"/>
      <c r="J961" s="361"/>
      <c r="K961" s="108"/>
      <c r="L961" s="82"/>
      <c r="M961" s="362"/>
      <c r="N961" s="363"/>
    </row>
    <row r="962" spans="1:14">
      <c r="A962" s="361"/>
      <c r="B962" s="361"/>
      <c r="C962" s="361"/>
      <c r="D962" s="361"/>
      <c r="E962" s="361"/>
      <c r="F962" s="361"/>
      <c r="G962" s="361"/>
      <c r="H962" s="361"/>
      <c r="I962" s="118"/>
      <c r="J962" s="361"/>
      <c r="K962" s="108"/>
      <c r="L962" s="82"/>
      <c r="M962" s="362"/>
      <c r="N962" s="363"/>
    </row>
    <row r="963" spans="1:14">
      <c r="A963" s="361"/>
      <c r="B963" s="361"/>
      <c r="C963" s="361"/>
      <c r="D963" s="361"/>
      <c r="E963" s="361"/>
      <c r="F963" s="361"/>
      <c r="G963" s="361"/>
      <c r="H963" s="361"/>
      <c r="I963" s="118"/>
      <c r="J963" s="361"/>
      <c r="K963" s="108"/>
      <c r="L963" s="82"/>
      <c r="M963" s="362"/>
      <c r="N963" s="363"/>
    </row>
    <row r="964" spans="1:14">
      <c r="A964" s="361"/>
      <c r="B964" s="361"/>
      <c r="C964" s="361"/>
      <c r="D964" s="361"/>
      <c r="E964" s="361"/>
      <c r="F964" s="361"/>
      <c r="G964" s="361"/>
      <c r="H964" s="361"/>
      <c r="I964" s="118"/>
      <c r="J964" s="361"/>
      <c r="K964" s="108"/>
      <c r="L964" s="82"/>
      <c r="M964" s="362"/>
      <c r="N964" s="363"/>
    </row>
    <row r="965" spans="1:14">
      <c r="A965" s="361"/>
      <c r="B965" s="361"/>
      <c r="C965" s="361"/>
      <c r="D965" s="361"/>
      <c r="E965" s="361"/>
      <c r="F965" s="361"/>
      <c r="G965" s="361"/>
      <c r="H965" s="361"/>
      <c r="I965" s="118"/>
      <c r="J965" s="361"/>
      <c r="K965" s="108"/>
      <c r="L965" s="82"/>
      <c r="M965" s="362"/>
      <c r="N965" s="363"/>
    </row>
    <row r="966" spans="1:14">
      <c r="A966" s="361"/>
      <c r="B966" s="361"/>
      <c r="C966" s="361"/>
      <c r="D966" s="361"/>
      <c r="E966" s="361"/>
      <c r="F966" s="361"/>
      <c r="G966" s="361"/>
      <c r="H966" s="361"/>
      <c r="I966" s="118"/>
      <c r="J966" s="361"/>
      <c r="K966" s="108"/>
      <c r="L966" s="82"/>
      <c r="M966" s="362"/>
      <c r="N966" s="363"/>
    </row>
    <row r="967" spans="1:14">
      <c r="A967" s="361"/>
      <c r="B967" s="361"/>
      <c r="C967" s="361"/>
      <c r="D967" s="361"/>
      <c r="E967" s="361"/>
      <c r="F967" s="361"/>
      <c r="G967" s="361"/>
      <c r="H967" s="361"/>
      <c r="I967" s="118"/>
      <c r="J967" s="361"/>
      <c r="K967" s="108"/>
      <c r="L967" s="82"/>
      <c r="M967" s="362"/>
      <c r="N967" s="363"/>
    </row>
    <row r="968" spans="1:14">
      <c r="A968" s="361"/>
      <c r="B968" s="361"/>
      <c r="C968" s="361"/>
      <c r="D968" s="361"/>
      <c r="E968" s="361"/>
      <c r="F968" s="361"/>
      <c r="G968" s="361"/>
      <c r="H968" s="361"/>
      <c r="I968" s="118"/>
      <c r="J968" s="361"/>
      <c r="K968" s="108"/>
      <c r="L968" s="82"/>
      <c r="M968" s="362"/>
      <c r="N968" s="363"/>
    </row>
    <row r="969" spans="1:14">
      <c r="A969" s="361"/>
      <c r="B969" s="361"/>
      <c r="C969" s="361"/>
      <c r="D969" s="361"/>
      <c r="E969" s="361"/>
      <c r="F969" s="361"/>
      <c r="G969" s="361"/>
      <c r="H969" s="361"/>
      <c r="I969" s="118"/>
      <c r="J969" s="361"/>
      <c r="K969" s="108"/>
      <c r="L969" s="82"/>
      <c r="M969" s="362"/>
      <c r="N969" s="363"/>
    </row>
    <row r="970" spans="1:14">
      <c r="A970" s="361"/>
      <c r="B970" s="361"/>
      <c r="C970" s="361"/>
      <c r="D970" s="361"/>
      <c r="E970" s="361"/>
      <c r="F970" s="361"/>
      <c r="G970" s="361"/>
      <c r="H970" s="361"/>
      <c r="I970" s="118"/>
      <c r="J970" s="361"/>
      <c r="K970" s="108"/>
      <c r="L970" s="82"/>
      <c r="M970" s="362"/>
      <c r="N970" s="363"/>
    </row>
    <row r="971" spans="1:14">
      <c r="A971" s="361"/>
      <c r="B971" s="361"/>
      <c r="C971" s="361"/>
      <c r="D971" s="361"/>
      <c r="E971" s="361"/>
      <c r="F971" s="361"/>
      <c r="G971" s="361"/>
      <c r="H971" s="361"/>
      <c r="I971" s="118"/>
      <c r="J971" s="361"/>
      <c r="K971" s="108"/>
      <c r="L971" s="82"/>
      <c r="M971" s="362"/>
      <c r="N971" s="363"/>
    </row>
    <row r="972" spans="1:14">
      <c r="A972" s="361"/>
      <c r="B972" s="361"/>
      <c r="C972" s="361"/>
      <c r="D972" s="361"/>
      <c r="E972" s="361"/>
      <c r="F972" s="361"/>
      <c r="G972" s="361"/>
      <c r="H972" s="361"/>
      <c r="I972" s="118"/>
      <c r="J972" s="361"/>
      <c r="K972" s="108"/>
      <c r="L972" s="82"/>
      <c r="M972" s="362"/>
      <c r="N972" s="363"/>
    </row>
    <row r="973" spans="1:14">
      <c r="A973" s="361"/>
      <c r="B973" s="361"/>
      <c r="C973" s="361"/>
      <c r="D973" s="361"/>
      <c r="E973" s="361"/>
      <c r="F973" s="361"/>
      <c r="G973" s="361"/>
      <c r="H973" s="361"/>
      <c r="I973" s="118"/>
      <c r="J973" s="361"/>
      <c r="K973" s="108"/>
      <c r="L973" s="82"/>
      <c r="M973" s="362"/>
      <c r="N973" s="363"/>
    </row>
    <row r="974" spans="1:14">
      <c r="A974" s="361"/>
      <c r="B974" s="361"/>
      <c r="C974" s="361"/>
      <c r="D974" s="361"/>
      <c r="E974" s="361"/>
      <c r="F974" s="361"/>
      <c r="G974" s="361"/>
      <c r="H974" s="361"/>
      <c r="I974" s="118"/>
      <c r="J974" s="361"/>
      <c r="K974" s="108"/>
      <c r="L974" s="82"/>
      <c r="M974" s="362"/>
      <c r="N974" s="363"/>
    </row>
    <row r="975" spans="1:14">
      <c r="A975" s="361"/>
      <c r="B975" s="361"/>
      <c r="C975" s="361"/>
      <c r="D975" s="361"/>
      <c r="E975" s="361"/>
      <c r="F975" s="361"/>
      <c r="G975" s="361"/>
      <c r="H975" s="361"/>
      <c r="I975" s="118"/>
      <c r="J975" s="361"/>
      <c r="K975" s="108"/>
      <c r="L975" s="82"/>
      <c r="M975" s="362"/>
      <c r="N975" s="363"/>
    </row>
    <row r="976" spans="1:14">
      <c r="A976" s="361"/>
      <c r="B976" s="361"/>
      <c r="C976" s="361"/>
      <c r="D976" s="361"/>
      <c r="E976" s="361"/>
      <c r="F976" s="361"/>
      <c r="G976" s="361"/>
      <c r="H976" s="361"/>
      <c r="I976" s="118"/>
      <c r="J976" s="361"/>
      <c r="K976" s="108"/>
      <c r="L976" s="82"/>
      <c r="M976" s="362"/>
      <c r="N976" s="363"/>
    </row>
    <row r="977" spans="1:14">
      <c r="A977" s="361"/>
      <c r="B977" s="361"/>
      <c r="C977" s="361"/>
      <c r="D977" s="361"/>
      <c r="E977" s="361"/>
      <c r="F977" s="361"/>
      <c r="G977" s="361"/>
      <c r="H977" s="361"/>
      <c r="I977" s="118"/>
      <c r="J977" s="361"/>
      <c r="K977" s="108"/>
      <c r="L977" s="82"/>
      <c r="M977" s="362"/>
      <c r="N977" s="363"/>
    </row>
    <row r="978" spans="1:14">
      <c r="A978" s="361"/>
      <c r="B978" s="361"/>
      <c r="C978" s="361"/>
      <c r="D978" s="361"/>
      <c r="E978" s="361"/>
      <c r="F978" s="361"/>
      <c r="G978" s="361"/>
      <c r="H978" s="361"/>
      <c r="I978" s="118"/>
      <c r="J978" s="361"/>
      <c r="K978" s="108"/>
      <c r="L978" s="82"/>
      <c r="M978" s="362"/>
      <c r="N978" s="363"/>
    </row>
    <row r="979" spans="1:14">
      <c r="A979" s="361"/>
      <c r="B979" s="361"/>
      <c r="C979" s="361"/>
      <c r="D979" s="361"/>
      <c r="E979" s="361"/>
      <c r="F979" s="361"/>
      <c r="G979" s="361"/>
      <c r="H979" s="361"/>
      <c r="I979" s="118"/>
      <c r="J979" s="361"/>
      <c r="K979" s="108"/>
      <c r="L979" s="82"/>
      <c r="M979" s="362"/>
      <c r="N979" s="363"/>
    </row>
    <row r="980" spans="1:14">
      <c r="A980" s="361"/>
      <c r="B980" s="361"/>
      <c r="C980" s="361"/>
      <c r="D980" s="361"/>
      <c r="E980" s="361"/>
      <c r="F980" s="361"/>
      <c r="G980" s="361"/>
      <c r="H980" s="361"/>
      <c r="I980" s="118"/>
      <c r="J980" s="361"/>
      <c r="K980" s="108"/>
      <c r="L980" s="82"/>
      <c r="M980" s="362"/>
      <c r="N980" s="363"/>
    </row>
    <row r="981" spans="1:14">
      <c r="A981" s="361"/>
      <c r="B981" s="361"/>
      <c r="C981" s="361"/>
      <c r="D981" s="361"/>
      <c r="E981" s="361"/>
      <c r="F981" s="361"/>
      <c r="G981" s="361"/>
      <c r="H981" s="361"/>
      <c r="I981" s="118"/>
      <c r="J981" s="361"/>
      <c r="K981" s="108"/>
      <c r="L981" s="82"/>
      <c r="M981" s="362"/>
      <c r="N981" s="363"/>
    </row>
    <row r="982" spans="1:14">
      <c r="A982" s="361"/>
      <c r="B982" s="361"/>
      <c r="C982" s="361"/>
      <c r="D982" s="361"/>
      <c r="E982" s="361"/>
      <c r="F982" s="361"/>
      <c r="G982" s="361"/>
      <c r="H982" s="361"/>
      <c r="I982" s="118"/>
      <c r="J982" s="361"/>
      <c r="K982" s="108"/>
      <c r="L982" s="82"/>
      <c r="M982" s="362"/>
      <c r="N982" s="363"/>
    </row>
    <row r="983" spans="1:14">
      <c r="A983" s="361"/>
      <c r="B983" s="361"/>
      <c r="C983" s="361"/>
      <c r="D983" s="361"/>
      <c r="E983" s="361"/>
      <c r="F983" s="361"/>
      <c r="G983" s="361"/>
      <c r="H983" s="361"/>
      <c r="I983" s="118"/>
      <c r="J983" s="361"/>
      <c r="K983" s="108"/>
      <c r="L983" s="82"/>
      <c r="M983" s="362"/>
      <c r="N983" s="363"/>
    </row>
    <row r="984" spans="1:14">
      <c r="A984" s="361"/>
      <c r="B984" s="361"/>
      <c r="C984" s="361"/>
      <c r="D984" s="361"/>
      <c r="E984" s="361"/>
      <c r="F984" s="361"/>
      <c r="G984" s="361"/>
      <c r="H984" s="361"/>
      <c r="I984" s="118"/>
      <c r="J984" s="361"/>
      <c r="K984" s="108"/>
      <c r="L984" s="82"/>
      <c r="M984" s="362"/>
      <c r="N984" s="363"/>
    </row>
    <row r="985" spans="1:14">
      <c r="A985" s="361"/>
      <c r="B985" s="361"/>
      <c r="C985" s="361"/>
      <c r="D985" s="361"/>
      <c r="E985" s="361"/>
      <c r="F985" s="361"/>
      <c r="G985" s="361"/>
      <c r="H985" s="361"/>
      <c r="I985" s="118"/>
      <c r="J985" s="361"/>
      <c r="K985" s="108"/>
      <c r="L985" s="82"/>
      <c r="M985" s="362"/>
      <c r="N985" s="363"/>
    </row>
    <row r="986" spans="1:14">
      <c r="A986" s="361"/>
      <c r="B986" s="361"/>
      <c r="C986" s="361"/>
      <c r="D986" s="361"/>
      <c r="E986" s="361"/>
      <c r="F986" s="361"/>
      <c r="G986" s="361"/>
      <c r="H986" s="361"/>
      <c r="I986" s="118"/>
      <c r="J986" s="361"/>
      <c r="K986" s="108"/>
      <c r="L986" s="82"/>
      <c r="M986" s="362"/>
      <c r="N986" s="363"/>
    </row>
    <row r="987" spans="1:14">
      <c r="A987" s="361"/>
      <c r="B987" s="361"/>
      <c r="C987" s="361"/>
      <c r="D987" s="361"/>
      <c r="E987" s="361"/>
      <c r="F987" s="361"/>
      <c r="G987" s="361"/>
      <c r="H987" s="361"/>
      <c r="I987" s="118"/>
      <c r="J987" s="361"/>
      <c r="K987" s="108"/>
      <c r="L987" s="82"/>
      <c r="M987" s="362"/>
      <c r="N987" s="363"/>
    </row>
    <row r="988" spans="1:14">
      <c r="A988" s="361"/>
      <c r="B988" s="361"/>
      <c r="C988" s="361"/>
      <c r="D988" s="361"/>
      <c r="E988" s="361"/>
      <c r="F988" s="361"/>
      <c r="G988" s="361"/>
      <c r="H988" s="361"/>
      <c r="I988" s="118"/>
      <c r="J988" s="361"/>
      <c r="K988" s="108"/>
      <c r="L988" s="82"/>
      <c r="M988" s="362"/>
      <c r="N988" s="363"/>
    </row>
    <row r="989" spans="1:14">
      <c r="A989" s="361"/>
      <c r="B989" s="361"/>
      <c r="C989" s="361"/>
      <c r="D989" s="361"/>
      <c r="E989" s="361"/>
      <c r="F989" s="361"/>
      <c r="G989" s="361"/>
      <c r="H989" s="361"/>
      <c r="I989" s="118"/>
      <c r="J989" s="361"/>
      <c r="K989" s="108"/>
      <c r="L989" s="82"/>
      <c r="M989" s="362"/>
      <c r="N989" s="363"/>
    </row>
    <row r="990" spans="1:14">
      <c r="A990" s="361"/>
      <c r="B990" s="361"/>
      <c r="C990" s="361"/>
      <c r="D990" s="361"/>
      <c r="E990" s="361"/>
      <c r="F990" s="361"/>
      <c r="G990" s="361"/>
      <c r="H990" s="361"/>
      <c r="I990" s="118"/>
      <c r="J990" s="361"/>
      <c r="K990" s="108"/>
      <c r="L990" s="82"/>
      <c r="M990" s="362"/>
      <c r="N990" s="363"/>
    </row>
    <row r="991" spans="1:14">
      <c r="A991" s="361"/>
      <c r="B991" s="361"/>
      <c r="C991" s="361"/>
      <c r="D991" s="361"/>
      <c r="E991" s="361"/>
      <c r="F991" s="361"/>
      <c r="G991" s="361"/>
      <c r="H991" s="361"/>
      <c r="I991" s="118"/>
      <c r="J991" s="361"/>
      <c r="K991" s="108"/>
      <c r="L991" s="82"/>
      <c r="M991" s="362"/>
      <c r="N991" s="363"/>
    </row>
    <row r="992" spans="1:14">
      <c r="A992" s="361"/>
      <c r="B992" s="361"/>
      <c r="C992" s="361"/>
      <c r="D992" s="361"/>
      <c r="E992" s="361"/>
      <c r="F992" s="361"/>
      <c r="G992" s="361"/>
      <c r="H992" s="361"/>
      <c r="I992" s="118"/>
      <c r="J992" s="361"/>
      <c r="K992" s="108"/>
      <c r="L992" s="82"/>
      <c r="M992" s="362"/>
      <c r="N992" s="363"/>
    </row>
    <row r="993" spans="1:14">
      <c r="A993" s="361"/>
      <c r="B993" s="361"/>
      <c r="C993" s="361"/>
      <c r="D993" s="361"/>
      <c r="E993" s="361"/>
      <c r="F993" s="361"/>
      <c r="G993" s="361"/>
      <c r="H993" s="361"/>
      <c r="I993" s="118"/>
      <c r="J993" s="361"/>
      <c r="K993" s="108"/>
      <c r="L993" s="82"/>
      <c r="M993" s="362"/>
      <c r="N993" s="363"/>
    </row>
    <row r="994" spans="1:14">
      <c r="A994" s="361"/>
      <c r="B994" s="361"/>
      <c r="C994" s="361"/>
      <c r="D994" s="361"/>
      <c r="E994" s="361"/>
      <c r="F994" s="361"/>
      <c r="G994" s="361"/>
      <c r="H994" s="361"/>
      <c r="I994" s="118"/>
      <c r="J994" s="361"/>
      <c r="K994" s="108"/>
      <c r="L994" s="82"/>
      <c r="M994" s="362"/>
      <c r="N994" s="363"/>
    </row>
    <row r="995" spans="1:14">
      <c r="A995" s="361"/>
      <c r="B995" s="361"/>
      <c r="C995" s="361"/>
      <c r="D995" s="361"/>
      <c r="E995" s="361"/>
      <c r="F995" s="361"/>
      <c r="G995" s="361"/>
      <c r="H995" s="361"/>
      <c r="I995" s="118"/>
      <c r="J995" s="361"/>
      <c r="K995" s="108"/>
      <c r="L995" s="82"/>
      <c r="M995" s="362"/>
      <c r="N995" s="363"/>
    </row>
    <row r="996" spans="1:14">
      <c r="A996" s="361"/>
      <c r="B996" s="361"/>
      <c r="C996" s="361"/>
      <c r="D996" s="361"/>
      <c r="E996" s="361"/>
      <c r="F996" s="361"/>
      <c r="G996" s="361"/>
      <c r="H996" s="361"/>
      <c r="I996" s="118"/>
      <c r="J996" s="361"/>
      <c r="K996" s="108"/>
      <c r="L996" s="82"/>
      <c r="M996" s="362"/>
      <c r="N996" s="363"/>
    </row>
    <row r="997" spans="1:14">
      <c r="A997" s="361"/>
      <c r="B997" s="361"/>
      <c r="C997" s="361"/>
      <c r="D997" s="361"/>
      <c r="E997" s="361"/>
      <c r="F997" s="361"/>
      <c r="G997" s="361"/>
      <c r="H997" s="361"/>
      <c r="I997" s="118"/>
      <c r="J997" s="361"/>
      <c r="K997" s="108"/>
      <c r="L997" s="82"/>
      <c r="M997" s="362"/>
      <c r="N997" s="363"/>
    </row>
    <row r="998" spans="1:14">
      <c r="A998" s="361"/>
      <c r="B998" s="361"/>
      <c r="C998" s="361"/>
      <c r="D998" s="361"/>
      <c r="E998" s="361"/>
      <c r="F998" s="361"/>
      <c r="G998" s="361"/>
      <c r="H998" s="361"/>
      <c r="I998" s="118"/>
      <c r="J998" s="361"/>
      <c r="K998" s="108"/>
      <c r="L998" s="82"/>
      <c r="M998" s="362"/>
      <c r="N998" s="363"/>
    </row>
    <row r="999" spans="1:14">
      <c r="A999" s="361"/>
      <c r="B999" s="361"/>
      <c r="C999" s="361"/>
      <c r="D999" s="361"/>
      <c r="E999" s="361"/>
      <c r="F999" s="361"/>
      <c r="G999" s="361"/>
      <c r="H999" s="361"/>
      <c r="I999" s="118"/>
      <c r="J999" s="361"/>
      <c r="K999" s="108"/>
      <c r="L999" s="82"/>
      <c r="M999" s="362"/>
      <c r="N999" s="363"/>
    </row>
    <row r="1000" spans="1:14">
      <c r="A1000" s="361"/>
      <c r="B1000" s="361"/>
      <c r="C1000" s="361"/>
      <c r="D1000" s="361"/>
      <c r="E1000" s="361"/>
      <c r="F1000" s="361"/>
      <c r="G1000" s="361"/>
      <c r="H1000" s="361"/>
      <c r="I1000" s="118"/>
      <c r="J1000" s="361"/>
      <c r="K1000" s="108"/>
      <c r="L1000" s="82"/>
      <c r="M1000" s="362"/>
      <c r="N1000" s="363"/>
    </row>
    <row r="1001" spans="1:14">
      <c r="A1001" s="361"/>
      <c r="B1001" s="361"/>
      <c r="C1001" s="361"/>
      <c r="D1001" s="361"/>
      <c r="E1001" s="361"/>
      <c r="F1001" s="361"/>
      <c r="G1001" s="361"/>
      <c r="H1001" s="361"/>
      <c r="I1001" s="118"/>
      <c r="J1001" s="361"/>
      <c r="K1001" s="108"/>
      <c r="L1001" s="82"/>
      <c r="M1001" s="362"/>
      <c r="N1001" s="363"/>
    </row>
    <row r="1002" spans="1:14">
      <c r="A1002" s="361"/>
      <c r="B1002" s="361"/>
      <c r="C1002" s="361"/>
      <c r="D1002" s="361"/>
      <c r="E1002" s="361"/>
      <c r="F1002" s="361"/>
      <c r="G1002" s="361"/>
      <c r="H1002" s="361"/>
      <c r="I1002" s="118"/>
      <c r="J1002" s="361"/>
      <c r="K1002" s="108"/>
      <c r="L1002" s="82"/>
      <c r="M1002" s="362"/>
      <c r="N1002" s="363"/>
    </row>
    <row r="1003" spans="1:14">
      <c r="A1003" s="361"/>
      <c r="B1003" s="361"/>
      <c r="C1003" s="361"/>
      <c r="D1003" s="361"/>
      <c r="E1003" s="361"/>
      <c r="F1003" s="361"/>
      <c r="G1003" s="361"/>
      <c r="H1003" s="361"/>
      <c r="I1003" s="118"/>
      <c r="J1003" s="361"/>
      <c r="K1003" s="108"/>
      <c r="L1003" s="82"/>
      <c r="M1003" s="362"/>
      <c r="N1003" s="363"/>
    </row>
    <row r="1004" spans="1:14">
      <c r="A1004" s="361"/>
      <c r="B1004" s="361"/>
      <c r="C1004" s="361"/>
      <c r="D1004" s="361"/>
      <c r="E1004" s="361"/>
      <c r="F1004" s="361"/>
      <c r="G1004" s="361"/>
      <c r="H1004" s="361"/>
      <c r="I1004" s="118"/>
      <c r="J1004" s="361"/>
      <c r="K1004" s="108"/>
      <c r="L1004" s="82"/>
      <c r="M1004" s="362"/>
      <c r="N1004" s="363"/>
    </row>
    <row r="1005" spans="1:14">
      <c r="A1005" s="361"/>
      <c r="B1005" s="361"/>
      <c r="C1005" s="361"/>
      <c r="D1005" s="361"/>
      <c r="E1005" s="361"/>
      <c r="F1005" s="361"/>
      <c r="G1005" s="361"/>
      <c r="H1005" s="361"/>
      <c r="I1005" s="118"/>
      <c r="J1005" s="361"/>
      <c r="K1005" s="108"/>
      <c r="L1005" s="82"/>
      <c r="M1005" s="362"/>
      <c r="N1005" s="363"/>
    </row>
    <row r="1006" spans="1:14">
      <c r="A1006" s="361"/>
      <c r="B1006" s="361"/>
      <c r="C1006" s="361"/>
      <c r="D1006" s="361"/>
      <c r="E1006" s="361"/>
      <c r="F1006" s="361"/>
      <c r="G1006" s="361"/>
      <c r="H1006" s="361"/>
      <c r="I1006" s="118"/>
      <c r="J1006" s="361"/>
      <c r="K1006" s="108"/>
      <c r="L1006" s="82"/>
      <c r="M1006" s="362"/>
      <c r="N1006" s="363"/>
    </row>
    <row r="1007" spans="1:14">
      <c r="A1007" s="361"/>
      <c r="B1007" s="361"/>
      <c r="C1007" s="361"/>
      <c r="D1007" s="361"/>
      <c r="E1007" s="361"/>
      <c r="F1007" s="361"/>
      <c r="G1007" s="361"/>
      <c r="H1007" s="361"/>
      <c r="I1007" s="118"/>
      <c r="J1007" s="361"/>
      <c r="K1007" s="108"/>
      <c r="L1007" s="82"/>
      <c r="M1007" s="362"/>
      <c r="N1007" s="363"/>
    </row>
    <row r="1008" spans="1:14">
      <c r="A1008" s="361"/>
      <c r="B1008" s="361"/>
      <c r="C1008" s="361"/>
      <c r="D1008" s="361"/>
      <c r="E1008" s="361"/>
      <c r="F1008" s="361"/>
      <c r="G1008" s="361"/>
      <c r="H1008" s="361"/>
      <c r="I1008" s="118"/>
      <c r="J1008" s="361"/>
      <c r="K1008" s="108"/>
      <c r="L1008" s="82"/>
      <c r="M1008" s="362"/>
      <c r="N1008" s="363"/>
    </row>
    <row r="1009" spans="1:14">
      <c r="A1009" s="361"/>
      <c r="B1009" s="361"/>
      <c r="C1009" s="361"/>
      <c r="D1009" s="361"/>
      <c r="E1009" s="361"/>
      <c r="F1009" s="361"/>
      <c r="G1009" s="361"/>
      <c r="H1009" s="361"/>
      <c r="I1009" s="118"/>
      <c r="J1009" s="361"/>
      <c r="K1009" s="108"/>
      <c r="L1009" s="82"/>
      <c r="M1009" s="362"/>
      <c r="N1009" s="363"/>
    </row>
    <row r="1010" spans="1:14">
      <c r="A1010" s="361"/>
      <c r="B1010" s="361"/>
      <c r="C1010" s="361"/>
      <c r="D1010" s="361"/>
      <c r="E1010" s="361"/>
      <c r="F1010" s="361"/>
      <c r="G1010" s="361"/>
      <c r="H1010" s="361"/>
      <c r="I1010" s="118"/>
      <c r="J1010" s="361"/>
      <c r="K1010" s="108"/>
      <c r="L1010" s="82"/>
      <c r="M1010" s="362"/>
      <c r="N1010" s="363"/>
    </row>
    <row r="1011" spans="1:14">
      <c r="A1011" s="361"/>
      <c r="B1011" s="361"/>
      <c r="C1011" s="361"/>
      <c r="D1011" s="361"/>
      <c r="E1011" s="361"/>
      <c r="F1011" s="361"/>
      <c r="G1011" s="361"/>
      <c r="H1011" s="361"/>
      <c r="I1011" s="118"/>
      <c r="J1011" s="361"/>
      <c r="K1011" s="108"/>
      <c r="L1011" s="82"/>
      <c r="M1011" s="362"/>
      <c r="N1011" s="363"/>
    </row>
    <row r="1012" spans="1:14">
      <c r="A1012" s="361"/>
      <c r="B1012" s="361"/>
      <c r="C1012" s="361"/>
      <c r="D1012" s="361"/>
      <c r="E1012" s="361"/>
      <c r="F1012" s="361"/>
      <c r="G1012" s="361"/>
      <c r="H1012" s="361"/>
      <c r="I1012" s="118"/>
      <c r="J1012" s="361"/>
      <c r="K1012" s="108"/>
      <c r="L1012" s="82"/>
      <c r="M1012" s="362"/>
      <c r="N1012" s="363"/>
    </row>
    <row r="1013" spans="1:14">
      <c r="A1013" s="361"/>
      <c r="B1013" s="361"/>
      <c r="C1013" s="361"/>
      <c r="D1013" s="361"/>
      <c r="E1013" s="361"/>
      <c r="F1013" s="361"/>
      <c r="G1013" s="361"/>
      <c r="H1013" s="361"/>
      <c r="I1013" s="118"/>
      <c r="J1013" s="361"/>
      <c r="K1013" s="108"/>
      <c r="L1013" s="82"/>
      <c r="M1013" s="362"/>
      <c r="N1013" s="363"/>
    </row>
    <row r="1014" spans="1:14">
      <c r="A1014" s="361"/>
      <c r="B1014" s="361"/>
      <c r="C1014" s="361"/>
      <c r="D1014" s="361"/>
      <c r="E1014" s="361"/>
      <c r="F1014" s="361"/>
      <c r="G1014" s="361"/>
      <c r="H1014" s="361"/>
      <c r="I1014" s="118"/>
      <c r="J1014" s="361"/>
      <c r="K1014" s="108"/>
      <c r="L1014" s="82"/>
      <c r="M1014" s="362"/>
      <c r="N1014" s="363"/>
    </row>
    <row r="1015" spans="1:14">
      <c r="A1015" s="361"/>
      <c r="B1015" s="361"/>
      <c r="C1015" s="361"/>
      <c r="D1015" s="361"/>
      <c r="E1015" s="361"/>
      <c r="F1015" s="361"/>
      <c r="G1015" s="361"/>
      <c r="H1015" s="361"/>
      <c r="I1015" s="118"/>
      <c r="J1015" s="361"/>
      <c r="K1015" s="108"/>
      <c r="L1015" s="82"/>
      <c r="M1015" s="362"/>
      <c r="N1015" s="363"/>
    </row>
    <row r="1016" spans="1:14">
      <c r="A1016" s="361"/>
      <c r="B1016" s="361"/>
      <c r="C1016" s="361"/>
      <c r="D1016" s="361"/>
      <c r="E1016" s="361"/>
      <c r="F1016" s="361"/>
      <c r="G1016" s="361"/>
      <c r="H1016" s="361"/>
      <c r="I1016" s="118"/>
      <c r="J1016" s="361"/>
      <c r="K1016" s="108"/>
      <c r="L1016" s="82"/>
      <c r="M1016" s="362"/>
      <c r="N1016" s="363"/>
    </row>
    <row r="1017" spans="1:14">
      <c r="A1017" s="361"/>
      <c r="B1017" s="361"/>
      <c r="C1017" s="361"/>
      <c r="D1017" s="361"/>
      <c r="E1017" s="361"/>
      <c r="F1017" s="361"/>
      <c r="G1017" s="361"/>
      <c r="H1017" s="361"/>
      <c r="I1017" s="118"/>
      <c r="J1017" s="361"/>
      <c r="K1017" s="108"/>
      <c r="L1017" s="82"/>
      <c r="M1017" s="362"/>
      <c r="N1017" s="363"/>
    </row>
    <row r="1018" spans="1:14">
      <c r="A1018" s="361"/>
      <c r="B1018" s="361"/>
      <c r="C1018" s="361"/>
      <c r="D1018" s="361"/>
      <c r="E1018" s="361"/>
      <c r="F1018" s="361"/>
      <c r="G1018" s="361"/>
      <c r="H1018" s="361"/>
      <c r="I1018" s="118"/>
      <c r="J1018" s="361"/>
      <c r="K1018" s="108"/>
      <c r="L1018" s="82"/>
      <c r="M1018" s="362"/>
      <c r="N1018" s="363"/>
    </row>
    <row r="1019" spans="1:14">
      <c r="A1019" s="361"/>
      <c r="B1019" s="361"/>
      <c r="C1019" s="361"/>
      <c r="D1019" s="361"/>
      <c r="E1019" s="361"/>
      <c r="F1019" s="361"/>
      <c r="G1019" s="361"/>
      <c r="H1019" s="361"/>
      <c r="I1019" s="118"/>
      <c r="J1019" s="361"/>
      <c r="K1019" s="108"/>
      <c r="L1019" s="82"/>
      <c r="M1019" s="362"/>
      <c r="N1019" s="363"/>
    </row>
    <row r="1020" spans="1:14">
      <c r="A1020" s="361"/>
      <c r="B1020" s="361"/>
      <c r="C1020" s="361"/>
      <c r="D1020" s="361"/>
      <c r="E1020" s="361"/>
      <c r="F1020" s="361"/>
      <c r="G1020" s="361"/>
      <c r="H1020" s="361"/>
      <c r="I1020" s="118"/>
      <c r="J1020" s="361"/>
      <c r="K1020" s="108"/>
      <c r="L1020" s="82"/>
      <c r="M1020" s="362"/>
      <c r="N1020" s="363"/>
    </row>
    <row r="1021" spans="1:14">
      <c r="A1021" s="361"/>
      <c r="B1021" s="361"/>
      <c r="C1021" s="361"/>
      <c r="D1021" s="361"/>
      <c r="E1021" s="361"/>
      <c r="F1021" s="361"/>
      <c r="G1021" s="361"/>
      <c r="H1021" s="361"/>
      <c r="I1021" s="118"/>
      <c r="J1021" s="361"/>
      <c r="K1021" s="108"/>
      <c r="L1021" s="82"/>
      <c r="M1021" s="362"/>
      <c r="N1021" s="363"/>
    </row>
    <row r="1022" spans="1:14">
      <c r="A1022" s="361"/>
      <c r="B1022" s="361"/>
      <c r="C1022" s="361"/>
      <c r="D1022" s="361"/>
      <c r="E1022" s="361"/>
      <c r="F1022" s="361"/>
      <c r="G1022" s="361"/>
      <c r="H1022" s="361"/>
      <c r="I1022" s="118"/>
      <c r="J1022" s="361"/>
      <c r="K1022" s="108"/>
      <c r="L1022" s="82"/>
      <c r="M1022" s="362"/>
      <c r="N1022" s="363"/>
    </row>
    <row r="1023" spans="1:14">
      <c r="A1023" s="361"/>
      <c r="B1023" s="361"/>
      <c r="C1023" s="361"/>
      <c r="D1023" s="361"/>
      <c r="E1023" s="361"/>
      <c r="F1023" s="361"/>
      <c r="G1023" s="361"/>
      <c r="H1023" s="361"/>
      <c r="I1023" s="118"/>
      <c r="J1023" s="361"/>
      <c r="K1023" s="108"/>
      <c r="L1023" s="82"/>
      <c r="M1023" s="362"/>
      <c r="N1023" s="363"/>
    </row>
    <row r="1024" spans="1:14">
      <c r="A1024" s="361"/>
      <c r="B1024" s="361"/>
      <c r="C1024" s="361"/>
      <c r="D1024" s="361"/>
      <c r="E1024" s="361"/>
      <c r="F1024" s="361"/>
      <c r="G1024" s="361"/>
      <c r="H1024" s="361"/>
      <c r="I1024" s="118"/>
      <c r="J1024" s="361"/>
      <c r="K1024" s="108"/>
      <c r="L1024" s="82"/>
      <c r="M1024" s="362"/>
      <c r="N1024" s="363"/>
    </row>
    <row r="1025" spans="1:14">
      <c r="A1025" s="361"/>
      <c r="B1025" s="361"/>
      <c r="C1025" s="361"/>
      <c r="D1025" s="361"/>
      <c r="E1025" s="361"/>
      <c r="F1025" s="361"/>
      <c r="G1025" s="361"/>
      <c r="H1025" s="361"/>
      <c r="I1025" s="118"/>
      <c r="J1025" s="361"/>
      <c r="K1025" s="108"/>
      <c r="L1025" s="82"/>
      <c r="M1025" s="362"/>
      <c r="N1025" s="363"/>
    </row>
    <row r="1026" spans="1:14">
      <c r="A1026" s="361"/>
      <c r="B1026" s="361"/>
      <c r="C1026" s="361"/>
      <c r="D1026" s="361"/>
      <c r="E1026" s="361"/>
      <c r="F1026" s="361"/>
      <c r="G1026" s="361"/>
      <c r="H1026" s="361"/>
      <c r="I1026" s="118"/>
      <c r="J1026" s="361"/>
      <c r="K1026" s="108"/>
      <c r="L1026" s="82"/>
      <c r="M1026" s="362"/>
      <c r="N1026" s="363"/>
    </row>
    <row r="1027" spans="1:14">
      <c r="A1027" s="361"/>
      <c r="B1027" s="361"/>
      <c r="C1027" s="361"/>
      <c r="D1027" s="361"/>
      <c r="E1027" s="361"/>
      <c r="F1027" s="361"/>
      <c r="G1027" s="361"/>
      <c r="H1027" s="361"/>
      <c r="I1027" s="118"/>
      <c r="J1027" s="361"/>
      <c r="K1027" s="108"/>
      <c r="L1027" s="82"/>
      <c r="M1027" s="362"/>
      <c r="N1027" s="363"/>
    </row>
    <row r="1028" spans="1:14">
      <c r="A1028" s="361"/>
      <c r="B1028" s="361"/>
      <c r="C1028" s="361"/>
      <c r="D1028" s="361"/>
      <c r="E1028" s="361"/>
      <c r="F1028" s="361"/>
      <c r="G1028" s="361"/>
      <c r="H1028" s="361"/>
      <c r="I1028" s="118"/>
      <c r="J1028" s="361"/>
      <c r="K1028" s="108"/>
      <c r="L1028" s="82"/>
      <c r="M1028" s="362"/>
      <c r="N1028" s="363"/>
    </row>
    <row r="1029" spans="1:14">
      <c r="A1029" s="361"/>
      <c r="B1029" s="361"/>
      <c r="C1029" s="361"/>
      <c r="D1029" s="361"/>
      <c r="E1029" s="361"/>
      <c r="F1029" s="361"/>
      <c r="G1029" s="361"/>
      <c r="H1029" s="361"/>
      <c r="I1029" s="118"/>
      <c r="J1029" s="361"/>
      <c r="K1029" s="108"/>
      <c r="L1029" s="82"/>
      <c r="M1029" s="362"/>
      <c r="N1029" s="363"/>
    </row>
    <row r="1030" spans="1:14">
      <c r="A1030" s="361"/>
      <c r="B1030" s="361"/>
      <c r="C1030" s="361"/>
      <c r="D1030" s="361"/>
      <c r="E1030" s="361"/>
      <c r="F1030" s="361"/>
      <c r="G1030" s="361"/>
      <c r="H1030" s="361"/>
      <c r="I1030" s="118"/>
      <c r="J1030" s="361"/>
      <c r="K1030" s="108"/>
      <c r="L1030" s="82"/>
      <c r="M1030" s="362"/>
      <c r="N1030" s="363"/>
    </row>
    <row r="1031" spans="1:14">
      <c r="A1031" s="361"/>
      <c r="B1031" s="361"/>
      <c r="C1031" s="361"/>
      <c r="D1031" s="361"/>
      <c r="E1031" s="361"/>
      <c r="F1031" s="361"/>
      <c r="G1031" s="361"/>
      <c r="H1031" s="361"/>
      <c r="I1031" s="118"/>
      <c r="J1031" s="361"/>
      <c r="K1031" s="108"/>
      <c r="L1031" s="82"/>
      <c r="M1031" s="362"/>
      <c r="N1031" s="363"/>
    </row>
    <row r="1032" spans="1:14">
      <c r="A1032" s="361"/>
      <c r="B1032" s="361"/>
      <c r="C1032" s="361"/>
      <c r="D1032" s="361"/>
      <c r="E1032" s="361"/>
      <c r="F1032" s="361"/>
      <c r="G1032" s="361"/>
      <c r="H1032" s="361"/>
      <c r="I1032" s="118"/>
      <c r="J1032" s="361"/>
      <c r="K1032" s="108"/>
      <c r="L1032" s="82"/>
      <c r="M1032" s="362"/>
      <c r="N1032" s="363"/>
    </row>
    <row r="1033" spans="1:14">
      <c r="A1033" s="361"/>
      <c r="B1033" s="361"/>
      <c r="C1033" s="361"/>
      <c r="D1033" s="361"/>
      <c r="E1033" s="361"/>
      <c r="F1033" s="361"/>
      <c r="G1033" s="361"/>
      <c r="H1033" s="361"/>
      <c r="I1033" s="118"/>
      <c r="J1033" s="361"/>
      <c r="K1033" s="108"/>
      <c r="L1033" s="82"/>
      <c r="M1033" s="362"/>
      <c r="N1033" s="363"/>
    </row>
    <row r="1034" spans="1:14">
      <c r="A1034" s="361"/>
      <c r="B1034" s="361"/>
      <c r="C1034" s="361"/>
      <c r="D1034" s="361"/>
      <c r="E1034" s="361"/>
      <c r="F1034" s="361"/>
      <c r="G1034" s="361"/>
      <c r="H1034" s="361"/>
      <c r="I1034" s="118"/>
      <c r="J1034" s="361"/>
      <c r="K1034" s="108"/>
      <c r="L1034" s="82"/>
      <c r="M1034" s="362"/>
      <c r="N1034" s="363"/>
    </row>
    <row r="1035" spans="1:14">
      <c r="A1035" s="361"/>
      <c r="B1035" s="361"/>
      <c r="C1035" s="361"/>
      <c r="D1035" s="361"/>
      <c r="E1035" s="361"/>
      <c r="F1035" s="361"/>
      <c r="G1035" s="361"/>
      <c r="H1035" s="361"/>
      <c r="I1035" s="118"/>
      <c r="J1035" s="361"/>
      <c r="K1035" s="108"/>
      <c r="L1035" s="82"/>
      <c r="M1035" s="362"/>
      <c r="N1035" s="363"/>
    </row>
    <row r="1036" spans="1:14">
      <c r="A1036" s="361"/>
      <c r="B1036" s="361"/>
      <c r="C1036" s="361"/>
      <c r="D1036" s="361"/>
      <c r="E1036" s="361"/>
      <c r="F1036" s="361"/>
      <c r="G1036" s="361"/>
      <c r="H1036" s="361"/>
      <c r="I1036" s="118"/>
      <c r="J1036" s="361"/>
      <c r="K1036" s="108"/>
      <c r="L1036" s="82"/>
      <c r="M1036" s="362"/>
      <c r="N1036" s="363"/>
    </row>
    <row r="1037" spans="1:14">
      <c r="A1037" s="361"/>
      <c r="B1037" s="361"/>
      <c r="C1037" s="361"/>
      <c r="D1037" s="361"/>
      <c r="E1037" s="361"/>
      <c r="F1037" s="361"/>
      <c r="G1037" s="361"/>
      <c r="H1037" s="361"/>
      <c r="I1037" s="118"/>
      <c r="J1037" s="361"/>
      <c r="K1037" s="108"/>
      <c r="L1037" s="82"/>
      <c r="M1037" s="362"/>
      <c r="N1037" s="363"/>
    </row>
    <row r="1038" spans="1:14">
      <c r="A1038" s="361"/>
      <c r="B1038" s="361"/>
      <c r="C1038" s="361"/>
      <c r="D1038" s="361"/>
      <c r="E1038" s="361"/>
      <c r="F1038" s="361"/>
      <c r="G1038" s="361"/>
      <c r="H1038" s="361"/>
      <c r="I1038" s="118"/>
      <c r="J1038" s="361"/>
      <c r="K1038" s="108"/>
      <c r="L1038" s="82"/>
      <c r="M1038" s="362"/>
      <c r="N1038" s="363"/>
    </row>
    <row r="1039" spans="1:14">
      <c r="A1039" s="361"/>
      <c r="B1039" s="361"/>
      <c r="C1039" s="361"/>
      <c r="D1039" s="361"/>
      <c r="E1039" s="361"/>
      <c r="F1039" s="361"/>
      <c r="G1039" s="361"/>
      <c r="H1039" s="361"/>
      <c r="I1039" s="118"/>
      <c r="J1039" s="361"/>
      <c r="K1039" s="108"/>
      <c r="L1039" s="82"/>
      <c r="M1039" s="362"/>
      <c r="N1039" s="363"/>
    </row>
    <row r="1040" spans="1:14">
      <c r="A1040" s="361"/>
      <c r="B1040" s="361"/>
      <c r="C1040" s="361"/>
      <c r="D1040" s="361"/>
      <c r="E1040" s="361"/>
      <c r="F1040" s="361"/>
      <c r="G1040" s="361"/>
      <c r="H1040" s="361"/>
      <c r="I1040" s="118"/>
      <c r="J1040" s="361"/>
      <c r="K1040" s="108"/>
      <c r="L1040" s="82"/>
      <c r="M1040" s="362"/>
      <c r="N1040" s="363"/>
    </row>
    <row r="1041" spans="1:14">
      <c r="A1041" s="361"/>
      <c r="B1041" s="361"/>
      <c r="C1041" s="361"/>
      <c r="D1041" s="361"/>
      <c r="E1041" s="361"/>
      <c r="F1041" s="361"/>
      <c r="G1041" s="361"/>
      <c r="H1041" s="361"/>
      <c r="I1041" s="118"/>
      <c r="J1041" s="361"/>
      <c r="K1041" s="108"/>
      <c r="L1041" s="82"/>
      <c r="M1041" s="362"/>
      <c r="N1041" s="363"/>
    </row>
    <row r="1042" spans="1:14">
      <c r="A1042" s="361"/>
      <c r="B1042" s="361"/>
      <c r="C1042" s="361"/>
      <c r="D1042" s="361"/>
      <c r="E1042" s="361"/>
      <c r="F1042" s="361"/>
      <c r="G1042" s="361"/>
      <c r="H1042" s="361"/>
      <c r="I1042" s="118"/>
      <c r="J1042" s="361"/>
      <c r="K1042" s="108"/>
      <c r="L1042" s="82"/>
      <c r="M1042" s="362"/>
      <c r="N1042" s="363"/>
    </row>
    <row r="1043" spans="1:14">
      <c r="A1043" s="361"/>
      <c r="B1043" s="361"/>
      <c r="C1043" s="361"/>
      <c r="D1043" s="361"/>
      <c r="E1043" s="361"/>
      <c r="F1043" s="361"/>
      <c r="G1043" s="361"/>
      <c r="H1043" s="361"/>
      <c r="I1043" s="118"/>
      <c r="J1043" s="361"/>
      <c r="K1043" s="108"/>
      <c r="L1043" s="82"/>
      <c r="M1043" s="362"/>
      <c r="N1043" s="363"/>
    </row>
    <row r="1044" spans="1:14">
      <c r="A1044" s="361"/>
      <c r="B1044" s="361"/>
      <c r="C1044" s="361"/>
      <c r="D1044" s="361"/>
      <c r="E1044" s="361"/>
      <c r="F1044" s="361"/>
      <c r="G1044" s="361"/>
      <c r="H1044" s="361"/>
      <c r="I1044" s="118"/>
      <c r="J1044" s="361"/>
      <c r="K1044" s="108"/>
      <c r="L1044" s="82"/>
      <c r="M1044" s="362"/>
      <c r="N1044" s="363"/>
    </row>
    <row r="1045" spans="1:14">
      <c r="A1045" s="361"/>
      <c r="B1045" s="361"/>
      <c r="C1045" s="361"/>
      <c r="D1045" s="361"/>
      <c r="E1045" s="361"/>
      <c r="F1045" s="361"/>
      <c r="G1045" s="361"/>
      <c r="H1045" s="361"/>
      <c r="I1045" s="118"/>
      <c r="J1045" s="361"/>
      <c r="K1045" s="108"/>
      <c r="L1045" s="82"/>
      <c r="M1045" s="362"/>
      <c r="N1045" s="363"/>
    </row>
    <row r="1046" spans="1:14">
      <c r="A1046" s="361"/>
      <c r="B1046" s="361"/>
      <c r="C1046" s="361"/>
      <c r="D1046" s="361"/>
      <c r="E1046" s="361"/>
      <c r="F1046" s="361"/>
      <c r="G1046" s="361"/>
      <c r="H1046" s="361"/>
      <c r="I1046" s="118"/>
      <c r="J1046" s="361"/>
      <c r="K1046" s="108"/>
      <c r="L1046" s="82"/>
      <c r="M1046" s="362"/>
      <c r="N1046" s="363"/>
    </row>
    <row r="1047" spans="1:14">
      <c r="A1047" s="361"/>
      <c r="B1047" s="361"/>
      <c r="C1047" s="361"/>
      <c r="D1047" s="361"/>
      <c r="E1047" s="361"/>
      <c r="F1047" s="361"/>
      <c r="G1047" s="361"/>
      <c r="H1047" s="361"/>
      <c r="I1047" s="118"/>
      <c r="J1047" s="361"/>
      <c r="K1047" s="108"/>
      <c r="L1047" s="82"/>
      <c r="M1047" s="362"/>
      <c r="N1047" s="363"/>
    </row>
    <row r="1048" spans="1:14">
      <c r="A1048" s="361"/>
      <c r="B1048" s="361"/>
      <c r="C1048" s="361"/>
      <c r="D1048" s="361"/>
      <c r="E1048" s="361"/>
      <c r="F1048" s="361"/>
      <c r="G1048" s="361"/>
      <c r="H1048" s="361"/>
      <c r="I1048" s="118"/>
      <c r="J1048" s="361"/>
      <c r="K1048" s="108"/>
      <c r="L1048" s="82"/>
      <c r="M1048" s="362"/>
      <c r="N1048" s="363"/>
    </row>
    <row r="1049" spans="1:14">
      <c r="A1049" s="361"/>
      <c r="B1049" s="361"/>
      <c r="C1049" s="361"/>
      <c r="D1049" s="361"/>
      <c r="E1049" s="361"/>
      <c r="F1049" s="361"/>
      <c r="G1049" s="361"/>
      <c r="H1049" s="361"/>
      <c r="I1049" s="118"/>
      <c r="J1049" s="361"/>
      <c r="K1049" s="108"/>
      <c r="L1049" s="82"/>
      <c r="M1049" s="362"/>
      <c r="N1049" s="363"/>
    </row>
    <row r="1050" spans="1:14">
      <c r="A1050" s="361"/>
      <c r="B1050" s="361"/>
      <c r="C1050" s="361"/>
      <c r="D1050" s="361"/>
      <c r="E1050" s="361"/>
      <c r="F1050" s="361"/>
      <c r="G1050" s="361"/>
      <c r="H1050" s="361"/>
      <c r="I1050" s="118"/>
      <c r="J1050" s="361"/>
      <c r="K1050" s="108"/>
      <c r="L1050" s="82"/>
      <c r="M1050" s="362"/>
      <c r="N1050" s="363"/>
    </row>
    <row r="1051" spans="1:14">
      <c r="A1051" s="361"/>
      <c r="B1051" s="361"/>
      <c r="C1051" s="361"/>
      <c r="D1051" s="361"/>
      <c r="E1051" s="361"/>
      <c r="F1051" s="361"/>
      <c r="G1051" s="361"/>
      <c r="H1051" s="361"/>
      <c r="I1051" s="118"/>
      <c r="J1051" s="361"/>
      <c r="K1051" s="108"/>
      <c r="L1051" s="82"/>
      <c r="M1051" s="362"/>
      <c r="N1051" s="363"/>
    </row>
    <row r="1052" spans="1:14">
      <c r="A1052" s="361"/>
      <c r="B1052" s="361"/>
      <c r="C1052" s="361"/>
      <c r="D1052" s="361"/>
      <c r="E1052" s="361"/>
      <c r="F1052" s="361"/>
      <c r="G1052" s="361"/>
      <c r="H1052" s="361"/>
      <c r="I1052" s="118"/>
      <c r="J1052" s="361"/>
      <c r="K1052" s="108"/>
      <c r="L1052" s="82"/>
      <c r="M1052" s="362"/>
      <c r="N1052" s="363"/>
    </row>
    <row r="1053" spans="1:14">
      <c r="A1053" s="361"/>
      <c r="B1053" s="361"/>
      <c r="C1053" s="361"/>
      <c r="D1053" s="361"/>
      <c r="E1053" s="361"/>
      <c r="F1053" s="361"/>
      <c r="G1053" s="361"/>
      <c r="H1053" s="361"/>
      <c r="I1053" s="118"/>
      <c r="J1053" s="361"/>
      <c r="K1053" s="108"/>
      <c r="L1053" s="82"/>
      <c r="M1053" s="362"/>
      <c r="N1053" s="363"/>
    </row>
    <row r="1054" spans="1:14">
      <c r="A1054" s="361"/>
      <c r="B1054" s="361"/>
      <c r="C1054" s="361"/>
      <c r="D1054" s="361"/>
      <c r="E1054" s="361"/>
      <c r="F1054" s="361"/>
      <c r="G1054" s="361"/>
      <c r="H1054" s="361"/>
      <c r="I1054" s="118"/>
      <c r="J1054" s="361"/>
      <c r="K1054" s="108"/>
      <c r="L1054" s="82"/>
      <c r="M1054" s="362"/>
      <c r="N1054" s="363"/>
    </row>
    <row r="1055" spans="1:14">
      <c r="A1055" s="361"/>
      <c r="B1055" s="361"/>
      <c r="C1055" s="361"/>
      <c r="D1055" s="361"/>
      <c r="E1055" s="361"/>
      <c r="F1055" s="361"/>
      <c r="G1055" s="361"/>
      <c r="H1055" s="361"/>
      <c r="I1055" s="118"/>
      <c r="J1055" s="361"/>
      <c r="K1055" s="108"/>
      <c r="L1055" s="82"/>
      <c r="M1055" s="362"/>
      <c r="N1055" s="363"/>
    </row>
    <row r="1056" spans="1:14">
      <c r="A1056" s="361"/>
      <c r="B1056" s="361"/>
      <c r="C1056" s="361"/>
      <c r="D1056" s="361"/>
      <c r="E1056" s="361"/>
      <c r="F1056" s="361"/>
      <c r="G1056" s="361"/>
      <c r="H1056" s="361"/>
      <c r="I1056" s="118"/>
      <c r="J1056" s="361"/>
      <c r="K1056" s="108"/>
      <c r="L1056" s="82"/>
      <c r="M1056" s="362"/>
      <c r="N1056" s="363"/>
    </row>
    <row r="1057" spans="1:14">
      <c r="A1057" s="361"/>
      <c r="B1057" s="361"/>
      <c r="C1057" s="361"/>
      <c r="D1057" s="361"/>
      <c r="E1057" s="361"/>
      <c r="F1057" s="361"/>
      <c r="G1057" s="361"/>
      <c r="H1057" s="361"/>
      <c r="I1057" s="118"/>
      <c r="J1057" s="361"/>
      <c r="K1057" s="108"/>
      <c r="L1057" s="82"/>
      <c r="M1057" s="362"/>
      <c r="N1057" s="363"/>
    </row>
    <row r="1058" spans="1:14">
      <c r="A1058" s="361"/>
      <c r="B1058" s="361"/>
      <c r="C1058" s="361"/>
      <c r="D1058" s="361"/>
      <c r="E1058" s="361"/>
      <c r="F1058" s="361"/>
      <c r="G1058" s="361"/>
      <c r="H1058" s="361"/>
      <c r="I1058" s="118"/>
      <c r="J1058" s="361"/>
      <c r="K1058" s="108"/>
      <c r="L1058" s="82"/>
      <c r="M1058" s="362"/>
      <c r="N1058" s="363"/>
    </row>
    <row r="1059" spans="1:14">
      <c r="A1059" s="361"/>
      <c r="B1059" s="361"/>
      <c r="C1059" s="361"/>
      <c r="D1059" s="361"/>
      <c r="E1059" s="361"/>
      <c r="F1059" s="361"/>
      <c r="G1059" s="361"/>
      <c r="H1059" s="361"/>
      <c r="I1059" s="118"/>
      <c r="J1059" s="361"/>
      <c r="K1059" s="108"/>
      <c r="L1059" s="82"/>
      <c r="M1059" s="362"/>
      <c r="N1059" s="363"/>
    </row>
    <row r="1060" spans="1:14">
      <c r="A1060" s="361"/>
      <c r="B1060" s="361"/>
      <c r="C1060" s="361"/>
      <c r="D1060" s="361"/>
      <c r="E1060" s="361"/>
      <c r="F1060" s="361"/>
      <c r="G1060" s="361"/>
      <c r="H1060" s="361"/>
      <c r="I1060" s="118"/>
      <c r="J1060" s="361"/>
      <c r="K1060" s="108"/>
      <c r="L1060" s="82"/>
      <c r="M1060" s="362"/>
      <c r="N1060" s="363"/>
    </row>
    <row r="1061" spans="1:14">
      <c r="A1061" s="361"/>
      <c r="B1061" s="361"/>
      <c r="C1061" s="361"/>
      <c r="D1061" s="361"/>
      <c r="E1061" s="361"/>
      <c r="F1061" s="361"/>
      <c r="G1061" s="361"/>
      <c r="H1061" s="361"/>
      <c r="I1061" s="118"/>
      <c r="J1061" s="361"/>
      <c r="K1061" s="108"/>
      <c r="L1061" s="82"/>
      <c r="M1061" s="362"/>
      <c r="N1061" s="363"/>
    </row>
    <row r="1062" spans="1:14">
      <c r="A1062" s="361"/>
      <c r="B1062" s="361"/>
      <c r="C1062" s="361"/>
      <c r="D1062" s="361"/>
      <c r="E1062" s="361"/>
      <c r="F1062" s="361"/>
      <c r="G1062" s="361"/>
      <c r="H1062" s="361"/>
      <c r="I1062" s="118"/>
      <c r="J1062" s="361"/>
      <c r="K1062" s="108"/>
      <c r="L1062" s="82"/>
      <c r="M1062" s="362"/>
      <c r="N1062" s="363"/>
    </row>
    <row r="1063" spans="1:14">
      <c r="A1063" s="361"/>
      <c r="B1063" s="361"/>
      <c r="C1063" s="361"/>
      <c r="D1063" s="361"/>
      <c r="E1063" s="361"/>
      <c r="F1063" s="361"/>
      <c r="G1063" s="361"/>
      <c r="H1063" s="361"/>
      <c r="I1063" s="118"/>
      <c r="J1063" s="361"/>
      <c r="K1063" s="108"/>
      <c r="L1063" s="82"/>
      <c r="M1063" s="362"/>
      <c r="N1063" s="363"/>
    </row>
    <row r="1064" spans="1:14">
      <c r="A1064" s="361"/>
      <c r="B1064" s="361"/>
      <c r="C1064" s="361"/>
      <c r="D1064" s="361"/>
      <c r="E1064" s="361"/>
      <c r="F1064" s="361"/>
      <c r="G1064" s="361"/>
      <c r="H1064" s="361"/>
      <c r="I1064" s="118"/>
      <c r="J1064" s="361"/>
      <c r="K1064" s="108"/>
      <c r="L1064" s="82"/>
      <c r="M1064" s="362"/>
      <c r="N1064" s="363"/>
    </row>
    <row r="1065" spans="1:14">
      <c r="A1065" s="361"/>
      <c r="B1065" s="361"/>
      <c r="C1065" s="361"/>
      <c r="D1065" s="361"/>
      <c r="E1065" s="361"/>
      <c r="F1065" s="361"/>
      <c r="G1065" s="361"/>
      <c r="H1065" s="361"/>
      <c r="I1065" s="118"/>
      <c r="J1065" s="361"/>
      <c r="K1065" s="108"/>
      <c r="L1065" s="82"/>
      <c r="M1065" s="362"/>
      <c r="N1065" s="363"/>
    </row>
    <row r="1066" spans="1:14">
      <c r="A1066" s="361"/>
      <c r="B1066" s="361"/>
      <c r="C1066" s="361"/>
      <c r="D1066" s="361"/>
      <c r="E1066" s="361"/>
      <c r="F1066" s="361"/>
      <c r="G1066" s="361"/>
      <c r="H1066" s="361"/>
      <c r="I1066" s="118"/>
      <c r="J1066" s="361"/>
      <c r="K1066" s="108"/>
      <c r="L1066" s="82"/>
      <c r="M1066" s="362"/>
      <c r="N1066" s="363"/>
    </row>
    <row r="1067" spans="1:14">
      <c r="A1067" s="361"/>
      <c r="B1067" s="361"/>
      <c r="C1067" s="361"/>
      <c r="D1067" s="361"/>
      <c r="E1067" s="361"/>
      <c r="F1067" s="361"/>
      <c r="G1067" s="361"/>
      <c r="H1067" s="361"/>
      <c r="I1067" s="118"/>
      <c r="J1067" s="361"/>
      <c r="K1067" s="108"/>
      <c r="L1067" s="82"/>
      <c r="M1067" s="362"/>
      <c r="N1067" s="363"/>
    </row>
    <row r="1068" spans="1:14">
      <c r="A1068" s="361"/>
      <c r="B1068" s="361"/>
      <c r="C1068" s="361"/>
      <c r="D1068" s="361"/>
      <c r="E1068" s="361"/>
      <c r="F1068" s="361"/>
      <c r="G1068" s="361"/>
      <c r="H1068" s="361"/>
      <c r="I1068" s="118"/>
      <c r="J1068" s="361"/>
      <c r="K1068" s="108"/>
      <c r="L1068" s="82"/>
      <c r="M1068" s="362"/>
      <c r="N1068" s="363"/>
    </row>
    <row r="1069" spans="1:14">
      <c r="A1069" s="361"/>
      <c r="B1069" s="361"/>
      <c r="C1069" s="361"/>
      <c r="D1069" s="361"/>
      <c r="E1069" s="361"/>
      <c r="F1069" s="361"/>
      <c r="G1069" s="361"/>
      <c r="H1069" s="361"/>
      <c r="I1069" s="118"/>
      <c r="J1069" s="361"/>
      <c r="K1069" s="108"/>
      <c r="L1069" s="82"/>
      <c r="M1069" s="362"/>
      <c r="N1069" s="363"/>
    </row>
    <row r="1070" spans="1:14">
      <c r="A1070" s="361"/>
      <c r="B1070" s="361"/>
      <c r="C1070" s="361"/>
      <c r="D1070" s="361"/>
      <c r="E1070" s="361"/>
      <c r="F1070" s="361"/>
      <c r="G1070" s="361"/>
      <c r="H1070" s="361"/>
      <c r="I1070" s="118"/>
      <c r="J1070" s="361"/>
      <c r="K1070" s="108"/>
      <c r="L1070" s="82"/>
      <c r="M1070" s="362"/>
      <c r="N1070" s="363"/>
    </row>
    <row r="1071" spans="1:14">
      <c r="A1071" s="361"/>
      <c r="B1071" s="361"/>
      <c r="C1071" s="361"/>
      <c r="D1071" s="361"/>
      <c r="E1071" s="361"/>
      <c r="F1071" s="361"/>
      <c r="G1071" s="361"/>
      <c r="H1071" s="361"/>
      <c r="I1071" s="118"/>
      <c r="J1071" s="361"/>
      <c r="K1071" s="108"/>
      <c r="L1071" s="82"/>
      <c r="M1071" s="362"/>
      <c r="N1071" s="363"/>
    </row>
    <row r="1072" spans="1:14">
      <c r="A1072" s="361"/>
      <c r="B1072" s="361"/>
      <c r="C1072" s="361"/>
      <c r="D1072" s="361"/>
      <c r="E1072" s="361"/>
      <c r="F1072" s="361"/>
      <c r="G1072" s="361"/>
      <c r="H1072" s="361"/>
      <c r="I1072" s="118"/>
      <c r="J1072" s="361"/>
      <c r="K1072" s="108"/>
      <c r="L1072" s="82"/>
      <c r="M1072" s="362"/>
      <c r="N1072" s="363"/>
    </row>
    <row r="1073" spans="1:14">
      <c r="A1073" s="361"/>
      <c r="B1073" s="361"/>
      <c r="C1073" s="361"/>
      <c r="D1073" s="361"/>
      <c r="E1073" s="361"/>
      <c r="F1073" s="361"/>
      <c r="G1073" s="361"/>
      <c r="H1073" s="361"/>
      <c r="I1073" s="118"/>
      <c r="J1073" s="361"/>
      <c r="K1073" s="108"/>
      <c r="L1073" s="82"/>
      <c r="M1073" s="362"/>
      <c r="N1073" s="363"/>
    </row>
    <row r="1074" spans="1:14">
      <c r="A1074" s="361"/>
      <c r="B1074" s="361"/>
      <c r="C1074" s="361"/>
      <c r="D1074" s="361"/>
      <c r="E1074" s="361"/>
      <c r="F1074" s="361"/>
      <c r="G1074" s="361"/>
      <c r="H1074" s="361"/>
      <c r="I1074" s="118"/>
      <c r="J1074" s="361"/>
      <c r="K1074" s="108"/>
      <c r="L1074" s="82"/>
      <c r="M1074" s="362"/>
      <c r="N1074" s="363"/>
    </row>
    <row r="1075" spans="1:14">
      <c r="A1075" s="361"/>
      <c r="B1075" s="361"/>
      <c r="C1075" s="361"/>
      <c r="D1075" s="361"/>
      <c r="E1075" s="361"/>
      <c r="F1075" s="361"/>
      <c r="G1075" s="361"/>
      <c r="H1075" s="361"/>
      <c r="I1075" s="118"/>
      <c r="J1075" s="361"/>
      <c r="K1075" s="108"/>
      <c r="L1075" s="82"/>
      <c r="M1075" s="362"/>
      <c r="N1075" s="363"/>
    </row>
    <row r="1076" spans="1:14">
      <c r="A1076" s="361"/>
      <c r="B1076" s="361"/>
      <c r="C1076" s="361"/>
      <c r="D1076" s="361"/>
      <c r="E1076" s="361"/>
      <c r="F1076" s="361"/>
      <c r="G1076" s="361"/>
      <c r="H1076" s="361"/>
      <c r="I1076" s="118"/>
      <c r="J1076" s="361"/>
      <c r="K1076" s="108"/>
      <c r="L1076" s="82"/>
      <c r="M1076" s="362"/>
      <c r="N1076" s="363"/>
    </row>
    <row r="1077" spans="1:14">
      <c r="A1077" s="361"/>
      <c r="B1077" s="361"/>
      <c r="C1077" s="361"/>
      <c r="D1077" s="361"/>
      <c r="E1077" s="361"/>
      <c r="F1077" s="361"/>
      <c r="G1077" s="361"/>
      <c r="H1077" s="361"/>
      <c r="I1077" s="118"/>
      <c r="J1077" s="361"/>
      <c r="K1077" s="108"/>
      <c r="L1077" s="82"/>
      <c r="M1077" s="362"/>
      <c r="N1077" s="363"/>
    </row>
    <row r="1078" spans="1:14">
      <c r="A1078" s="361"/>
      <c r="B1078" s="361"/>
      <c r="C1078" s="361"/>
      <c r="D1078" s="361"/>
      <c r="E1078" s="361"/>
      <c r="F1078" s="361"/>
      <c r="G1078" s="361"/>
      <c r="H1078" s="361"/>
      <c r="I1078" s="118"/>
      <c r="J1078" s="361"/>
      <c r="K1078" s="108"/>
      <c r="L1078" s="82"/>
      <c r="M1078" s="362"/>
      <c r="N1078" s="363"/>
    </row>
    <row r="1079" spans="1:14">
      <c r="A1079" s="361"/>
      <c r="B1079" s="361"/>
      <c r="C1079" s="361"/>
      <c r="D1079" s="361"/>
      <c r="E1079" s="361"/>
      <c r="F1079" s="361"/>
      <c r="G1079" s="361"/>
      <c r="H1079" s="361"/>
      <c r="I1079" s="118"/>
      <c r="J1079" s="361"/>
      <c r="K1079" s="108"/>
      <c r="L1079" s="82"/>
      <c r="M1079" s="362"/>
      <c r="N1079" s="363"/>
    </row>
    <row r="1080" spans="1:14">
      <c r="A1080" s="361"/>
      <c r="B1080" s="361"/>
      <c r="C1080" s="361"/>
      <c r="D1080" s="361"/>
      <c r="E1080" s="361"/>
      <c r="F1080" s="361"/>
      <c r="G1080" s="361"/>
      <c r="H1080" s="361"/>
      <c r="I1080" s="118"/>
      <c r="J1080" s="361"/>
      <c r="K1080" s="108"/>
      <c r="L1080" s="82"/>
      <c r="M1080" s="362"/>
      <c r="N1080" s="363"/>
    </row>
    <row r="1081" spans="1:14">
      <c r="A1081" s="361"/>
      <c r="B1081" s="361"/>
      <c r="C1081" s="361"/>
      <c r="D1081" s="361"/>
      <c r="E1081" s="361"/>
      <c r="F1081" s="361"/>
      <c r="G1081" s="361"/>
      <c r="H1081" s="361"/>
      <c r="I1081" s="118"/>
      <c r="J1081" s="361"/>
      <c r="K1081" s="108"/>
      <c r="L1081" s="82"/>
      <c r="M1081" s="362"/>
      <c r="N1081" s="363"/>
    </row>
    <row r="1082" spans="1:14">
      <c r="A1082" s="361"/>
      <c r="B1082" s="361"/>
      <c r="C1082" s="361"/>
      <c r="D1082" s="361"/>
      <c r="E1082" s="361"/>
      <c r="F1082" s="361"/>
      <c r="G1082" s="361"/>
      <c r="H1082" s="361"/>
      <c r="I1082" s="118"/>
      <c r="J1082" s="361"/>
      <c r="K1082" s="108"/>
      <c r="L1082" s="82"/>
      <c r="M1082" s="362"/>
      <c r="N1082" s="363"/>
    </row>
    <row r="1083" spans="1:14">
      <c r="A1083" s="361"/>
      <c r="B1083" s="361"/>
      <c r="C1083" s="361"/>
      <c r="D1083" s="361"/>
      <c r="E1083" s="361"/>
      <c r="F1083" s="361"/>
      <c r="G1083" s="361"/>
      <c r="H1083" s="361"/>
      <c r="I1083" s="118"/>
      <c r="J1083" s="361"/>
      <c r="K1083" s="108"/>
      <c r="L1083" s="82"/>
      <c r="M1083" s="362"/>
      <c r="N1083" s="363"/>
    </row>
    <row r="1084" spans="1:14">
      <c r="A1084" s="361"/>
      <c r="B1084" s="361"/>
      <c r="C1084" s="361"/>
      <c r="D1084" s="361"/>
      <c r="E1084" s="361"/>
      <c r="F1084" s="361"/>
      <c r="G1084" s="361"/>
      <c r="H1084" s="361"/>
      <c r="I1084" s="118"/>
      <c r="J1084" s="361"/>
      <c r="K1084" s="108"/>
      <c r="L1084" s="82"/>
      <c r="M1084" s="362"/>
      <c r="N1084" s="363"/>
    </row>
    <row r="1085" spans="1:14">
      <c r="A1085" s="361"/>
      <c r="B1085" s="361"/>
      <c r="C1085" s="361"/>
      <c r="D1085" s="361"/>
      <c r="E1085" s="361"/>
      <c r="F1085" s="361"/>
      <c r="G1085" s="361"/>
      <c r="H1085" s="361"/>
      <c r="I1085" s="118"/>
      <c r="J1085" s="361"/>
      <c r="K1085" s="108"/>
      <c r="L1085" s="82"/>
      <c r="M1085" s="362"/>
      <c r="N1085" s="363"/>
    </row>
    <row r="1086" spans="1:14">
      <c r="A1086" s="361"/>
      <c r="B1086" s="361"/>
      <c r="C1086" s="361"/>
      <c r="D1086" s="361"/>
      <c r="E1086" s="361"/>
      <c r="F1086" s="361"/>
      <c r="G1086" s="361"/>
      <c r="H1086" s="361"/>
      <c r="I1086" s="118"/>
      <c r="J1086" s="361"/>
      <c r="K1086" s="108"/>
      <c r="L1086" s="82"/>
      <c r="M1086" s="362"/>
      <c r="N1086" s="363"/>
    </row>
    <row r="1087" spans="1:14">
      <c r="A1087" s="361"/>
      <c r="B1087" s="361"/>
      <c r="C1087" s="361"/>
      <c r="D1087" s="361"/>
      <c r="E1087" s="361"/>
      <c r="F1087" s="361"/>
      <c r="G1087" s="361"/>
      <c r="H1087" s="361"/>
      <c r="I1087" s="118"/>
      <c r="J1087" s="361"/>
      <c r="K1087" s="108"/>
      <c r="L1087" s="82"/>
      <c r="M1087" s="362"/>
      <c r="N1087" s="363"/>
    </row>
    <row r="1088" spans="1:14">
      <c r="A1088" s="361"/>
      <c r="B1088" s="361"/>
      <c r="C1088" s="361"/>
      <c r="D1088" s="361"/>
      <c r="E1088" s="361"/>
      <c r="F1088" s="361"/>
      <c r="G1088" s="361"/>
      <c r="H1088" s="361"/>
      <c r="I1088" s="118"/>
      <c r="J1088" s="361"/>
      <c r="K1088" s="108"/>
      <c r="L1088" s="82"/>
      <c r="M1088" s="362"/>
      <c r="N1088" s="363"/>
    </row>
    <row r="1089" spans="1:14">
      <c r="A1089" s="361"/>
      <c r="B1089" s="361"/>
      <c r="C1089" s="361"/>
      <c r="D1089" s="361"/>
      <c r="E1089" s="361"/>
      <c r="F1089" s="361"/>
      <c r="G1089" s="361"/>
      <c r="H1089" s="361"/>
      <c r="I1089" s="118"/>
      <c r="J1089" s="361"/>
      <c r="K1089" s="108"/>
      <c r="L1089" s="82"/>
      <c r="M1089" s="362"/>
      <c r="N1089" s="363"/>
    </row>
    <row r="1090" spans="1:14">
      <c r="A1090" s="361"/>
      <c r="B1090" s="361"/>
      <c r="C1090" s="361"/>
      <c r="D1090" s="361"/>
      <c r="E1090" s="361"/>
      <c r="F1090" s="361"/>
      <c r="G1090" s="361"/>
      <c r="H1090" s="361"/>
      <c r="I1090" s="118"/>
      <c r="J1090" s="361"/>
      <c r="K1090" s="108"/>
      <c r="L1090" s="82"/>
      <c r="M1090" s="362"/>
      <c r="N1090" s="363"/>
    </row>
    <row r="1091" spans="1:14">
      <c r="A1091" s="361"/>
      <c r="B1091" s="361"/>
      <c r="C1091" s="361"/>
      <c r="D1091" s="361"/>
      <c r="E1091" s="361"/>
      <c r="F1091" s="361"/>
      <c r="G1091" s="361"/>
      <c r="H1091" s="361"/>
      <c r="I1091" s="118"/>
      <c r="J1091" s="361"/>
      <c r="K1091" s="108"/>
      <c r="L1091" s="82"/>
      <c r="M1091" s="362"/>
      <c r="N1091" s="363"/>
    </row>
    <row r="1092" spans="1:14">
      <c r="A1092" s="361"/>
      <c r="B1092" s="361"/>
      <c r="C1092" s="361"/>
      <c r="D1092" s="361"/>
      <c r="E1092" s="361"/>
      <c r="F1092" s="361"/>
      <c r="G1092" s="361"/>
      <c r="H1092" s="361"/>
      <c r="I1092" s="118"/>
      <c r="J1092" s="361"/>
      <c r="K1092" s="108"/>
      <c r="L1092" s="82"/>
      <c r="M1092" s="362"/>
      <c r="N1092" s="363"/>
    </row>
    <row r="1093" spans="1:14">
      <c r="A1093" s="361"/>
      <c r="B1093" s="361"/>
      <c r="C1093" s="361"/>
      <c r="D1093" s="361"/>
      <c r="E1093" s="361"/>
      <c r="F1093" s="361"/>
      <c r="G1093" s="361"/>
      <c r="H1093" s="361"/>
      <c r="I1093" s="118"/>
      <c r="J1093" s="361"/>
      <c r="K1093" s="108"/>
      <c r="L1093" s="82"/>
      <c r="M1093" s="362"/>
      <c r="N1093" s="363"/>
    </row>
    <row r="1094" spans="1:14">
      <c r="A1094" s="361"/>
      <c r="B1094" s="361"/>
      <c r="C1094" s="361"/>
      <c r="D1094" s="361"/>
      <c r="E1094" s="361"/>
      <c r="F1094" s="361"/>
      <c r="G1094" s="361"/>
      <c r="H1094" s="361"/>
      <c r="I1094" s="118"/>
      <c r="J1094" s="361"/>
      <c r="K1094" s="108"/>
      <c r="L1094" s="82"/>
      <c r="M1094" s="362"/>
      <c r="N1094" s="363"/>
    </row>
    <row r="1095" spans="1:14">
      <c r="A1095" s="361"/>
      <c r="B1095" s="361"/>
      <c r="C1095" s="361"/>
      <c r="D1095" s="361"/>
      <c r="E1095" s="361"/>
      <c r="F1095" s="361"/>
      <c r="G1095" s="361"/>
      <c r="H1095" s="361"/>
      <c r="I1095" s="118"/>
      <c r="J1095" s="361"/>
      <c r="K1095" s="108"/>
      <c r="L1095" s="82"/>
      <c r="M1095" s="362"/>
      <c r="N1095" s="363"/>
    </row>
    <row r="1096" spans="1:14">
      <c r="A1096" s="361"/>
      <c r="B1096" s="361"/>
      <c r="C1096" s="361"/>
      <c r="D1096" s="361"/>
      <c r="E1096" s="361"/>
      <c r="F1096" s="361"/>
      <c r="G1096" s="361"/>
      <c r="H1096" s="361"/>
      <c r="I1096" s="118"/>
      <c r="J1096" s="361"/>
      <c r="K1096" s="108"/>
      <c r="L1096" s="82"/>
      <c r="M1096" s="362"/>
      <c r="N1096" s="363"/>
    </row>
    <row r="1097" spans="1:14">
      <c r="A1097" s="361"/>
      <c r="B1097" s="361"/>
      <c r="C1097" s="361"/>
      <c r="D1097" s="361"/>
      <c r="E1097" s="361"/>
      <c r="F1097" s="361"/>
      <c r="G1097" s="361"/>
      <c r="H1097" s="361"/>
      <c r="I1097" s="118"/>
      <c r="J1097" s="361"/>
      <c r="K1097" s="108"/>
      <c r="L1097" s="82"/>
      <c r="M1097" s="362"/>
      <c r="N1097" s="363"/>
    </row>
    <row r="1098" spans="1:14">
      <c r="A1098" s="361"/>
      <c r="B1098" s="361"/>
      <c r="C1098" s="361"/>
      <c r="D1098" s="361"/>
      <c r="E1098" s="361"/>
      <c r="F1098" s="361"/>
      <c r="G1098" s="361"/>
      <c r="H1098" s="361"/>
      <c r="I1098" s="118"/>
      <c r="J1098" s="361"/>
      <c r="K1098" s="108"/>
      <c r="L1098" s="82"/>
      <c r="M1098" s="362"/>
      <c r="N1098" s="363"/>
    </row>
    <row r="1099" spans="1:14">
      <c r="A1099" s="361"/>
      <c r="B1099" s="361"/>
      <c r="C1099" s="361"/>
      <c r="D1099" s="361"/>
      <c r="E1099" s="361"/>
      <c r="F1099" s="361"/>
      <c r="G1099" s="361"/>
      <c r="H1099" s="361"/>
      <c r="I1099" s="118"/>
      <c r="J1099" s="361"/>
      <c r="K1099" s="108"/>
      <c r="L1099" s="82"/>
      <c r="M1099" s="362"/>
      <c r="N1099" s="363"/>
    </row>
    <row r="1100" spans="1:14">
      <c r="A1100" s="361"/>
      <c r="B1100" s="361"/>
      <c r="C1100" s="361"/>
      <c r="D1100" s="361"/>
      <c r="E1100" s="361"/>
      <c r="F1100" s="361"/>
      <c r="G1100" s="361"/>
      <c r="H1100" s="361"/>
      <c r="I1100" s="118"/>
      <c r="J1100" s="361"/>
      <c r="K1100" s="108"/>
      <c r="L1100" s="82"/>
      <c r="M1100" s="362"/>
      <c r="N1100" s="363"/>
    </row>
    <row r="1101" spans="1:14">
      <c r="A1101" s="361"/>
      <c r="B1101" s="361"/>
      <c r="C1101" s="361"/>
      <c r="D1101" s="361"/>
      <c r="E1101" s="361"/>
      <c r="F1101" s="361"/>
      <c r="G1101" s="361"/>
      <c r="H1101" s="361"/>
      <c r="I1101" s="118"/>
      <c r="J1101" s="361"/>
      <c r="K1101" s="108"/>
      <c r="L1101" s="82"/>
      <c r="M1101" s="362"/>
      <c r="N1101" s="363"/>
    </row>
    <row r="1102" spans="1:14">
      <c r="A1102" s="361"/>
      <c r="B1102" s="361"/>
      <c r="C1102" s="361"/>
      <c r="D1102" s="361"/>
      <c r="E1102" s="361"/>
      <c r="F1102" s="361"/>
      <c r="G1102" s="361"/>
      <c r="H1102" s="361"/>
      <c r="I1102" s="118"/>
      <c r="J1102" s="361"/>
      <c r="K1102" s="108"/>
      <c r="L1102" s="82"/>
      <c r="M1102" s="362"/>
      <c r="N1102" s="363"/>
    </row>
    <row r="1103" spans="1:14">
      <c r="A1103" s="361"/>
      <c r="B1103" s="361"/>
      <c r="C1103" s="361"/>
      <c r="D1103" s="361"/>
      <c r="E1103" s="361"/>
      <c r="F1103" s="361"/>
      <c r="G1103" s="361"/>
      <c r="H1103" s="361"/>
      <c r="I1103" s="118"/>
      <c r="J1103" s="361"/>
      <c r="K1103" s="108"/>
      <c r="L1103" s="82"/>
      <c r="M1103" s="362"/>
      <c r="N1103" s="363"/>
    </row>
    <row r="1104" spans="1:14">
      <c r="A1104" s="361"/>
      <c r="B1104" s="361"/>
      <c r="C1104" s="361"/>
      <c r="D1104" s="361"/>
      <c r="E1104" s="361"/>
      <c r="F1104" s="361"/>
      <c r="G1104" s="361"/>
      <c r="H1104" s="361"/>
      <c r="I1104" s="118"/>
      <c r="J1104" s="361"/>
      <c r="K1104" s="108"/>
      <c r="L1104" s="82"/>
      <c r="M1104" s="362"/>
      <c r="N1104" s="363"/>
    </row>
    <row r="1105" spans="1:14">
      <c r="A1105" s="361"/>
      <c r="B1105" s="361"/>
      <c r="C1105" s="361"/>
      <c r="D1105" s="361"/>
      <c r="E1105" s="361"/>
      <c r="F1105" s="361"/>
      <c r="G1105" s="361"/>
      <c r="H1105" s="361"/>
      <c r="I1105" s="118"/>
      <c r="J1105" s="361"/>
      <c r="K1105" s="108"/>
      <c r="L1105" s="82"/>
      <c r="M1105" s="362"/>
      <c r="N1105" s="363"/>
    </row>
    <row r="1106" spans="1:14">
      <c r="A1106" s="361"/>
      <c r="B1106" s="361"/>
      <c r="C1106" s="361"/>
      <c r="D1106" s="361"/>
      <c r="E1106" s="361"/>
      <c r="F1106" s="361"/>
      <c r="G1106" s="361"/>
      <c r="H1106" s="361"/>
      <c r="I1106" s="118"/>
      <c r="J1106" s="361"/>
      <c r="K1106" s="108"/>
      <c r="L1106" s="82"/>
      <c r="M1106" s="362"/>
      <c r="N1106" s="363"/>
    </row>
    <row r="1107" spans="1:14">
      <c r="A1107" s="361"/>
      <c r="B1107" s="361"/>
      <c r="C1107" s="361"/>
      <c r="D1107" s="361"/>
      <c r="E1107" s="361"/>
      <c r="F1107" s="361"/>
      <c r="G1107" s="361"/>
      <c r="H1107" s="361"/>
      <c r="I1107" s="118"/>
      <c r="J1107" s="361"/>
      <c r="K1107" s="108"/>
      <c r="L1107" s="82"/>
      <c r="M1107" s="362"/>
      <c r="N1107" s="363"/>
    </row>
    <row r="1108" spans="1:14">
      <c r="A1108" s="361"/>
      <c r="B1108" s="361"/>
      <c r="C1108" s="361"/>
      <c r="D1108" s="361"/>
      <c r="E1108" s="361"/>
      <c r="F1108" s="361"/>
      <c r="G1108" s="361"/>
      <c r="H1108" s="361"/>
      <c r="I1108" s="118"/>
      <c r="J1108" s="361"/>
      <c r="K1108" s="108"/>
      <c r="L1108" s="82"/>
      <c r="M1108" s="362"/>
      <c r="N1108" s="363"/>
    </row>
    <row r="1109" spans="1:14">
      <c r="A1109" s="361"/>
      <c r="B1109" s="361"/>
      <c r="C1109" s="361"/>
      <c r="D1109" s="361"/>
      <c r="E1109" s="361"/>
      <c r="F1109" s="361"/>
      <c r="G1109" s="361"/>
      <c r="H1109" s="361"/>
      <c r="I1109" s="118"/>
      <c r="J1109" s="361"/>
      <c r="K1109" s="108"/>
      <c r="L1109" s="82"/>
      <c r="M1109" s="362"/>
      <c r="N1109" s="363"/>
    </row>
    <row r="1110" spans="1:14">
      <c r="A1110" s="361"/>
      <c r="B1110" s="361"/>
      <c r="C1110" s="361"/>
      <c r="D1110" s="361"/>
      <c r="E1110" s="361"/>
      <c r="F1110" s="361"/>
      <c r="G1110" s="361"/>
      <c r="H1110" s="361"/>
      <c r="I1110" s="118"/>
      <c r="J1110" s="361"/>
      <c r="K1110" s="108"/>
      <c r="L1110" s="82"/>
      <c r="M1110" s="362"/>
      <c r="N1110" s="363"/>
    </row>
    <row r="1111" spans="1:14">
      <c r="A1111" s="361"/>
      <c r="B1111" s="361"/>
      <c r="C1111" s="361"/>
      <c r="D1111" s="361"/>
      <c r="E1111" s="361"/>
      <c r="F1111" s="361"/>
      <c r="G1111" s="361"/>
      <c r="H1111" s="361"/>
      <c r="I1111" s="118"/>
      <c r="J1111" s="361"/>
      <c r="K1111" s="108"/>
      <c r="L1111" s="82"/>
      <c r="M1111" s="362"/>
      <c r="N1111" s="363"/>
    </row>
    <row r="1112" spans="1:14">
      <c r="A1112" s="361"/>
      <c r="B1112" s="361"/>
      <c r="C1112" s="361"/>
      <c r="D1112" s="361"/>
      <c r="E1112" s="361"/>
      <c r="F1112" s="361"/>
      <c r="G1112" s="361"/>
      <c r="H1112" s="361"/>
      <c r="I1112" s="118"/>
      <c r="J1112" s="361"/>
      <c r="K1112" s="108"/>
      <c r="L1112" s="82"/>
      <c r="M1112" s="362"/>
      <c r="N1112" s="363"/>
    </row>
    <row r="1113" spans="1:14">
      <c r="A1113" s="361"/>
      <c r="B1113" s="361"/>
      <c r="C1113" s="361"/>
      <c r="D1113" s="361"/>
      <c r="E1113" s="361"/>
      <c r="F1113" s="361"/>
      <c r="G1113" s="361"/>
      <c r="H1113" s="361"/>
      <c r="I1113" s="118"/>
      <c r="J1113" s="361"/>
      <c r="K1113" s="108"/>
      <c r="L1113" s="82"/>
      <c r="M1113" s="362"/>
      <c r="N1113" s="363"/>
    </row>
    <row r="1114" spans="1:14">
      <c r="A1114" s="361"/>
      <c r="B1114" s="361"/>
      <c r="C1114" s="361"/>
      <c r="D1114" s="361"/>
      <c r="E1114" s="361"/>
      <c r="F1114" s="361"/>
      <c r="G1114" s="361"/>
      <c r="H1114" s="361"/>
      <c r="I1114" s="118"/>
      <c r="J1114" s="361"/>
      <c r="K1114" s="108"/>
      <c r="L1114" s="82"/>
      <c r="M1114" s="362"/>
      <c r="N1114" s="363"/>
    </row>
    <row r="1115" spans="1:14">
      <c r="A1115" s="361"/>
      <c r="B1115" s="361"/>
      <c r="C1115" s="361"/>
      <c r="D1115" s="361"/>
      <c r="E1115" s="361"/>
      <c r="F1115" s="361"/>
      <c r="G1115" s="361"/>
      <c r="H1115" s="361"/>
      <c r="I1115" s="118"/>
      <c r="J1115" s="361"/>
      <c r="K1115" s="108"/>
      <c r="L1115" s="82"/>
      <c r="M1115" s="362"/>
      <c r="N1115" s="363"/>
    </row>
    <row r="1116" spans="1:14">
      <c r="A1116" s="361"/>
      <c r="B1116" s="361"/>
      <c r="C1116" s="361"/>
      <c r="D1116" s="361"/>
      <c r="E1116" s="361"/>
      <c r="F1116" s="361"/>
      <c r="G1116" s="361"/>
      <c r="H1116" s="361"/>
      <c r="I1116" s="118"/>
      <c r="J1116" s="361"/>
      <c r="K1116" s="108"/>
      <c r="L1116" s="82"/>
      <c r="M1116" s="362"/>
      <c r="N1116" s="363"/>
    </row>
    <row r="1117" spans="1:14">
      <c r="A1117" s="361"/>
      <c r="B1117" s="361"/>
      <c r="C1117" s="361"/>
      <c r="D1117" s="361"/>
      <c r="E1117" s="361"/>
      <c r="F1117" s="361"/>
      <c r="G1117" s="361"/>
      <c r="H1117" s="361"/>
      <c r="I1117" s="118"/>
      <c r="J1117" s="361"/>
      <c r="K1117" s="108"/>
      <c r="L1117" s="82"/>
      <c r="M1117" s="362"/>
      <c r="N1117" s="363"/>
    </row>
    <row r="1118" spans="1:14">
      <c r="A1118" s="361"/>
      <c r="B1118" s="361"/>
      <c r="C1118" s="361"/>
      <c r="D1118" s="361"/>
      <c r="E1118" s="361"/>
      <c r="F1118" s="361"/>
      <c r="G1118" s="361"/>
      <c r="H1118" s="361"/>
      <c r="I1118" s="118"/>
      <c r="J1118" s="361"/>
      <c r="K1118" s="108"/>
      <c r="L1118" s="82"/>
      <c r="M1118" s="362"/>
      <c r="N1118" s="363"/>
    </row>
    <row r="1119" spans="1:14">
      <c r="A1119" s="361"/>
      <c r="B1119" s="361"/>
      <c r="C1119" s="361"/>
      <c r="D1119" s="361"/>
      <c r="E1119" s="361"/>
      <c r="F1119" s="361"/>
      <c r="G1119" s="361"/>
      <c r="H1119" s="361"/>
      <c r="I1119" s="118"/>
      <c r="J1119" s="361"/>
      <c r="K1119" s="108"/>
      <c r="L1119" s="82"/>
      <c r="M1119" s="362"/>
      <c r="N1119" s="363"/>
    </row>
    <row r="1120" spans="1:14">
      <c r="A1120" s="361"/>
      <c r="B1120" s="361"/>
      <c r="C1120" s="361"/>
      <c r="D1120" s="361"/>
      <c r="E1120" s="361"/>
      <c r="F1120" s="361"/>
      <c r="G1120" s="361"/>
      <c r="H1120" s="361"/>
      <c r="I1120" s="118"/>
      <c r="J1120" s="361"/>
      <c r="K1120" s="108"/>
      <c r="L1120" s="82"/>
      <c r="M1120" s="362"/>
      <c r="N1120" s="363"/>
    </row>
    <row r="1121" spans="1:14">
      <c r="A1121" s="361"/>
      <c r="B1121" s="361"/>
      <c r="C1121" s="361"/>
      <c r="D1121" s="361"/>
      <c r="E1121" s="361"/>
      <c r="F1121" s="361"/>
      <c r="G1121" s="361"/>
      <c r="H1121" s="361"/>
      <c r="I1121" s="118"/>
      <c r="J1121" s="361"/>
      <c r="K1121" s="108"/>
      <c r="L1121" s="82"/>
      <c r="M1121" s="362"/>
      <c r="N1121" s="363"/>
    </row>
    <row r="1122" spans="1:14">
      <c r="A1122" s="361"/>
      <c r="B1122" s="361"/>
      <c r="C1122" s="361"/>
      <c r="D1122" s="361"/>
      <c r="E1122" s="361"/>
      <c r="F1122" s="361"/>
      <c r="G1122" s="361"/>
      <c r="H1122" s="361"/>
      <c r="I1122" s="118"/>
      <c r="J1122" s="361"/>
      <c r="K1122" s="108"/>
      <c r="L1122" s="82"/>
      <c r="M1122" s="362"/>
      <c r="N1122" s="363"/>
    </row>
    <row r="1123" spans="1:14">
      <c r="A1123" s="361"/>
      <c r="B1123" s="361"/>
      <c r="C1123" s="361"/>
      <c r="D1123" s="361"/>
      <c r="E1123" s="361"/>
      <c r="F1123" s="361"/>
      <c r="G1123" s="361"/>
      <c r="H1123" s="361"/>
      <c r="I1123" s="118"/>
      <c r="J1123" s="361"/>
      <c r="K1123" s="108"/>
      <c r="L1123" s="82"/>
      <c r="M1123" s="362"/>
      <c r="N1123" s="363"/>
    </row>
    <row r="1124" spans="1:14">
      <c r="A1124" s="361"/>
      <c r="B1124" s="361"/>
      <c r="C1124" s="361"/>
      <c r="D1124" s="361"/>
      <c r="E1124" s="361"/>
      <c r="F1124" s="361"/>
      <c r="G1124" s="361"/>
      <c r="H1124" s="361"/>
      <c r="I1124" s="118"/>
      <c r="J1124" s="361"/>
      <c r="K1124" s="108"/>
      <c r="L1124" s="82"/>
      <c r="M1124" s="362"/>
      <c r="N1124" s="363"/>
    </row>
    <row r="1125" spans="1:14">
      <c r="A1125" s="361"/>
      <c r="B1125" s="361"/>
      <c r="C1125" s="361"/>
      <c r="D1125" s="361"/>
      <c r="E1125" s="361"/>
      <c r="F1125" s="361"/>
      <c r="G1125" s="361"/>
      <c r="H1125" s="361"/>
      <c r="I1125" s="118"/>
      <c r="J1125" s="361"/>
      <c r="K1125" s="108"/>
      <c r="L1125" s="82"/>
      <c r="M1125" s="362"/>
      <c r="N1125" s="363"/>
    </row>
    <row r="1126" spans="1:14">
      <c r="A1126" s="361"/>
      <c r="B1126" s="361"/>
      <c r="C1126" s="361"/>
      <c r="D1126" s="361"/>
      <c r="E1126" s="361"/>
      <c r="F1126" s="361"/>
      <c r="G1126" s="361"/>
      <c r="H1126" s="361"/>
      <c r="I1126" s="118"/>
      <c r="J1126" s="361"/>
      <c r="K1126" s="108"/>
      <c r="L1126" s="82"/>
      <c r="M1126" s="362"/>
      <c r="N1126" s="363"/>
    </row>
    <row r="1127" spans="1:14">
      <c r="A1127" s="361"/>
      <c r="B1127" s="361"/>
      <c r="C1127" s="361"/>
      <c r="D1127" s="361"/>
      <c r="E1127" s="361"/>
      <c r="F1127" s="361"/>
      <c r="G1127" s="361"/>
      <c r="H1127" s="361"/>
      <c r="I1127" s="118"/>
      <c r="J1127" s="361"/>
      <c r="K1127" s="108"/>
      <c r="L1127" s="82"/>
      <c r="M1127" s="362"/>
      <c r="N1127" s="363"/>
    </row>
    <row r="1128" spans="1:14">
      <c r="A1128" s="361"/>
      <c r="B1128" s="361"/>
      <c r="C1128" s="361"/>
      <c r="D1128" s="361"/>
      <c r="E1128" s="361"/>
      <c r="F1128" s="361"/>
      <c r="G1128" s="361"/>
      <c r="H1128" s="361"/>
      <c r="I1128" s="118"/>
      <c r="J1128" s="361"/>
      <c r="K1128" s="108"/>
      <c r="L1128" s="82"/>
      <c r="M1128" s="362"/>
      <c r="N1128" s="363"/>
    </row>
    <row r="1129" spans="1:14">
      <c r="A1129" s="361"/>
      <c r="B1129" s="361"/>
      <c r="C1129" s="361"/>
      <c r="D1129" s="361"/>
      <c r="E1129" s="361"/>
      <c r="F1129" s="361"/>
      <c r="G1129" s="361"/>
      <c r="H1129" s="361"/>
      <c r="I1129" s="118"/>
      <c r="J1129" s="361"/>
      <c r="K1129" s="108"/>
      <c r="L1129" s="82"/>
      <c r="M1129" s="362"/>
      <c r="N1129" s="363"/>
    </row>
    <row r="1130" spans="1:14">
      <c r="A1130" s="361"/>
      <c r="B1130" s="361"/>
      <c r="C1130" s="361"/>
      <c r="D1130" s="361"/>
      <c r="E1130" s="361"/>
      <c r="F1130" s="361"/>
      <c r="G1130" s="361"/>
      <c r="H1130" s="361"/>
      <c r="I1130" s="118"/>
      <c r="J1130" s="361"/>
      <c r="K1130" s="108"/>
      <c r="L1130" s="82"/>
      <c r="M1130" s="362"/>
      <c r="N1130" s="363"/>
    </row>
    <row r="1131" spans="1:14">
      <c r="A1131" s="361"/>
      <c r="B1131" s="361"/>
      <c r="C1131" s="361"/>
      <c r="D1131" s="361"/>
      <c r="E1131" s="361"/>
      <c r="F1131" s="361"/>
      <c r="G1131" s="361"/>
      <c r="H1131" s="361"/>
      <c r="I1131" s="118"/>
      <c r="J1131" s="361"/>
      <c r="K1131" s="108"/>
      <c r="L1131" s="82"/>
      <c r="M1131" s="362"/>
      <c r="N1131" s="363"/>
    </row>
    <row r="1132" spans="1:14">
      <c r="A1132" s="361"/>
      <c r="B1132" s="361"/>
      <c r="C1132" s="361"/>
      <c r="D1132" s="361"/>
      <c r="E1132" s="361"/>
      <c r="F1132" s="361"/>
      <c r="G1132" s="361"/>
      <c r="H1132" s="361"/>
      <c r="I1132" s="118"/>
      <c r="J1132" s="361"/>
      <c r="K1132" s="108"/>
      <c r="L1132" s="82"/>
      <c r="M1132" s="362"/>
      <c r="N1132" s="363"/>
    </row>
  </sheetData>
  <autoFilter ref="A3:N949"/>
  <mergeCells count="391">
    <mergeCell ref="K940:K941"/>
    <mergeCell ref="M940:M941"/>
    <mergeCell ref="N940:N941"/>
    <mergeCell ref="K942:K943"/>
    <mergeCell ref="M942:M943"/>
    <mergeCell ref="N942:N943"/>
    <mergeCell ref="K947:K948"/>
    <mergeCell ref="M947:M948"/>
    <mergeCell ref="N947:N948"/>
    <mergeCell ref="K927:K930"/>
    <mergeCell ref="M927:M930"/>
    <mergeCell ref="N927:N930"/>
    <mergeCell ref="K931:K934"/>
    <mergeCell ref="M931:M934"/>
    <mergeCell ref="N931:N934"/>
    <mergeCell ref="K790:K791"/>
    <mergeCell ref="M790:M791"/>
    <mergeCell ref="N790:N791"/>
    <mergeCell ref="K792:K795"/>
    <mergeCell ref="M792:M795"/>
    <mergeCell ref="N792:N795"/>
    <mergeCell ref="K806:K807"/>
    <mergeCell ref="M806:M807"/>
    <mergeCell ref="N806:N807"/>
    <mergeCell ref="K796:K799"/>
    <mergeCell ref="M796:M799"/>
    <mergeCell ref="N796:N799"/>
    <mergeCell ref="K800:K802"/>
    <mergeCell ref="M800:M802"/>
    <mergeCell ref="N800:N802"/>
    <mergeCell ref="K803:K805"/>
    <mergeCell ref="M803:M805"/>
    <mergeCell ref="N803:N805"/>
    <mergeCell ref="K718:K719"/>
    <mergeCell ref="M718:M719"/>
    <mergeCell ref="N718:N719"/>
    <mergeCell ref="K720:K721"/>
    <mergeCell ref="M720:M721"/>
    <mergeCell ref="N720:N721"/>
    <mergeCell ref="K474:K475"/>
    <mergeCell ref="M474:M475"/>
    <mergeCell ref="N474:N475"/>
    <mergeCell ref="K476:K477"/>
    <mergeCell ref="M476:M477"/>
    <mergeCell ref="N476:N477"/>
    <mergeCell ref="K596:K599"/>
    <mergeCell ref="M596:M599"/>
    <mergeCell ref="N596:N599"/>
    <mergeCell ref="K569:K571"/>
    <mergeCell ref="M569:M571"/>
    <mergeCell ref="N569:N571"/>
    <mergeCell ref="K572:K574"/>
    <mergeCell ref="M572:M574"/>
    <mergeCell ref="N572:N574"/>
    <mergeCell ref="K575:K577"/>
    <mergeCell ref="M575:M577"/>
    <mergeCell ref="N575:N577"/>
    <mergeCell ref="K600:K603"/>
    <mergeCell ref="M600:M603"/>
    <mergeCell ref="N600:N603"/>
    <mergeCell ref="K578:K579"/>
    <mergeCell ref="M578:M579"/>
    <mergeCell ref="N578:N579"/>
    <mergeCell ref="K580:K581"/>
    <mergeCell ref="M580:M581"/>
    <mergeCell ref="N580:N581"/>
    <mergeCell ref="K590:K591"/>
    <mergeCell ref="M590:M591"/>
    <mergeCell ref="N590:N591"/>
    <mergeCell ref="K592:K593"/>
    <mergeCell ref="M592:M593"/>
    <mergeCell ref="N592:N593"/>
    <mergeCell ref="K594:K595"/>
    <mergeCell ref="M594:M595"/>
    <mergeCell ref="N594:N595"/>
    <mergeCell ref="K566:K568"/>
    <mergeCell ref="M566:M568"/>
    <mergeCell ref="N566:N568"/>
    <mergeCell ref="K538:K539"/>
    <mergeCell ref="M538:M539"/>
    <mergeCell ref="N538:N539"/>
    <mergeCell ref="K540:K541"/>
    <mergeCell ref="M540:M541"/>
    <mergeCell ref="N540:N541"/>
    <mergeCell ref="K542:K543"/>
    <mergeCell ref="M542:M543"/>
    <mergeCell ref="N542:N543"/>
    <mergeCell ref="K558:K561"/>
    <mergeCell ref="M558:M561"/>
    <mergeCell ref="N558:N561"/>
    <mergeCell ref="K562:K565"/>
    <mergeCell ref="M562:M565"/>
    <mergeCell ref="N562:N565"/>
    <mergeCell ref="K528:K531"/>
    <mergeCell ref="M528:M531"/>
    <mergeCell ref="N528:N531"/>
    <mergeCell ref="K532:K535"/>
    <mergeCell ref="M532:M535"/>
    <mergeCell ref="N532:N535"/>
    <mergeCell ref="K536:K537"/>
    <mergeCell ref="M536:M537"/>
    <mergeCell ref="N536:N537"/>
    <mergeCell ref="K522:K523"/>
    <mergeCell ref="M522:M523"/>
    <mergeCell ref="N522:N523"/>
    <mergeCell ref="K524:K525"/>
    <mergeCell ref="M524:M525"/>
    <mergeCell ref="N524:N525"/>
    <mergeCell ref="K514:K517"/>
    <mergeCell ref="M514:M517"/>
    <mergeCell ref="N514:N517"/>
    <mergeCell ref="K518:K521"/>
    <mergeCell ref="M518:M521"/>
    <mergeCell ref="N518:N521"/>
    <mergeCell ref="K512:K513"/>
    <mergeCell ref="M512:M513"/>
    <mergeCell ref="N512:N513"/>
    <mergeCell ref="K492:K495"/>
    <mergeCell ref="M492:M495"/>
    <mergeCell ref="N492:N495"/>
    <mergeCell ref="K496:K499"/>
    <mergeCell ref="M496:M499"/>
    <mergeCell ref="N496:N499"/>
    <mergeCell ref="K506:K507"/>
    <mergeCell ref="M506:M507"/>
    <mergeCell ref="N506:N507"/>
    <mergeCell ref="K508:K509"/>
    <mergeCell ref="M508:M509"/>
    <mergeCell ref="N508:N509"/>
    <mergeCell ref="K510:K511"/>
    <mergeCell ref="M510:M511"/>
    <mergeCell ref="N510:N511"/>
    <mergeCell ref="K470:K471"/>
    <mergeCell ref="M470:M471"/>
    <mergeCell ref="N470:N471"/>
    <mergeCell ref="K472:K473"/>
    <mergeCell ref="M472:M473"/>
    <mergeCell ref="N472:N473"/>
    <mergeCell ref="K463:K466"/>
    <mergeCell ref="M463:M466"/>
    <mergeCell ref="N463:N466"/>
    <mergeCell ref="K454:K456"/>
    <mergeCell ref="M454:M456"/>
    <mergeCell ref="N454:N456"/>
    <mergeCell ref="K457:K460"/>
    <mergeCell ref="M457:M460"/>
    <mergeCell ref="N457:N460"/>
    <mergeCell ref="K461:K462"/>
    <mergeCell ref="M461:M462"/>
    <mergeCell ref="N461:N462"/>
    <mergeCell ref="K447:K448"/>
    <mergeCell ref="M447:M448"/>
    <mergeCell ref="N447:N448"/>
    <mergeCell ref="K449:K450"/>
    <mergeCell ref="M449:M450"/>
    <mergeCell ref="N449:N450"/>
    <mergeCell ref="K451:K453"/>
    <mergeCell ref="M451:M453"/>
    <mergeCell ref="N451:N453"/>
    <mergeCell ref="K388:K391"/>
    <mergeCell ref="M388:M391"/>
    <mergeCell ref="N388:N391"/>
    <mergeCell ref="K392:K395"/>
    <mergeCell ref="M392:M395"/>
    <mergeCell ref="N392:N395"/>
    <mergeCell ref="N246:N247"/>
    <mergeCell ref="K248:K249"/>
    <mergeCell ref="M248:M249"/>
    <mergeCell ref="N248:N249"/>
    <mergeCell ref="M366:M367"/>
    <mergeCell ref="N366:N367"/>
    <mergeCell ref="K380:K383"/>
    <mergeCell ref="M380:M383"/>
    <mergeCell ref="N380:N383"/>
    <mergeCell ref="K374:K375"/>
    <mergeCell ref="M374:M375"/>
    <mergeCell ref="N374:N375"/>
    <mergeCell ref="K376:K377"/>
    <mergeCell ref="M376:M377"/>
    <mergeCell ref="N376:N377"/>
    <mergeCell ref="K378:K379"/>
    <mergeCell ref="M378:M379"/>
    <mergeCell ref="N378:N379"/>
    <mergeCell ref="K370:K371"/>
    <mergeCell ref="M370:M371"/>
    <mergeCell ref="N370:N371"/>
    <mergeCell ref="K242:K243"/>
    <mergeCell ref="K244:K245"/>
    <mergeCell ref="M242:M243"/>
    <mergeCell ref="N242:N243"/>
    <mergeCell ref="M244:M245"/>
    <mergeCell ref="N244:N245"/>
    <mergeCell ref="M307:M309"/>
    <mergeCell ref="N307:N309"/>
    <mergeCell ref="K280:K281"/>
    <mergeCell ref="K282:K283"/>
    <mergeCell ref="M280:M281"/>
    <mergeCell ref="N280:N281"/>
    <mergeCell ref="M282:M283"/>
    <mergeCell ref="N282:N283"/>
    <mergeCell ref="K290:K291"/>
    <mergeCell ref="K292:K293"/>
    <mergeCell ref="K272:K275"/>
    <mergeCell ref="M272:M275"/>
    <mergeCell ref="K154:K157"/>
    <mergeCell ref="K202:K203"/>
    <mergeCell ref="M202:M203"/>
    <mergeCell ref="N202:N203"/>
    <mergeCell ref="K204:K207"/>
    <mergeCell ref="K208:K211"/>
    <mergeCell ref="M204:M207"/>
    <mergeCell ref="M208:M211"/>
    <mergeCell ref="N204:N207"/>
    <mergeCell ref="B2:N2"/>
    <mergeCell ref="K6:K7"/>
    <mergeCell ref="K8:K9"/>
    <mergeCell ref="M6:M7"/>
    <mergeCell ref="M8:M9"/>
    <mergeCell ref="N6:N7"/>
    <mergeCell ref="N8:N9"/>
    <mergeCell ref="K10:K11"/>
    <mergeCell ref="K12:K13"/>
    <mergeCell ref="M10:M11"/>
    <mergeCell ref="N10:N11"/>
    <mergeCell ref="M12:M13"/>
    <mergeCell ref="N12:N13"/>
    <mergeCell ref="K28:K29"/>
    <mergeCell ref="M28:M29"/>
    <mergeCell ref="N28:N29"/>
    <mergeCell ref="K30:K31"/>
    <mergeCell ref="M30:M31"/>
    <mergeCell ref="N30:N31"/>
    <mergeCell ref="K33:K34"/>
    <mergeCell ref="M33:M34"/>
    <mergeCell ref="K52:K53"/>
    <mergeCell ref="M52:M53"/>
    <mergeCell ref="N52:N53"/>
    <mergeCell ref="N33:N34"/>
    <mergeCell ref="K35:K36"/>
    <mergeCell ref="M35:M36"/>
    <mergeCell ref="N35:N36"/>
    <mergeCell ref="M102:M105"/>
    <mergeCell ref="K98:K101"/>
    <mergeCell ref="K106:K107"/>
    <mergeCell ref="M98:M101"/>
    <mergeCell ref="N102:N105"/>
    <mergeCell ref="M108:M109"/>
    <mergeCell ref="N108:N109"/>
    <mergeCell ref="K102:K105"/>
    <mergeCell ref="K108:K109"/>
    <mergeCell ref="N98:N101"/>
    <mergeCell ref="M106:M107"/>
    <mergeCell ref="N106:N107"/>
    <mergeCell ref="K118:K120"/>
    <mergeCell ref="K124:K126"/>
    <mergeCell ref="K130:K133"/>
    <mergeCell ref="K134:K137"/>
    <mergeCell ref="M134:M137"/>
    <mergeCell ref="M146:M147"/>
    <mergeCell ref="N134:N137"/>
    <mergeCell ref="M121:M123"/>
    <mergeCell ref="N121:N123"/>
    <mergeCell ref="K127:K129"/>
    <mergeCell ref="M127:M129"/>
    <mergeCell ref="N127:N129"/>
    <mergeCell ref="M118:M120"/>
    <mergeCell ref="N118:N120"/>
    <mergeCell ref="M124:M126"/>
    <mergeCell ref="N124:N126"/>
    <mergeCell ref="M130:M133"/>
    <mergeCell ref="N130:N133"/>
    <mergeCell ref="K121:K123"/>
    <mergeCell ref="N146:N147"/>
    <mergeCell ref="K146:K147"/>
    <mergeCell ref="M148:M149"/>
    <mergeCell ref="N148:N149"/>
    <mergeCell ref="M150:M153"/>
    <mergeCell ref="N150:N153"/>
    <mergeCell ref="M158:M160"/>
    <mergeCell ref="N158:N160"/>
    <mergeCell ref="N208:N211"/>
    <mergeCell ref="K408:K409"/>
    <mergeCell ref="M408:M409"/>
    <mergeCell ref="N408:N409"/>
    <mergeCell ref="K150:K153"/>
    <mergeCell ref="K158:K160"/>
    <mergeCell ref="K148:K149"/>
    <mergeCell ref="N272:N275"/>
    <mergeCell ref="M276:M279"/>
    <mergeCell ref="N276:N279"/>
    <mergeCell ref="K276:K279"/>
    <mergeCell ref="K246:K247"/>
    <mergeCell ref="M246:M247"/>
    <mergeCell ref="K161:K163"/>
    <mergeCell ref="M154:M157"/>
    <mergeCell ref="N154:N157"/>
    <mergeCell ref="M161:M163"/>
    <mergeCell ref="N161:N163"/>
    <mergeCell ref="K410:K411"/>
    <mergeCell ref="M410:M411"/>
    <mergeCell ref="N410:N411"/>
    <mergeCell ref="M290:M291"/>
    <mergeCell ref="N290:N291"/>
    <mergeCell ref="M292:M293"/>
    <mergeCell ref="N292:N293"/>
    <mergeCell ref="K304:K306"/>
    <mergeCell ref="M304:M306"/>
    <mergeCell ref="N304:N306"/>
    <mergeCell ref="K307:K309"/>
    <mergeCell ref="K364:K365"/>
    <mergeCell ref="M364:M365"/>
    <mergeCell ref="N364:N365"/>
    <mergeCell ref="K366:K367"/>
    <mergeCell ref="K372:K373"/>
    <mergeCell ref="M372:M373"/>
    <mergeCell ref="N372:N373"/>
    <mergeCell ref="K384:K387"/>
    <mergeCell ref="M384:M387"/>
    <mergeCell ref="N384:N387"/>
    <mergeCell ref="K368:K369"/>
    <mergeCell ref="M368:M369"/>
    <mergeCell ref="N368:N369"/>
    <mergeCell ref="K678:K680"/>
    <mergeCell ref="M678:M680"/>
    <mergeCell ref="N678:N680"/>
    <mergeCell ref="K681:K683"/>
    <mergeCell ref="M681:M683"/>
    <mergeCell ref="N681:N683"/>
    <mergeCell ref="K684:K688"/>
    <mergeCell ref="M684:M688"/>
    <mergeCell ref="N684:N688"/>
    <mergeCell ref="K724:K725"/>
    <mergeCell ref="M724:M725"/>
    <mergeCell ref="N724:N725"/>
    <mergeCell ref="K726:K727"/>
    <mergeCell ref="M726:M727"/>
    <mergeCell ref="N726:N727"/>
    <mergeCell ref="K689:K693"/>
    <mergeCell ref="M689:M693"/>
    <mergeCell ref="N689:N693"/>
    <mergeCell ref="K700:K701"/>
    <mergeCell ref="M700:M701"/>
    <mergeCell ref="N700:N701"/>
    <mergeCell ref="K702:K703"/>
    <mergeCell ref="M702:M703"/>
    <mergeCell ref="N702:N703"/>
    <mergeCell ref="K710:K711"/>
    <mergeCell ref="M710:M711"/>
    <mergeCell ref="N710:N711"/>
    <mergeCell ref="K712:K713"/>
    <mergeCell ref="M712:M713"/>
    <mergeCell ref="N712:N713"/>
    <mergeCell ref="K716:K717"/>
    <mergeCell ref="M716:M717"/>
    <mergeCell ref="N716:N717"/>
    <mergeCell ref="K756:K757"/>
    <mergeCell ref="M756:M757"/>
    <mergeCell ref="N756:N757"/>
    <mergeCell ref="K775:K778"/>
    <mergeCell ref="M775:M778"/>
    <mergeCell ref="N775:N778"/>
    <mergeCell ref="K779:K782"/>
    <mergeCell ref="M779:M782"/>
    <mergeCell ref="N779:N782"/>
    <mergeCell ref="K767:K770"/>
    <mergeCell ref="M767:M770"/>
    <mergeCell ref="N767:N770"/>
    <mergeCell ref="K771:K774"/>
    <mergeCell ref="M771:M774"/>
    <mergeCell ref="N771:N774"/>
    <mergeCell ref="K748:K750"/>
    <mergeCell ref="M748:M750"/>
    <mergeCell ref="N748:N750"/>
    <mergeCell ref="K751:K753"/>
    <mergeCell ref="M751:M753"/>
    <mergeCell ref="N751:N753"/>
    <mergeCell ref="K754:K755"/>
    <mergeCell ref="M754:M755"/>
    <mergeCell ref="N754:N755"/>
    <mergeCell ref="K788:K789"/>
    <mergeCell ref="M788:M789"/>
    <mergeCell ref="N788:N789"/>
    <mergeCell ref="K853:K854"/>
    <mergeCell ref="M853:M854"/>
    <mergeCell ref="N853:N854"/>
    <mergeCell ref="K841:K843"/>
    <mergeCell ref="M841:M843"/>
    <mergeCell ref="N841:N843"/>
    <mergeCell ref="K844:K846"/>
    <mergeCell ref="M844:M846"/>
    <mergeCell ref="N844:N846"/>
  </mergeCells>
  <phoneticPr fontId="39" type="noConversion"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342"/>
  <sheetViews>
    <sheetView topLeftCell="C1" workbookViewId="0">
      <selection activeCell="T79" sqref="T79"/>
    </sheetView>
  </sheetViews>
  <sheetFormatPr baseColWidth="10" defaultRowHeight="15"/>
  <cols>
    <col min="1" max="1" width="28.140625" style="54" customWidth="1"/>
    <col min="2" max="2" width="16.5703125" style="54" customWidth="1"/>
    <col min="3" max="3" width="11.42578125" style="54"/>
    <col min="4" max="4" width="9.85546875" style="54" customWidth="1"/>
    <col min="5" max="5" width="12.140625" style="54" customWidth="1"/>
    <col min="6" max="6" width="9.85546875" style="54" customWidth="1"/>
    <col min="7" max="7" width="11.7109375" style="54" customWidth="1"/>
    <col min="8" max="8" width="16.140625" style="54" customWidth="1"/>
    <col min="9" max="9" width="10" style="54" customWidth="1"/>
    <col min="10" max="10" width="11.42578125" style="54" customWidth="1"/>
    <col min="11" max="11" width="15" style="54" customWidth="1"/>
    <col min="12" max="12" width="11.42578125" style="55"/>
    <col min="13" max="13" width="12.7109375" style="121" customWidth="1"/>
    <col min="14" max="16" width="11.42578125" style="54"/>
    <col min="17" max="17" width="13.28515625" style="54" customWidth="1"/>
    <col min="18" max="19" width="11.42578125" style="54"/>
    <col min="20" max="20" width="12.5703125" style="54" bestFit="1" customWidth="1"/>
    <col min="21" max="22" width="13.5703125" style="54" bestFit="1" customWidth="1"/>
    <col min="23" max="23" width="14.5703125" style="54" bestFit="1" customWidth="1"/>
    <col min="24" max="16384" width="11.42578125" style="54"/>
  </cols>
  <sheetData>
    <row r="1" spans="1:23" s="69" customFormat="1">
      <c r="L1" s="85"/>
      <c r="M1" s="116"/>
    </row>
    <row r="2" spans="1:23" s="69" customFormat="1">
      <c r="B2" s="556" t="s">
        <v>205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T2" s="69" t="s">
        <v>300</v>
      </c>
      <c r="U2" s="69" t="s">
        <v>301</v>
      </c>
      <c r="V2" s="69" t="s">
        <v>302</v>
      </c>
      <c r="W2" s="69" t="s">
        <v>303</v>
      </c>
    </row>
    <row r="3" spans="1:23" s="69" customFormat="1" ht="45">
      <c r="A3" s="65" t="s">
        <v>207</v>
      </c>
      <c r="B3" s="76" t="s">
        <v>196</v>
      </c>
      <c r="C3" s="76" t="s">
        <v>197</v>
      </c>
      <c r="D3" s="76" t="s">
        <v>198</v>
      </c>
      <c r="E3" s="76" t="s">
        <v>208</v>
      </c>
      <c r="F3" s="76" t="s">
        <v>199</v>
      </c>
      <c r="G3" s="76" t="s">
        <v>210</v>
      </c>
      <c r="H3" s="76" t="s">
        <v>200</v>
      </c>
      <c r="I3" s="76" t="s">
        <v>201</v>
      </c>
      <c r="J3" s="76" t="s">
        <v>202</v>
      </c>
      <c r="K3" s="76" t="s">
        <v>203</v>
      </c>
      <c r="L3" s="86" t="s">
        <v>204</v>
      </c>
      <c r="M3" s="76" t="s">
        <v>141</v>
      </c>
      <c r="N3" s="76" t="s">
        <v>142</v>
      </c>
      <c r="O3" s="76" t="s">
        <v>143</v>
      </c>
      <c r="T3" s="69">
        <f>M6+M8+M11+M13+M15+M17+M59+M61+M76+M78+M192+M197+M199+M201+M203+M205+M218+M220+M222</f>
        <v>400.32800000000003</v>
      </c>
      <c r="U3" s="69">
        <f>M7+M9+M12+M14+M16+M18+M60+M62+M77+M79+M193+M195+M198+M200+M202+M204+M206+M219+M221+M223</f>
        <v>4892.3849999999993</v>
      </c>
      <c r="V3" s="69">
        <f>M4+M6+M19+M21+M24+M26+M28+M33+M35+M37+M39+M41+M43+M45+M47+M49+M51+M53+M55+M57+M63+M65+M67+M68+M70+M72+M80+M82+M84+M85+M88+M90+M92+M94+M102+M106+M108+M109+M112+M114+M115+M117+M118+M121+M123+M124+M126+M129+M131+M133+M134+M139+M140+M141+M142+M148+M150+M152+M154+M156+M158+M160+M162+M164+M166+M168+M170+M172+M174+M176+M178+M180+M182+M184+M186+M188+M190+M207+M209+M211+M213+M215+M217+M224</f>
        <v>5166.4520000000002</v>
      </c>
      <c r="W3" s="69">
        <f>M5+M7+M10+M20+M22+M23+M25+M27+M29+M30+M31+M32+M34+M36+M38+M40+M42+M44+M46+M48+M50+M52+M54+M56+M58+M64+M66+M69+M71+M73+M74+M75+M81+M83+M86+M87+M89+M91+M93+M95+M96+M97+M98+M99+M100+M101+M103+M104+M105+M107+M110+M111+M113+M116+M119+M120+M122+M125+M127+M128+M130+M132+M135+M136+M137+M138+M143+M144+M145+M146+M147+M149+M151+M153+M155+M157+M159+M161+M163+M165+M167+M169+M171+M173+M175+M177+M179+M181+M183+M185+M187+M189+M191+M194+M208+M210+M212+M214+M216+M225</f>
        <v>29386.718000000001</v>
      </c>
    </row>
    <row r="4" spans="1:23" s="73" customFormat="1" hidden="1">
      <c r="A4" s="176" t="s">
        <v>581</v>
      </c>
      <c r="B4" s="176" t="s">
        <v>331</v>
      </c>
      <c r="C4" s="124">
        <v>44615</v>
      </c>
      <c r="D4" s="147">
        <v>1</v>
      </c>
      <c r="E4" s="176" t="s">
        <v>582</v>
      </c>
      <c r="F4" s="176" t="s">
        <v>333</v>
      </c>
      <c r="G4" s="275" t="s">
        <v>211</v>
      </c>
      <c r="H4" s="176" t="s">
        <v>583</v>
      </c>
      <c r="I4" s="147">
        <v>964500</v>
      </c>
      <c r="J4" s="118"/>
      <c r="K4" s="176" t="s">
        <v>191</v>
      </c>
      <c r="L4" s="108">
        <v>260</v>
      </c>
      <c r="M4" s="82">
        <v>40.633000000000003</v>
      </c>
      <c r="N4" s="149">
        <f t="shared" ref="N4:N18" si="0">L4-M4</f>
        <v>219.36699999999999</v>
      </c>
      <c r="O4" s="148">
        <f t="shared" ref="O4:O18" si="1">M4/L4</f>
        <v>0.15628076923076925</v>
      </c>
    </row>
    <row r="5" spans="1:23" s="73" customFormat="1" hidden="1">
      <c r="A5" s="176" t="s">
        <v>581</v>
      </c>
      <c r="B5" s="176" t="s">
        <v>331</v>
      </c>
      <c r="C5" s="124">
        <v>44615</v>
      </c>
      <c r="D5" s="147">
        <v>1</v>
      </c>
      <c r="E5" s="176" t="s">
        <v>582</v>
      </c>
      <c r="F5" s="176" t="s">
        <v>333</v>
      </c>
      <c r="G5" s="275" t="s">
        <v>211</v>
      </c>
      <c r="H5" s="176" t="s">
        <v>583</v>
      </c>
      <c r="I5" s="147">
        <v>964500</v>
      </c>
      <c r="J5" s="118"/>
      <c r="K5" s="176" t="s">
        <v>192</v>
      </c>
      <c r="L5" s="108">
        <v>740</v>
      </c>
      <c r="M5" s="82">
        <v>959.36699999999996</v>
      </c>
      <c r="N5" s="178">
        <f t="shared" si="0"/>
        <v>-219.36699999999996</v>
      </c>
      <c r="O5" s="177">
        <f t="shared" si="1"/>
        <v>1.2964418918918919</v>
      </c>
    </row>
    <row r="6" spans="1:23" s="73" customFormat="1">
      <c r="A6" s="384" t="s">
        <v>338</v>
      </c>
      <c r="B6" s="384" t="s">
        <v>331</v>
      </c>
      <c r="C6" s="124">
        <v>44593</v>
      </c>
      <c r="D6" s="381">
        <v>263</v>
      </c>
      <c r="E6" s="381" t="s">
        <v>670</v>
      </c>
      <c r="F6" s="381" t="s">
        <v>333</v>
      </c>
      <c r="G6" s="384" t="s">
        <v>212</v>
      </c>
      <c r="H6" s="381" t="s">
        <v>553</v>
      </c>
      <c r="I6" s="381">
        <v>964021</v>
      </c>
      <c r="J6" s="118"/>
      <c r="K6" s="381" t="s">
        <v>191</v>
      </c>
      <c r="L6" s="108">
        <v>30</v>
      </c>
      <c r="M6" s="82">
        <v>17.814</v>
      </c>
      <c r="N6" s="382">
        <f t="shared" ref="N6:N7" si="2">L6-M6</f>
        <v>12.186</v>
      </c>
      <c r="O6" s="383">
        <f t="shared" ref="O6:O7" si="3">M6/L6</f>
        <v>0.59379999999999999</v>
      </c>
    </row>
    <row r="7" spans="1:23" s="73" customFormat="1">
      <c r="A7" s="384" t="s">
        <v>338</v>
      </c>
      <c r="B7" s="384" t="s">
        <v>331</v>
      </c>
      <c r="C7" s="124">
        <v>44593</v>
      </c>
      <c r="D7" s="381">
        <v>263</v>
      </c>
      <c r="E7" s="381" t="s">
        <v>670</v>
      </c>
      <c r="F7" s="381" t="s">
        <v>333</v>
      </c>
      <c r="G7" s="384" t="s">
        <v>212</v>
      </c>
      <c r="H7" s="381" t="s">
        <v>553</v>
      </c>
      <c r="I7" s="381">
        <v>964021</v>
      </c>
      <c r="J7" s="118"/>
      <c r="K7" s="381" t="s">
        <v>192</v>
      </c>
      <c r="L7" s="108">
        <v>30</v>
      </c>
      <c r="M7" s="82">
        <v>42.456000000000003</v>
      </c>
      <c r="N7" s="382">
        <f t="shared" si="2"/>
        <v>-12.456000000000003</v>
      </c>
      <c r="O7" s="383">
        <f t="shared" si="3"/>
        <v>1.4152</v>
      </c>
    </row>
    <row r="8" spans="1:23" s="73" customFormat="1">
      <c r="A8" s="183" t="s">
        <v>586</v>
      </c>
      <c r="B8" s="270" t="s">
        <v>331</v>
      </c>
      <c r="C8" s="124">
        <v>44616</v>
      </c>
      <c r="D8" s="147">
        <v>450</v>
      </c>
      <c r="E8" s="270" t="s">
        <v>670</v>
      </c>
      <c r="F8" s="183" t="s">
        <v>333</v>
      </c>
      <c r="G8" s="270" t="s">
        <v>212</v>
      </c>
      <c r="H8" s="183" t="s">
        <v>554</v>
      </c>
      <c r="I8" s="147">
        <v>965369</v>
      </c>
      <c r="J8" s="118"/>
      <c r="K8" s="183" t="s">
        <v>191</v>
      </c>
      <c r="L8" s="108">
        <v>37.86</v>
      </c>
      <c r="M8" s="82">
        <v>18.504999999999999</v>
      </c>
      <c r="N8" s="271">
        <f t="shared" si="0"/>
        <v>19.355</v>
      </c>
      <c r="O8" s="272">
        <f t="shared" si="1"/>
        <v>0.48877443211833066</v>
      </c>
    </row>
    <row r="9" spans="1:23" s="73" customFormat="1">
      <c r="A9" s="183" t="s">
        <v>586</v>
      </c>
      <c r="B9" s="270" t="s">
        <v>331</v>
      </c>
      <c r="C9" s="124">
        <v>44616</v>
      </c>
      <c r="D9" s="147">
        <v>450</v>
      </c>
      <c r="E9" s="270" t="s">
        <v>670</v>
      </c>
      <c r="F9" s="183" t="s">
        <v>333</v>
      </c>
      <c r="G9" s="270" t="s">
        <v>212</v>
      </c>
      <c r="H9" s="183" t="s">
        <v>554</v>
      </c>
      <c r="I9" s="147">
        <v>965369</v>
      </c>
      <c r="J9" s="118"/>
      <c r="K9" s="183" t="s">
        <v>192</v>
      </c>
      <c r="L9" s="108">
        <v>263</v>
      </c>
      <c r="M9" s="82">
        <v>282.69499999999999</v>
      </c>
      <c r="N9" s="271">
        <f t="shared" si="0"/>
        <v>-19.694999999999993</v>
      </c>
      <c r="O9" s="272">
        <f t="shared" si="1"/>
        <v>1.0748859315589354</v>
      </c>
    </row>
    <row r="10" spans="1:23" s="73" customFormat="1" hidden="1">
      <c r="A10" s="274" t="s">
        <v>698</v>
      </c>
      <c r="B10" s="198" t="s">
        <v>331</v>
      </c>
      <c r="C10" s="201">
        <v>44622</v>
      </c>
      <c r="D10" s="147">
        <v>542</v>
      </c>
      <c r="E10" s="274" t="s">
        <v>670</v>
      </c>
      <c r="F10" s="198" t="s">
        <v>342</v>
      </c>
      <c r="G10" s="275" t="s">
        <v>211</v>
      </c>
      <c r="H10" s="198" t="s">
        <v>636</v>
      </c>
      <c r="I10" s="147">
        <v>951220</v>
      </c>
      <c r="J10" s="118"/>
      <c r="K10" s="198" t="s">
        <v>192</v>
      </c>
      <c r="L10" s="108">
        <v>626.4</v>
      </c>
      <c r="M10" s="82">
        <v>626.4</v>
      </c>
      <c r="N10" s="200">
        <f t="shared" si="0"/>
        <v>0</v>
      </c>
      <c r="O10" s="199">
        <f t="shared" si="1"/>
        <v>1</v>
      </c>
    </row>
    <row r="11" spans="1:23" s="73" customFormat="1">
      <c r="A11" s="232" t="s">
        <v>338</v>
      </c>
      <c r="B11" s="232" t="s">
        <v>331</v>
      </c>
      <c r="C11" s="124">
        <v>44624</v>
      </c>
      <c r="D11" s="147">
        <v>575</v>
      </c>
      <c r="E11" s="274" t="s">
        <v>670</v>
      </c>
      <c r="F11" s="232" t="s">
        <v>333</v>
      </c>
      <c r="G11" s="274" t="s">
        <v>212</v>
      </c>
      <c r="H11" s="232" t="s">
        <v>552</v>
      </c>
      <c r="I11" s="147">
        <v>697263</v>
      </c>
      <c r="J11" s="118"/>
      <c r="K11" s="232" t="s">
        <v>191</v>
      </c>
      <c r="L11" s="108">
        <v>136</v>
      </c>
      <c r="M11" s="82">
        <v>38.341000000000001</v>
      </c>
      <c r="N11" s="149">
        <f t="shared" si="0"/>
        <v>97.658999999999992</v>
      </c>
      <c r="O11" s="148">
        <f t="shared" si="1"/>
        <v>0.28191911764705885</v>
      </c>
    </row>
    <row r="12" spans="1:23" s="73" customFormat="1">
      <c r="A12" s="232" t="s">
        <v>338</v>
      </c>
      <c r="B12" s="232" t="s">
        <v>331</v>
      </c>
      <c r="C12" s="124">
        <v>44624</v>
      </c>
      <c r="D12" s="147">
        <v>575</v>
      </c>
      <c r="E12" s="274" t="s">
        <v>670</v>
      </c>
      <c r="F12" s="232" t="s">
        <v>333</v>
      </c>
      <c r="G12" s="274" t="s">
        <v>212</v>
      </c>
      <c r="H12" s="232" t="s">
        <v>552</v>
      </c>
      <c r="I12" s="232">
        <v>697263</v>
      </c>
      <c r="J12" s="118"/>
      <c r="K12" s="232" t="s">
        <v>192</v>
      </c>
      <c r="L12" s="108">
        <v>200</v>
      </c>
      <c r="M12" s="82">
        <v>69.605000000000004</v>
      </c>
      <c r="N12" s="149">
        <f t="shared" si="0"/>
        <v>130.39499999999998</v>
      </c>
      <c r="O12" s="148">
        <f t="shared" si="1"/>
        <v>0.34802500000000003</v>
      </c>
    </row>
    <row r="13" spans="1:23" s="73" customFormat="1">
      <c r="A13" s="274" t="s">
        <v>687</v>
      </c>
      <c r="B13" s="232" t="s">
        <v>331</v>
      </c>
      <c r="C13" s="124">
        <v>44624</v>
      </c>
      <c r="D13" s="147">
        <v>578</v>
      </c>
      <c r="E13" s="274" t="s">
        <v>670</v>
      </c>
      <c r="F13" s="232" t="s">
        <v>342</v>
      </c>
      <c r="G13" s="274" t="s">
        <v>212</v>
      </c>
      <c r="H13" s="232" t="s">
        <v>556</v>
      </c>
      <c r="I13" s="147">
        <v>966686</v>
      </c>
      <c r="J13" s="118"/>
      <c r="K13" s="232" t="s">
        <v>191</v>
      </c>
      <c r="L13" s="108">
        <v>184</v>
      </c>
      <c r="M13" s="82">
        <v>80.909000000000006</v>
      </c>
      <c r="N13" s="234">
        <f t="shared" si="0"/>
        <v>103.09099999999999</v>
      </c>
      <c r="O13" s="233">
        <f t="shared" si="1"/>
        <v>0.43972282608695656</v>
      </c>
    </row>
    <row r="14" spans="1:23" s="73" customFormat="1">
      <c r="A14" s="274" t="s">
        <v>687</v>
      </c>
      <c r="B14" s="232" t="s">
        <v>331</v>
      </c>
      <c r="C14" s="124">
        <v>44624</v>
      </c>
      <c r="D14" s="147">
        <v>578</v>
      </c>
      <c r="E14" s="274" t="s">
        <v>670</v>
      </c>
      <c r="F14" s="232" t="s">
        <v>342</v>
      </c>
      <c r="G14" s="274" t="s">
        <v>212</v>
      </c>
      <c r="H14" s="232" t="s">
        <v>556</v>
      </c>
      <c r="I14" s="232">
        <v>966686</v>
      </c>
      <c r="J14" s="118"/>
      <c r="K14" s="232" t="s">
        <v>192</v>
      </c>
      <c r="L14" s="108">
        <v>366</v>
      </c>
      <c r="M14" s="82">
        <v>469.08100000000002</v>
      </c>
      <c r="N14" s="234">
        <f t="shared" si="0"/>
        <v>-103.08100000000002</v>
      </c>
      <c r="O14" s="233">
        <f t="shared" si="1"/>
        <v>1.2816420765027323</v>
      </c>
    </row>
    <row r="15" spans="1:23" s="73" customFormat="1">
      <c r="A15" s="274" t="s">
        <v>687</v>
      </c>
      <c r="B15" s="232" t="s">
        <v>331</v>
      </c>
      <c r="C15" s="124">
        <v>44624</v>
      </c>
      <c r="D15" s="147">
        <v>578</v>
      </c>
      <c r="E15" s="274" t="s">
        <v>670</v>
      </c>
      <c r="F15" s="232" t="s">
        <v>342</v>
      </c>
      <c r="G15" s="274" t="s">
        <v>212</v>
      </c>
      <c r="H15" s="232" t="s">
        <v>555</v>
      </c>
      <c r="I15" s="147">
        <v>951113</v>
      </c>
      <c r="J15" s="118"/>
      <c r="K15" s="232" t="s">
        <v>191</v>
      </c>
      <c r="L15" s="108">
        <v>184</v>
      </c>
      <c r="M15" s="82">
        <v>62.606000000000002</v>
      </c>
      <c r="N15" s="234">
        <f t="shared" si="0"/>
        <v>121.39400000000001</v>
      </c>
      <c r="O15" s="233">
        <f t="shared" si="1"/>
        <v>0.34025</v>
      </c>
    </row>
    <row r="16" spans="1:23" s="73" customFormat="1">
      <c r="A16" s="274" t="s">
        <v>687</v>
      </c>
      <c r="B16" s="232" t="s">
        <v>331</v>
      </c>
      <c r="C16" s="124">
        <v>44624</v>
      </c>
      <c r="D16" s="147">
        <v>578</v>
      </c>
      <c r="E16" s="274" t="s">
        <v>670</v>
      </c>
      <c r="F16" s="232" t="s">
        <v>342</v>
      </c>
      <c r="G16" s="274" t="s">
        <v>212</v>
      </c>
      <c r="H16" s="232" t="s">
        <v>555</v>
      </c>
      <c r="I16" s="232">
        <v>951113</v>
      </c>
      <c r="J16" s="118"/>
      <c r="K16" s="232" t="s">
        <v>192</v>
      </c>
      <c r="L16" s="108">
        <v>366</v>
      </c>
      <c r="M16" s="82">
        <v>486.37299999999999</v>
      </c>
      <c r="N16" s="234">
        <f t="shared" si="0"/>
        <v>-120.37299999999999</v>
      </c>
      <c r="O16" s="233">
        <f t="shared" si="1"/>
        <v>1.3288879781420764</v>
      </c>
    </row>
    <row r="17" spans="1:15">
      <c r="A17" s="251" t="s">
        <v>663</v>
      </c>
      <c r="B17" s="251" t="s">
        <v>331</v>
      </c>
      <c r="C17" s="124">
        <v>44628</v>
      </c>
      <c r="D17" s="147">
        <v>615</v>
      </c>
      <c r="E17" s="275" t="s">
        <v>670</v>
      </c>
      <c r="F17" s="251" t="s">
        <v>333</v>
      </c>
      <c r="G17" s="273" t="s">
        <v>212</v>
      </c>
      <c r="H17" s="251" t="s">
        <v>664</v>
      </c>
      <c r="I17" s="147">
        <v>6334</v>
      </c>
      <c r="J17" s="118"/>
      <c r="K17" s="251" t="s">
        <v>191</v>
      </c>
      <c r="L17" s="108">
        <v>75</v>
      </c>
      <c r="M17" s="82">
        <v>22.771999999999998</v>
      </c>
      <c r="N17" s="149">
        <f t="shared" si="0"/>
        <v>52.228000000000002</v>
      </c>
      <c r="O17" s="148">
        <f t="shared" si="1"/>
        <v>0.30362666666666666</v>
      </c>
    </row>
    <row r="18" spans="1:15">
      <c r="A18" s="251" t="s">
        <v>663</v>
      </c>
      <c r="B18" s="251" t="s">
        <v>331</v>
      </c>
      <c r="C18" s="124">
        <v>44628</v>
      </c>
      <c r="D18" s="270">
        <v>615</v>
      </c>
      <c r="E18" s="275" t="s">
        <v>670</v>
      </c>
      <c r="F18" s="251" t="s">
        <v>333</v>
      </c>
      <c r="G18" s="273" t="s">
        <v>212</v>
      </c>
      <c r="H18" s="251" t="s">
        <v>664</v>
      </c>
      <c r="I18" s="147">
        <v>6334</v>
      </c>
      <c r="J18" s="118"/>
      <c r="K18" s="251" t="s">
        <v>192</v>
      </c>
      <c r="L18" s="108">
        <v>190</v>
      </c>
      <c r="M18" s="82">
        <v>242.22800000000001</v>
      </c>
      <c r="N18" s="149">
        <f t="shared" si="0"/>
        <v>-52.228000000000009</v>
      </c>
      <c r="O18" s="148">
        <f t="shared" si="1"/>
        <v>1.2748842105263158</v>
      </c>
    </row>
    <row r="19" spans="1:15" hidden="1">
      <c r="A19" s="275" t="s">
        <v>688</v>
      </c>
      <c r="B19" s="273" t="s">
        <v>331</v>
      </c>
      <c r="C19" s="74">
        <v>44629</v>
      </c>
      <c r="D19" s="97">
        <v>633</v>
      </c>
      <c r="E19" s="273" t="s">
        <v>670</v>
      </c>
      <c r="F19" s="273" t="s">
        <v>333</v>
      </c>
      <c r="G19" s="273" t="s">
        <v>211</v>
      </c>
      <c r="H19" s="273" t="s">
        <v>686</v>
      </c>
      <c r="I19" s="97">
        <v>697771</v>
      </c>
      <c r="J19" s="97"/>
      <c r="K19" s="273" t="s">
        <v>191</v>
      </c>
      <c r="L19" s="87">
        <v>194.41</v>
      </c>
      <c r="M19" s="80">
        <v>200.17400000000001</v>
      </c>
      <c r="N19" s="271">
        <f t="shared" ref="N19" si="4">L19-M19</f>
        <v>-5.76400000000001</v>
      </c>
      <c r="O19" s="272">
        <f t="shared" ref="O19" si="5">M19/L19</f>
        <v>1.0296486806234249</v>
      </c>
    </row>
    <row r="20" spans="1:15" hidden="1">
      <c r="A20" s="275" t="s">
        <v>688</v>
      </c>
      <c r="B20" s="273" t="s">
        <v>331</v>
      </c>
      <c r="C20" s="74">
        <v>44629</v>
      </c>
      <c r="D20" s="273">
        <v>633</v>
      </c>
      <c r="E20" s="273" t="s">
        <v>670</v>
      </c>
      <c r="F20" s="273" t="s">
        <v>333</v>
      </c>
      <c r="G20" s="273" t="s">
        <v>211</v>
      </c>
      <c r="H20" s="273" t="s">
        <v>686</v>
      </c>
      <c r="I20" s="273">
        <v>697771</v>
      </c>
      <c r="J20" s="97"/>
      <c r="K20" s="273" t="s">
        <v>192</v>
      </c>
      <c r="L20" s="87">
        <v>363.59</v>
      </c>
      <c r="M20" s="80">
        <v>393.851</v>
      </c>
      <c r="N20" s="271">
        <f t="shared" ref="N20:N21" si="6">L20-M20</f>
        <v>-30.261000000000024</v>
      </c>
      <c r="O20" s="272">
        <f t="shared" ref="O20:O21" si="7">M20/L20</f>
        <v>1.083228361616106</v>
      </c>
    </row>
    <row r="21" spans="1:15" hidden="1">
      <c r="A21" s="275" t="s">
        <v>578</v>
      </c>
      <c r="B21" s="273" t="s">
        <v>331</v>
      </c>
      <c r="C21" s="74">
        <v>44629</v>
      </c>
      <c r="D21" s="105">
        <v>635</v>
      </c>
      <c r="E21" s="273" t="s">
        <v>670</v>
      </c>
      <c r="F21" s="273" t="s">
        <v>333</v>
      </c>
      <c r="G21" s="273" t="s">
        <v>211</v>
      </c>
      <c r="H21" s="273" t="s">
        <v>636</v>
      </c>
      <c r="I21" s="97">
        <v>951220</v>
      </c>
      <c r="J21" s="97"/>
      <c r="K21" s="273" t="s">
        <v>191</v>
      </c>
      <c r="L21" s="87">
        <v>200</v>
      </c>
      <c r="M21" s="80">
        <v>92.004999999999995</v>
      </c>
      <c r="N21" s="271">
        <f t="shared" si="6"/>
        <v>107.995</v>
      </c>
      <c r="O21" s="272">
        <f t="shared" si="7"/>
        <v>0.46002499999999996</v>
      </c>
    </row>
    <row r="22" spans="1:15" hidden="1">
      <c r="A22" s="275" t="s">
        <v>578</v>
      </c>
      <c r="B22" s="273" t="s">
        <v>331</v>
      </c>
      <c r="C22" s="74">
        <v>44629</v>
      </c>
      <c r="D22" s="273">
        <v>635</v>
      </c>
      <c r="E22" s="273" t="s">
        <v>670</v>
      </c>
      <c r="F22" s="273" t="s">
        <v>333</v>
      </c>
      <c r="G22" s="273" t="s">
        <v>211</v>
      </c>
      <c r="H22" s="273" t="s">
        <v>636</v>
      </c>
      <c r="I22" s="273">
        <v>951220</v>
      </c>
      <c r="J22" s="97"/>
      <c r="K22" s="273" t="s">
        <v>192</v>
      </c>
      <c r="L22" s="87">
        <v>400</v>
      </c>
      <c r="M22" s="80">
        <v>507.995</v>
      </c>
      <c r="N22" s="271">
        <f t="shared" ref="N22" si="8">L22-M22</f>
        <v>-107.995</v>
      </c>
      <c r="O22" s="272">
        <f t="shared" ref="O22" si="9">M22/L22</f>
        <v>1.2699875</v>
      </c>
    </row>
    <row r="23" spans="1:15" hidden="1">
      <c r="A23" s="291" t="s">
        <v>704</v>
      </c>
      <c r="B23" s="291" t="s">
        <v>331</v>
      </c>
      <c r="C23" s="74">
        <v>44651</v>
      </c>
      <c r="D23" s="105">
        <v>698</v>
      </c>
      <c r="E23" s="291" t="s">
        <v>670</v>
      </c>
      <c r="F23" s="291" t="s">
        <v>342</v>
      </c>
      <c r="G23" s="291" t="s">
        <v>211</v>
      </c>
      <c r="H23" s="291" t="s">
        <v>566</v>
      </c>
      <c r="I23" s="105">
        <v>916067</v>
      </c>
      <c r="J23" s="97"/>
      <c r="K23" s="291" t="s">
        <v>192</v>
      </c>
      <c r="L23" s="87">
        <v>939.6</v>
      </c>
      <c r="M23" s="80">
        <v>591.39800000000002</v>
      </c>
      <c r="N23" s="290">
        <f t="shared" ref="N23:N25" si="10">L23-M23</f>
        <v>348.202</v>
      </c>
      <c r="O23" s="292">
        <f t="shared" ref="O23:O25" si="11">M23/L23</f>
        <v>0.62941464452958706</v>
      </c>
    </row>
    <row r="24" spans="1:15" hidden="1">
      <c r="A24" s="305" t="s">
        <v>581</v>
      </c>
      <c r="B24" s="305" t="s">
        <v>331</v>
      </c>
      <c r="C24" s="74">
        <v>44658</v>
      </c>
      <c r="D24" s="97">
        <v>720</v>
      </c>
      <c r="E24" s="302" t="s">
        <v>582</v>
      </c>
      <c r="F24" s="305" t="s">
        <v>333</v>
      </c>
      <c r="G24" s="305" t="s">
        <v>211</v>
      </c>
      <c r="H24" s="305" t="s">
        <v>708</v>
      </c>
      <c r="I24" s="97">
        <v>925404</v>
      </c>
      <c r="J24" s="97"/>
      <c r="K24" s="305" t="s">
        <v>191</v>
      </c>
      <c r="L24" s="87">
        <v>100</v>
      </c>
      <c r="M24" s="80">
        <v>128.995</v>
      </c>
      <c r="N24" s="303">
        <f t="shared" si="10"/>
        <v>-28.995000000000005</v>
      </c>
      <c r="O24" s="304">
        <f t="shared" si="11"/>
        <v>1.2899500000000002</v>
      </c>
    </row>
    <row r="25" spans="1:15" hidden="1">
      <c r="A25" s="305" t="s">
        <v>581</v>
      </c>
      <c r="B25" s="305" t="s">
        <v>331</v>
      </c>
      <c r="C25" s="74">
        <v>44658</v>
      </c>
      <c r="D25" s="305">
        <v>720</v>
      </c>
      <c r="E25" s="302" t="s">
        <v>582</v>
      </c>
      <c r="F25" s="305" t="s">
        <v>333</v>
      </c>
      <c r="G25" s="305" t="s">
        <v>211</v>
      </c>
      <c r="H25" s="305" t="s">
        <v>708</v>
      </c>
      <c r="I25" s="305">
        <v>925404</v>
      </c>
      <c r="J25" s="97"/>
      <c r="K25" s="305" t="s">
        <v>192</v>
      </c>
      <c r="L25" s="87">
        <v>300</v>
      </c>
      <c r="M25" s="80"/>
      <c r="N25" s="303">
        <f t="shared" si="10"/>
        <v>300</v>
      </c>
      <c r="O25" s="304">
        <f t="shared" si="11"/>
        <v>0</v>
      </c>
    </row>
    <row r="26" spans="1:15" hidden="1">
      <c r="A26" s="307" t="s">
        <v>673</v>
      </c>
      <c r="B26" s="307" t="s">
        <v>331</v>
      </c>
      <c r="C26" s="124">
        <v>44664</v>
      </c>
      <c r="D26" s="307">
        <v>726</v>
      </c>
      <c r="E26" s="307" t="s">
        <v>670</v>
      </c>
      <c r="F26" s="307" t="s">
        <v>342</v>
      </c>
      <c r="G26" s="309" t="s">
        <v>211</v>
      </c>
      <c r="H26" s="309" t="s">
        <v>716</v>
      </c>
      <c r="I26" s="97">
        <v>965526</v>
      </c>
      <c r="J26" s="97"/>
      <c r="K26" s="309" t="s">
        <v>191</v>
      </c>
      <c r="L26" s="87">
        <v>10</v>
      </c>
      <c r="M26" s="80"/>
      <c r="N26" s="308">
        <f t="shared" ref="N26:N30" si="12">L26-M26</f>
        <v>10</v>
      </c>
      <c r="O26" s="310">
        <f t="shared" ref="O26:O30" si="13">M26/L26</f>
        <v>0</v>
      </c>
    </row>
    <row r="27" spans="1:15" hidden="1">
      <c r="A27" s="307" t="s">
        <v>673</v>
      </c>
      <c r="B27" s="307" t="s">
        <v>331</v>
      </c>
      <c r="C27" s="124">
        <v>44664</v>
      </c>
      <c r="D27" s="307">
        <v>726</v>
      </c>
      <c r="E27" s="307" t="s">
        <v>670</v>
      </c>
      <c r="F27" s="307" t="s">
        <v>342</v>
      </c>
      <c r="G27" s="309" t="s">
        <v>211</v>
      </c>
      <c r="H27" s="309" t="s">
        <v>716</v>
      </c>
      <c r="I27" s="309">
        <v>965526</v>
      </c>
      <c r="J27" s="105"/>
      <c r="K27" s="309" t="s">
        <v>192</v>
      </c>
      <c r="L27" s="87">
        <v>170</v>
      </c>
      <c r="M27" s="80">
        <v>180</v>
      </c>
      <c r="N27" s="308">
        <f t="shared" si="12"/>
        <v>-10</v>
      </c>
      <c r="O27" s="310">
        <f t="shared" si="13"/>
        <v>1.0588235294117647</v>
      </c>
    </row>
    <row r="28" spans="1:15" hidden="1">
      <c r="A28" s="317" t="s">
        <v>725</v>
      </c>
      <c r="B28" s="317" t="s">
        <v>331</v>
      </c>
      <c r="C28" s="74">
        <v>44671</v>
      </c>
      <c r="D28" s="97">
        <v>791</v>
      </c>
      <c r="E28" s="315" t="s">
        <v>670</v>
      </c>
      <c r="F28" s="317" t="s">
        <v>342</v>
      </c>
      <c r="G28" s="317" t="s">
        <v>211</v>
      </c>
      <c r="H28" s="317" t="s">
        <v>558</v>
      </c>
      <c r="I28" s="105">
        <v>951206</v>
      </c>
      <c r="J28" s="97"/>
      <c r="K28" s="317" t="s">
        <v>191</v>
      </c>
      <c r="L28" s="87">
        <v>1287.8520000000001</v>
      </c>
      <c r="M28" s="80">
        <v>1001.6</v>
      </c>
      <c r="N28" s="316">
        <f t="shared" si="12"/>
        <v>286.25200000000007</v>
      </c>
      <c r="O28" s="318">
        <f t="shared" si="13"/>
        <v>0.77772911794212374</v>
      </c>
    </row>
    <row r="29" spans="1:15" hidden="1">
      <c r="A29" s="317" t="s">
        <v>725</v>
      </c>
      <c r="B29" s="317" t="s">
        <v>331</v>
      </c>
      <c r="C29" s="74">
        <v>44671</v>
      </c>
      <c r="D29" s="317">
        <v>791</v>
      </c>
      <c r="E29" s="315" t="s">
        <v>670</v>
      </c>
      <c r="F29" s="317" t="s">
        <v>342</v>
      </c>
      <c r="G29" s="317" t="s">
        <v>211</v>
      </c>
      <c r="H29" s="317" t="s">
        <v>558</v>
      </c>
      <c r="I29" s="317">
        <v>951206</v>
      </c>
      <c r="J29" s="97"/>
      <c r="K29" s="317" t="s">
        <v>192</v>
      </c>
      <c r="L29" s="87">
        <v>939.6</v>
      </c>
      <c r="M29" s="80">
        <v>1224.3499999999999</v>
      </c>
      <c r="N29" s="316">
        <f t="shared" si="12"/>
        <v>-284.74999999999989</v>
      </c>
      <c r="O29" s="318">
        <f t="shared" si="13"/>
        <v>1.3030544912728819</v>
      </c>
    </row>
    <row r="30" spans="1:15" hidden="1">
      <c r="A30" s="321" t="s">
        <v>726</v>
      </c>
      <c r="B30" s="321" t="s">
        <v>331</v>
      </c>
      <c r="C30" s="74">
        <v>44676</v>
      </c>
      <c r="D30" s="105">
        <v>815</v>
      </c>
      <c r="E30" s="321" t="s">
        <v>670</v>
      </c>
      <c r="F30" s="321" t="s">
        <v>342</v>
      </c>
      <c r="G30" s="321" t="s">
        <v>211</v>
      </c>
      <c r="H30" s="321" t="s">
        <v>708</v>
      </c>
      <c r="I30" s="321">
        <v>925404</v>
      </c>
      <c r="J30" s="97"/>
      <c r="K30" s="321" t="s">
        <v>192</v>
      </c>
      <c r="L30" s="87">
        <v>312.2</v>
      </c>
      <c r="M30" s="80">
        <v>198.67</v>
      </c>
      <c r="N30" s="320">
        <f t="shared" si="12"/>
        <v>113.53</v>
      </c>
      <c r="O30" s="322">
        <f t="shared" si="13"/>
        <v>0.63635490070467648</v>
      </c>
    </row>
    <row r="31" spans="1:15" hidden="1">
      <c r="A31" s="321" t="s">
        <v>729</v>
      </c>
      <c r="B31" s="321" t="s">
        <v>331</v>
      </c>
      <c r="C31" s="74">
        <v>44676</v>
      </c>
      <c r="D31" s="105">
        <v>821</v>
      </c>
      <c r="E31" s="321" t="s">
        <v>670</v>
      </c>
      <c r="F31" s="321" t="s">
        <v>342</v>
      </c>
      <c r="G31" s="321" t="s">
        <v>211</v>
      </c>
      <c r="H31" s="321" t="s">
        <v>562</v>
      </c>
      <c r="I31" s="105">
        <v>961132</v>
      </c>
      <c r="J31" s="105"/>
      <c r="K31" s="321" t="s">
        <v>192</v>
      </c>
      <c r="L31" s="87">
        <v>156.6</v>
      </c>
      <c r="M31" s="80">
        <v>156.6</v>
      </c>
      <c r="N31" s="320">
        <f t="shared" ref="N31" si="14">L31-M31</f>
        <v>0</v>
      </c>
      <c r="O31" s="322">
        <f t="shared" ref="O31" si="15">M31/L31</f>
        <v>1</v>
      </c>
    </row>
    <row r="32" spans="1:15" hidden="1">
      <c r="A32" s="321" t="s">
        <v>730</v>
      </c>
      <c r="B32" s="321" t="s">
        <v>331</v>
      </c>
      <c r="C32" s="74">
        <v>44676</v>
      </c>
      <c r="D32" s="97">
        <v>822</v>
      </c>
      <c r="E32" s="321" t="s">
        <v>670</v>
      </c>
      <c r="F32" s="321" t="s">
        <v>342</v>
      </c>
      <c r="G32" s="321" t="s">
        <v>211</v>
      </c>
      <c r="H32" s="321" t="s">
        <v>567</v>
      </c>
      <c r="I32" s="97">
        <v>964972</v>
      </c>
      <c r="J32" s="97"/>
      <c r="K32" s="321" t="s">
        <v>192</v>
      </c>
      <c r="L32" s="87">
        <v>156.6</v>
      </c>
      <c r="M32" s="80">
        <v>156.6</v>
      </c>
      <c r="N32" s="320">
        <f t="shared" ref="N32:N34" si="16">L32-M32</f>
        <v>0</v>
      </c>
      <c r="O32" s="322">
        <f t="shared" ref="O32:O34" si="17">M32/L32</f>
        <v>1</v>
      </c>
    </row>
    <row r="33" spans="1:15" s="73" customFormat="1" hidden="1">
      <c r="A33" s="329" t="s">
        <v>687</v>
      </c>
      <c r="B33" s="329" t="s">
        <v>331</v>
      </c>
      <c r="C33" s="74">
        <v>44680</v>
      </c>
      <c r="D33" s="105">
        <v>841</v>
      </c>
      <c r="E33" s="329" t="s">
        <v>670</v>
      </c>
      <c r="F33" s="329" t="s">
        <v>342</v>
      </c>
      <c r="G33" s="329" t="s">
        <v>211</v>
      </c>
      <c r="H33" s="329" t="s">
        <v>562</v>
      </c>
      <c r="I33" s="329">
        <v>961132</v>
      </c>
      <c r="J33" s="105"/>
      <c r="K33" s="329" t="s">
        <v>191</v>
      </c>
      <c r="L33" s="87">
        <v>130</v>
      </c>
      <c r="M33" s="80">
        <v>105.68</v>
      </c>
      <c r="N33" s="327">
        <f t="shared" si="16"/>
        <v>24.319999999999993</v>
      </c>
      <c r="O33" s="328">
        <f t="shared" si="17"/>
        <v>0.81292307692307697</v>
      </c>
    </row>
    <row r="34" spans="1:15" s="73" customFormat="1" hidden="1">
      <c r="A34" s="329" t="s">
        <v>687</v>
      </c>
      <c r="B34" s="329" t="s">
        <v>331</v>
      </c>
      <c r="C34" s="74">
        <v>44680</v>
      </c>
      <c r="D34" s="329">
        <v>841</v>
      </c>
      <c r="E34" s="329" t="s">
        <v>670</v>
      </c>
      <c r="F34" s="329" t="s">
        <v>342</v>
      </c>
      <c r="G34" s="329" t="s">
        <v>211</v>
      </c>
      <c r="H34" s="329" t="s">
        <v>562</v>
      </c>
      <c r="I34" s="329">
        <v>961132</v>
      </c>
      <c r="J34" s="105"/>
      <c r="K34" s="329" t="s">
        <v>192</v>
      </c>
      <c r="L34" s="87">
        <v>260</v>
      </c>
      <c r="M34" s="80">
        <v>284.32</v>
      </c>
      <c r="N34" s="327">
        <f t="shared" si="16"/>
        <v>-24.319999999999993</v>
      </c>
      <c r="O34" s="328">
        <f t="shared" si="17"/>
        <v>1.0935384615384616</v>
      </c>
    </row>
    <row r="35" spans="1:15" s="73" customFormat="1" hidden="1">
      <c r="A35" s="329" t="s">
        <v>687</v>
      </c>
      <c r="B35" s="329" t="s">
        <v>331</v>
      </c>
      <c r="C35" s="74">
        <v>44680</v>
      </c>
      <c r="D35" s="329">
        <v>841</v>
      </c>
      <c r="E35" s="329" t="s">
        <v>670</v>
      </c>
      <c r="F35" s="329" t="s">
        <v>342</v>
      </c>
      <c r="G35" s="329" t="s">
        <v>211</v>
      </c>
      <c r="H35" s="329" t="s">
        <v>636</v>
      </c>
      <c r="I35" s="329">
        <v>951220</v>
      </c>
      <c r="J35" s="105"/>
      <c r="K35" s="329" t="s">
        <v>191</v>
      </c>
      <c r="L35" s="87">
        <v>130</v>
      </c>
      <c r="M35" s="80">
        <v>113.636</v>
      </c>
      <c r="N35" s="327">
        <f t="shared" ref="N35:N38" si="18">L35-M35</f>
        <v>16.364000000000004</v>
      </c>
      <c r="O35" s="328">
        <f t="shared" ref="O35:O38" si="19">M35/L35</f>
        <v>0.87412307692307689</v>
      </c>
    </row>
    <row r="36" spans="1:15" s="73" customFormat="1" hidden="1">
      <c r="A36" s="329" t="s">
        <v>687</v>
      </c>
      <c r="B36" s="329" t="s">
        <v>331</v>
      </c>
      <c r="C36" s="74">
        <v>44680</v>
      </c>
      <c r="D36" s="329">
        <v>841</v>
      </c>
      <c r="E36" s="329" t="s">
        <v>670</v>
      </c>
      <c r="F36" s="329" t="s">
        <v>342</v>
      </c>
      <c r="G36" s="329" t="s">
        <v>211</v>
      </c>
      <c r="H36" s="329" t="s">
        <v>636</v>
      </c>
      <c r="I36" s="329">
        <v>951220</v>
      </c>
      <c r="J36" s="105"/>
      <c r="K36" s="329" t="s">
        <v>192</v>
      </c>
      <c r="L36" s="87">
        <v>260</v>
      </c>
      <c r="M36" s="80">
        <v>276.322</v>
      </c>
      <c r="N36" s="327">
        <f t="shared" si="18"/>
        <v>-16.322000000000003</v>
      </c>
      <c r="O36" s="328">
        <f t="shared" si="19"/>
        <v>1.0627769230769231</v>
      </c>
    </row>
    <row r="37" spans="1:15" hidden="1">
      <c r="A37" s="329" t="s">
        <v>687</v>
      </c>
      <c r="B37" s="329" t="s">
        <v>331</v>
      </c>
      <c r="C37" s="74">
        <v>44680</v>
      </c>
      <c r="D37" s="329">
        <v>841</v>
      </c>
      <c r="E37" s="329" t="s">
        <v>670</v>
      </c>
      <c r="F37" s="329" t="s">
        <v>342</v>
      </c>
      <c r="G37" s="329" t="s">
        <v>211</v>
      </c>
      <c r="H37" s="329" t="s">
        <v>735</v>
      </c>
      <c r="I37" s="105">
        <v>957377</v>
      </c>
      <c r="J37" s="105"/>
      <c r="K37" s="329" t="s">
        <v>191</v>
      </c>
      <c r="L37" s="87">
        <v>130</v>
      </c>
      <c r="M37" s="80">
        <v>104.31</v>
      </c>
      <c r="N37" s="327">
        <f t="shared" si="18"/>
        <v>25.689999999999998</v>
      </c>
      <c r="O37" s="328">
        <f t="shared" si="19"/>
        <v>0.80238461538461536</v>
      </c>
    </row>
    <row r="38" spans="1:15" hidden="1">
      <c r="A38" s="329" t="s">
        <v>687</v>
      </c>
      <c r="B38" s="329" t="s">
        <v>331</v>
      </c>
      <c r="C38" s="74">
        <v>44680</v>
      </c>
      <c r="D38" s="329">
        <v>841</v>
      </c>
      <c r="E38" s="329" t="s">
        <v>670</v>
      </c>
      <c r="F38" s="329" t="s">
        <v>342</v>
      </c>
      <c r="G38" s="329" t="s">
        <v>211</v>
      </c>
      <c r="H38" s="329" t="s">
        <v>735</v>
      </c>
      <c r="I38" s="329">
        <v>957377</v>
      </c>
      <c r="J38" s="105"/>
      <c r="K38" s="329" t="s">
        <v>192</v>
      </c>
      <c r="L38" s="87">
        <v>260</v>
      </c>
      <c r="M38" s="80">
        <v>285.685</v>
      </c>
      <c r="N38" s="327">
        <f t="shared" si="18"/>
        <v>-25.685000000000002</v>
      </c>
      <c r="O38" s="328">
        <f t="shared" si="19"/>
        <v>1.0987884615384615</v>
      </c>
    </row>
    <row r="39" spans="1:15" hidden="1">
      <c r="A39" s="329" t="s">
        <v>687</v>
      </c>
      <c r="B39" s="329" t="s">
        <v>331</v>
      </c>
      <c r="C39" s="74">
        <v>44680</v>
      </c>
      <c r="D39" s="329">
        <v>841</v>
      </c>
      <c r="E39" s="329" t="s">
        <v>670</v>
      </c>
      <c r="F39" s="329" t="s">
        <v>342</v>
      </c>
      <c r="G39" s="329" t="s">
        <v>211</v>
      </c>
      <c r="H39" s="329" t="s">
        <v>568</v>
      </c>
      <c r="I39" s="105">
        <v>958703</v>
      </c>
      <c r="J39" s="105"/>
      <c r="K39" s="329" t="s">
        <v>191</v>
      </c>
      <c r="L39" s="87">
        <v>130</v>
      </c>
      <c r="M39" s="80">
        <v>83.915000000000006</v>
      </c>
      <c r="N39" s="327">
        <f t="shared" ref="N39:N62" si="20">L39-M39</f>
        <v>46.084999999999994</v>
      </c>
      <c r="O39" s="328">
        <f t="shared" ref="O39:O62" si="21">M39/L39</f>
        <v>0.64550000000000007</v>
      </c>
    </row>
    <row r="40" spans="1:15" hidden="1">
      <c r="A40" s="329" t="s">
        <v>687</v>
      </c>
      <c r="B40" s="329" t="s">
        <v>331</v>
      </c>
      <c r="C40" s="74">
        <v>44680</v>
      </c>
      <c r="D40" s="329">
        <v>841</v>
      </c>
      <c r="E40" s="329" t="s">
        <v>670</v>
      </c>
      <c r="F40" s="329" t="s">
        <v>342</v>
      </c>
      <c r="G40" s="329" t="s">
        <v>211</v>
      </c>
      <c r="H40" s="329" t="s">
        <v>568</v>
      </c>
      <c r="I40" s="329">
        <v>958703</v>
      </c>
      <c r="J40" s="105"/>
      <c r="K40" s="329" t="s">
        <v>192</v>
      </c>
      <c r="L40" s="87">
        <v>260</v>
      </c>
      <c r="M40" s="80">
        <v>306.06</v>
      </c>
      <c r="N40" s="327">
        <f t="shared" si="20"/>
        <v>-46.06</v>
      </c>
      <c r="O40" s="328">
        <f t="shared" si="21"/>
        <v>1.1771538461538462</v>
      </c>
    </row>
    <row r="41" spans="1:15" hidden="1">
      <c r="A41" s="329" t="s">
        <v>687</v>
      </c>
      <c r="B41" s="329" t="s">
        <v>331</v>
      </c>
      <c r="C41" s="74">
        <v>44680</v>
      </c>
      <c r="D41" s="329">
        <v>841</v>
      </c>
      <c r="E41" s="329" t="s">
        <v>670</v>
      </c>
      <c r="F41" s="329" t="s">
        <v>342</v>
      </c>
      <c r="G41" s="329" t="s">
        <v>211</v>
      </c>
      <c r="H41" s="329" t="s">
        <v>708</v>
      </c>
      <c r="I41" s="329">
        <v>925404</v>
      </c>
      <c r="J41" s="105"/>
      <c r="K41" s="329" t="s">
        <v>191</v>
      </c>
      <c r="L41" s="87">
        <v>130</v>
      </c>
      <c r="M41" s="80">
        <v>9.7129999999999992</v>
      </c>
      <c r="N41" s="327">
        <f t="shared" si="20"/>
        <v>120.28700000000001</v>
      </c>
      <c r="O41" s="328">
        <f t="shared" si="21"/>
        <v>7.4715384615384614E-2</v>
      </c>
    </row>
    <row r="42" spans="1:15" hidden="1">
      <c r="A42" s="329" t="s">
        <v>687</v>
      </c>
      <c r="B42" s="329" t="s">
        <v>331</v>
      </c>
      <c r="C42" s="74">
        <v>44680</v>
      </c>
      <c r="D42" s="329">
        <v>841</v>
      </c>
      <c r="E42" s="329" t="s">
        <v>670</v>
      </c>
      <c r="F42" s="329" t="s">
        <v>342</v>
      </c>
      <c r="G42" s="329" t="s">
        <v>211</v>
      </c>
      <c r="H42" s="329" t="s">
        <v>708</v>
      </c>
      <c r="I42" s="329">
        <v>925404</v>
      </c>
      <c r="J42" s="105"/>
      <c r="K42" s="329" t="s">
        <v>192</v>
      </c>
      <c r="L42" s="87">
        <v>260</v>
      </c>
      <c r="M42" s="80">
        <v>380.28699999999998</v>
      </c>
      <c r="N42" s="327">
        <f t="shared" si="20"/>
        <v>-120.28699999999998</v>
      </c>
      <c r="O42" s="328">
        <f t="shared" si="21"/>
        <v>1.4626423076923076</v>
      </c>
    </row>
    <row r="43" spans="1:15" hidden="1">
      <c r="A43" s="329" t="s">
        <v>687</v>
      </c>
      <c r="B43" s="329" t="s">
        <v>331</v>
      </c>
      <c r="C43" s="74">
        <v>44680</v>
      </c>
      <c r="D43" s="329">
        <v>841</v>
      </c>
      <c r="E43" s="329" t="s">
        <v>670</v>
      </c>
      <c r="F43" s="329" t="s">
        <v>342</v>
      </c>
      <c r="G43" s="329" t="s">
        <v>211</v>
      </c>
      <c r="H43" s="329" t="s">
        <v>387</v>
      </c>
      <c r="I43" s="97">
        <v>11718</v>
      </c>
      <c r="J43" s="97"/>
      <c r="K43" s="329" t="s">
        <v>191</v>
      </c>
      <c r="L43" s="87">
        <v>130</v>
      </c>
      <c r="M43" s="80">
        <f>73.211+18.724</f>
        <v>91.935000000000002</v>
      </c>
      <c r="N43" s="327">
        <f t="shared" si="20"/>
        <v>38.064999999999998</v>
      </c>
      <c r="O43" s="328">
        <f t="shared" si="21"/>
        <v>0.70719230769230768</v>
      </c>
    </row>
    <row r="44" spans="1:15" hidden="1">
      <c r="A44" s="329" t="s">
        <v>687</v>
      </c>
      <c r="B44" s="329" t="s">
        <v>331</v>
      </c>
      <c r="C44" s="74">
        <v>44680</v>
      </c>
      <c r="D44" s="329">
        <v>841</v>
      </c>
      <c r="E44" s="329" t="s">
        <v>670</v>
      </c>
      <c r="F44" s="329" t="s">
        <v>342</v>
      </c>
      <c r="G44" s="329" t="s">
        <v>211</v>
      </c>
      <c r="H44" s="329" t="s">
        <v>387</v>
      </c>
      <c r="I44" s="329">
        <v>11718</v>
      </c>
      <c r="J44" s="97"/>
      <c r="K44" s="329" t="s">
        <v>192</v>
      </c>
      <c r="L44" s="87">
        <v>260</v>
      </c>
      <c r="M44" s="80">
        <v>316.60399999999998</v>
      </c>
      <c r="N44" s="327">
        <f t="shared" si="20"/>
        <v>-56.603999999999985</v>
      </c>
      <c r="O44" s="328">
        <f t="shared" si="21"/>
        <v>1.2177076923076922</v>
      </c>
    </row>
    <row r="45" spans="1:15" hidden="1">
      <c r="A45" s="329" t="s">
        <v>687</v>
      </c>
      <c r="B45" s="329" t="s">
        <v>331</v>
      </c>
      <c r="C45" s="74">
        <v>44680</v>
      </c>
      <c r="D45" s="329">
        <v>841</v>
      </c>
      <c r="E45" s="329" t="s">
        <v>670</v>
      </c>
      <c r="F45" s="329" t="s">
        <v>342</v>
      </c>
      <c r="G45" s="329" t="s">
        <v>211</v>
      </c>
      <c r="H45" s="329" t="s">
        <v>564</v>
      </c>
      <c r="I45" s="97">
        <v>969610</v>
      </c>
      <c r="J45" s="97"/>
      <c r="K45" s="329" t="s">
        <v>191</v>
      </c>
      <c r="L45" s="87">
        <v>130</v>
      </c>
      <c r="M45" s="80">
        <v>78.838999999999999</v>
      </c>
      <c r="N45" s="327">
        <f t="shared" si="20"/>
        <v>51.161000000000001</v>
      </c>
      <c r="O45" s="328">
        <f t="shared" si="21"/>
        <v>0.60645384615384612</v>
      </c>
    </row>
    <row r="46" spans="1:15" hidden="1">
      <c r="A46" s="329" t="s">
        <v>687</v>
      </c>
      <c r="B46" s="329" t="s">
        <v>331</v>
      </c>
      <c r="C46" s="74">
        <v>44680</v>
      </c>
      <c r="D46" s="329">
        <v>841</v>
      </c>
      <c r="E46" s="329" t="s">
        <v>670</v>
      </c>
      <c r="F46" s="329" t="s">
        <v>342</v>
      </c>
      <c r="G46" s="329" t="s">
        <v>211</v>
      </c>
      <c r="H46" s="329" t="s">
        <v>564</v>
      </c>
      <c r="I46" s="329">
        <v>969610</v>
      </c>
      <c r="J46" s="97"/>
      <c r="K46" s="329" t="s">
        <v>192</v>
      </c>
      <c r="L46" s="87">
        <v>260</v>
      </c>
      <c r="M46" s="80">
        <v>237.39599999999999</v>
      </c>
      <c r="N46" s="327">
        <f t="shared" si="20"/>
        <v>22.604000000000013</v>
      </c>
      <c r="O46" s="328">
        <f t="shared" si="21"/>
        <v>0.91306153846153837</v>
      </c>
    </row>
    <row r="47" spans="1:15" hidden="1">
      <c r="A47" s="329" t="s">
        <v>687</v>
      </c>
      <c r="B47" s="329" t="s">
        <v>331</v>
      </c>
      <c r="C47" s="74">
        <v>44680</v>
      </c>
      <c r="D47" s="329">
        <v>841</v>
      </c>
      <c r="E47" s="329" t="s">
        <v>670</v>
      </c>
      <c r="F47" s="329" t="s">
        <v>342</v>
      </c>
      <c r="G47" s="329" t="s">
        <v>211</v>
      </c>
      <c r="H47" s="329" t="s">
        <v>557</v>
      </c>
      <c r="I47" s="97">
        <v>953746</v>
      </c>
      <c r="J47" s="97"/>
      <c r="K47" s="329" t="s">
        <v>191</v>
      </c>
      <c r="L47" s="87">
        <v>130</v>
      </c>
      <c r="M47" s="80">
        <v>24.091000000000001</v>
      </c>
      <c r="N47" s="327">
        <f t="shared" si="20"/>
        <v>105.90899999999999</v>
      </c>
      <c r="O47" s="328">
        <f t="shared" si="21"/>
        <v>0.18531538461538463</v>
      </c>
    </row>
    <row r="48" spans="1:15" hidden="1">
      <c r="A48" s="329" t="s">
        <v>687</v>
      </c>
      <c r="B48" s="329" t="s">
        <v>331</v>
      </c>
      <c r="C48" s="74">
        <v>44680</v>
      </c>
      <c r="D48" s="329">
        <v>841</v>
      </c>
      <c r="E48" s="329" t="s">
        <v>670</v>
      </c>
      <c r="F48" s="329" t="s">
        <v>342</v>
      </c>
      <c r="G48" s="329" t="s">
        <v>211</v>
      </c>
      <c r="H48" s="329" t="s">
        <v>557</v>
      </c>
      <c r="I48" s="329">
        <v>953746</v>
      </c>
      <c r="J48" s="97"/>
      <c r="K48" s="329" t="s">
        <v>192</v>
      </c>
      <c r="L48" s="87">
        <v>260</v>
      </c>
      <c r="M48" s="80">
        <v>365.86900000000003</v>
      </c>
      <c r="N48" s="327">
        <f t="shared" si="20"/>
        <v>-105.86900000000003</v>
      </c>
      <c r="O48" s="328">
        <f t="shared" si="21"/>
        <v>1.4071884615384616</v>
      </c>
    </row>
    <row r="49" spans="1:15" hidden="1">
      <c r="A49" s="329" t="s">
        <v>687</v>
      </c>
      <c r="B49" s="329" t="s">
        <v>331</v>
      </c>
      <c r="C49" s="74">
        <v>44680</v>
      </c>
      <c r="D49" s="329">
        <v>841</v>
      </c>
      <c r="E49" s="329" t="s">
        <v>670</v>
      </c>
      <c r="F49" s="329" t="s">
        <v>342</v>
      </c>
      <c r="G49" s="329" t="s">
        <v>211</v>
      </c>
      <c r="H49" s="329" t="s">
        <v>736</v>
      </c>
      <c r="I49" s="97">
        <v>950656</v>
      </c>
      <c r="J49" s="97"/>
      <c r="K49" s="329" t="s">
        <v>191</v>
      </c>
      <c r="L49" s="87">
        <v>130</v>
      </c>
      <c r="M49" s="80">
        <v>133.59399999999999</v>
      </c>
      <c r="N49" s="327">
        <f t="shared" si="20"/>
        <v>-3.5939999999999941</v>
      </c>
      <c r="O49" s="328">
        <f t="shared" si="21"/>
        <v>1.0276461538461539</v>
      </c>
    </row>
    <row r="50" spans="1:15" hidden="1">
      <c r="A50" s="329" t="s">
        <v>687</v>
      </c>
      <c r="B50" s="329" t="s">
        <v>331</v>
      </c>
      <c r="C50" s="74">
        <v>44680</v>
      </c>
      <c r="D50" s="329">
        <v>841</v>
      </c>
      <c r="E50" s="329" t="s">
        <v>670</v>
      </c>
      <c r="F50" s="329" t="s">
        <v>342</v>
      </c>
      <c r="G50" s="329" t="s">
        <v>211</v>
      </c>
      <c r="H50" s="329" t="s">
        <v>736</v>
      </c>
      <c r="I50" s="329">
        <v>950656</v>
      </c>
      <c r="J50" s="97"/>
      <c r="K50" s="329" t="s">
        <v>192</v>
      </c>
      <c r="L50" s="87">
        <v>260</v>
      </c>
      <c r="M50" s="80">
        <v>290.37400000000002</v>
      </c>
      <c r="N50" s="327">
        <f t="shared" si="20"/>
        <v>-30.374000000000024</v>
      </c>
      <c r="O50" s="328">
        <f t="shared" si="21"/>
        <v>1.1168230769230769</v>
      </c>
    </row>
    <row r="51" spans="1:15" hidden="1">
      <c r="A51" s="329" t="s">
        <v>687</v>
      </c>
      <c r="B51" s="329" t="s">
        <v>331</v>
      </c>
      <c r="C51" s="74">
        <v>44680</v>
      </c>
      <c r="D51" s="329">
        <v>841</v>
      </c>
      <c r="E51" s="329" t="s">
        <v>670</v>
      </c>
      <c r="F51" s="329" t="s">
        <v>342</v>
      </c>
      <c r="G51" s="329" t="s">
        <v>211</v>
      </c>
      <c r="H51" s="329" t="s">
        <v>583</v>
      </c>
      <c r="I51" s="97">
        <v>964500</v>
      </c>
      <c r="J51" s="97"/>
      <c r="K51" s="329" t="s">
        <v>191</v>
      </c>
      <c r="L51" s="87">
        <v>130</v>
      </c>
      <c r="M51" s="80">
        <v>154.47</v>
      </c>
      <c r="N51" s="327">
        <f t="shared" si="20"/>
        <v>-24.47</v>
      </c>
      <c r="O51" s="328">
        <f t="shared" si="21"/>
        <v>1.1882307692307692</v>
      </c>
    </row>
    <row r="52" spans="1:15" hidden="1">
      <c r="A52" s="329" t="s">
        <v>687</v>
      </c>
      <c r="B52" s="329" t="s">
        <v>331</v>
      </c>
      <c r="C52" s="74">
        <v>44680</v>
      </c>
      <c r="D52" s="329">
        <v>841</v>
      </c>
      <c r="E52" s="329" t="s">
        <v>670</v>
      </c>
      <c r="F52" s="329" t="s">
        <v>342</v>
      </c>
      <c r="G52" s="329" t="s">
        <v>211</v>
      </c>
      <c r="H52" s="329" t="s">
        <v>583</v>
      </c>
      <c r="I52" s="329">
        <v>964500</v>
      </c>
      <c r="J52" s="97"/>
      <c r="K52" s="329" t="s">
        <v>192</v>
      </c>
      <c r="L52" s="87">
        <v>260</v>
      </c>
      <c r="M52" s="80">
        <v>271.90300000000002</v>
      </c>
      <c r="N52" s="327">
        <f t="shared" si="20"/>
        <v>-11.90300000000002</v>
      </c>
      <c r="O52" s="328">
        <f t="shared" si="21"/>
        <v>1.0457807692307692</v>
      </c>
    </row>
    <row r="53" spans="1:15" hidden="1">
      <c r="A53" s="329" t="s">
        <v>687</v>
      </c>
      <c r="B53" s="329" t="s">
        <v>331</v>
      </c>
      <c r="C53" s="74">
        <v>44680</v>
      </c>
      <c r="D53" s="329">
        <v>841</v>
      </c>
      <c r="E53" s="329" t="s">
        <v>670</v>
      </c>
      <c r="F53" s="329" t="s">
        <v>342</v>
      </c>
      <c r="G53" s="329" t="s">
        <v>211</v>
      </c>
      <c r="H53" s="329" t="s">
        <v>566</v>
      </c>
      <c r="I53" s="97">
        <v>916067</v>
      </c>
      <c r="J53" s="97"/>
      <c r="K53" s="329" t="s">
        <v>191</v>
      </c>
      <c r="L53" s="87">
        <v>130</v>
      </c>
      <c r="M53" s="80">
        <f>49.654+26.825</f>
        <v>76.478999999999999</v>
      </c>
      <c r="N53" s="327">
        <f t="shared" si="20"/>
        <v>53.521000000000001</v>
      </c>
      <c r="O53" s="328">
        <f t="shared" si="21"/>
        <v>0.58830000000000005</v>
      </c>
    </row>
    <row r="54" spans="1:15" hidden="1">
      <c r="A54" s="329" t="s">
        <v>687</v>
      </c>
      <c r="B54" s="329" t="s">
        <v>331</v>
      </c>
      <c r="C54" s="74">
        <v>44680</v>
      </c>
      <c r="D54" s="329">
        <v>841</v>
      </c>
      <c r="E54" s="329" t="s">
        <v>670</v>
      </c>
      <c r="F54" s="329" t="s">
        <v>342</v>
      </c>
      <c r="G54" s="329" t="s">
        <v>211</v>
      </c>
      <c r="H54" s="329" t="s">
        <v>566</v>
      </c>
      <c r="I54" s="329">
        <v>916067</v>
      </c>
      <c r="J54" s="97"/>
      <c r="K54" s="329" t="s">
        <v>192</v>
      </c>
      <c r="L54" s="87">
        <v>260</v>
      </c>
      <c r="M54" s="80">
        <v>340.346</v>
      </c>
      <c r="N54" s="327">
        <f t="shared" si="20"/>
        <v>-80.346000000000004</v>
      </c>
      <c r="O54" s="328">
        <f t="shared" si="21"/>
        <v>1.3090230769230768</v>
      </c>
    </row>
    <row r="55" spans="1:15" hidden="1">
      <c r="A55" s="329" t="s">
        <v>687</v>
      </c>
      <c r="B55" s="329" t="s">
        <v>331</v>
      </c>
      <c r="C55" s="74">
        <v>44680</v>
      </c>
      <c r="D55" s="329">
        <v>841</v>
      </c>
      <c r="E55" s="329" t="s">
        <v>670</v>
      </c>
      <c r="F55" s="329" t="s">
        <v>342</v>
      </c>
      <c r="G55" s="329" t="s">
        <v>211</v>
      </c>
      <c r="H55" s="329" t="s">
        <v>567</v>
      </c>
      <c r="I55" s="97">
        <v>964972</v>
      </c>
      <c r="J55" s="97"/>
      <c r="K55" s="329" t="s">
        <v>191</v>
      </c>
      <c r="L55" s="87">
        <v>130</v>
      </c>
      <c r="M55" s="80">
        <f>50.798</f>
        <v>50.798000000000002</v>
      </c>
      <c r="N55" s="327">
        <f t="shared" si="20"/>
        <v>79.201999999999998</v>
      </c>
      <c r="O55" s="328">
        <f t="shared" si="21"/>
        <v>0.39075384615384617</v>
      </c>
    </row>
    <row r="56" spans="1:15" hidden="1">
      <c r="A56" s="329" t="s">
        <v>687</v>
      </c>
      <c r="B56" s="329" t="s">
        <v>331</v>
      </c>
      <c r="C56" s="74">
        <v>44680</v>
      </c>
      <c r="D56" s="329">
        <v>841</v>
      </c>
      <c r="E56" s="329" t="s">
        <v>670</v>
      </c>
      <c r="F56" s="329" t="s">
        <v>342</v>
      </c>
      <c r="G56" s="329" t="s">
        <v>211</v>
      </c>
      <c r="H56" s="329" t="s">
        <v>567</v>
      </c>
      <c r="I56" s="329">
        <v>964972</v>
      </c>
      <c r="J56" s="97"/>
      <c r="K56" s="329" t="s">
        <v>192</v>
      </c>
      <c r="L56" s="87">
        <v>260</v>
      </c>
      <c r="M56" s="80">
        <v>339.142</v>
      </c>
      <c r="N56" s="327">
        <f t="shared" si="20"/>
        <v>-79.141999999999996</v>
      </c>
      <c r="O56" s="328">
        <f t="shared" si="21"/>
        <v>1.3043923076923076</v>
      </c>
    </row>
    <row r="57" spans="1:15" hidden="1">
      <c r="A57" s="329" t="s">
        <v>687</v>
      </c>
      <c r="B57" s="329" t="s">
        <v>331</v>
      </c>
      <c r="C57" s="74">
        <v>44680</v>
      </c>
      <c r="D57" s="329">
        <v>841</v>
      </c>
      <c r="E57" s="329" t="s">
        <v>670</v>
      </c>
      <c r="F57" s="329" t="s">
        <v>342</v>
      </c>
      <c r="G57" s="329" t="s">
        <v>211</v>
      </c>
      <c r="H57" s="329" t="s">
        <v>565</v>
      </c>
      <c r="I57" s="105">
        <v>956926</v>
      </c>
      <c r="J57" s="97"/>
      <c r="K57" s="329" t="s">
        <v>191</v>
      </c>
      <c r="L57" s="87">
        <v>130</v>
      </c>
      <c r="M57" s="80">
        <v>69.573999999999998</v>
      </c>
      <c r="N57" s="327">
        <f t="shared" si="20"/>
        <v>60.426000000000002</v>
      </c>
      <c r="O57" s="328">
        <f t="shared" si="21"/>
        <v>0.53518461538461537</v>
      </c>
    </row>
    <row r="58" spans="1:15" hidden="1">
      <c r="A58" s="329" t="s">
        <v>687</v>
      </c>
      <c r="B58" s="329" t="s">
        <v>331</v>
      </c>
      <c r="C58" s="74">
        <v>44680</v>
      </c>
      <c r="D58" s="329">
        <v>841</v>
      </c>
      <c r="E58" s="329" t="s">
        <v>670</v>
      </c>
      <c r="F58" s="329" t="s">
        <v>342</v>
      </c>
      <c r="G58" s="329" t="s">
        <v>211</v>
      </c>
      <c r="H58" s="329" t="s">
        <v>565</v>
      </c>
      <c r="I58" s="329">
        <v>956926</v>
      </c>
      <c r="J58" s="97"/>
      <c r="K58" s="329" t="s">
        <v>192</v>
      </c>
      <c r="L58" s="87">
        <v>260</v>
      </c>
      <c r="M58" s="80">
        <v>632.89599999999996</v>
      </c>
      <c r="N58" s="327">
        <f t="shared" si="20"/>
        <v>-372.89599999999996</v>
      </c>
      <c r="O58" s="328">
        <f t="shared" si="21"/>
        <v>2.4342153846153844</v>
      </c>
    </row>
    <row r="59" spans="1:15">
      <c r="A59" s="341" t="s">
        <v>687</v>
      </c>
      <c r="B59" s="341" t="s">
        <v>331</v>
      </c>
      <c r="C59" s="74">
        <v>44686</v>
      </c>
      <c r="D59" s="105">
        <v>903</v>
      </c>
      <c r="E59" s="341" t="s">
        <v>670</v>
      </c>
      <c r="F59" s="341" t="s">
        <v>342</v>
      </c>
      <c r="G59" s="338" t="s">
        <v>212</v>
      </c>
      <c r="H59" s="338" t="s">
        <v>556</v>
      </c>
      <c r="I59" s="338">
        <v>966686</v>
      </c>
      <c r="J59" s="118"/>
      <c r="K59" s="338" t="s">
        <v>191</v>
      </c>
      <c r="L59" s="108">
        <v>133</v>
      </c>
      <c r="M59" s="82">
        <v>10.099</v>
      </c>
      <c r="N59" s="339">
        <f t="shared" si="20"/>
        <v>122.901</v>
      </c>
      <c r="O59" s="340">
        <f t="shared" si="21"/>
        <v>7.5932330827067671E-2</v>
      </c>
    </row>
    <row r="60" spans="1:15">
      <c r="A60" s="341" t="s">
        <v>687</v>
      </c>
      <c r="B60" s="341" t="s">
        <v>331</v>
      </c>
      <c r="C60" s="74">
        <v>44686</v>
      </c>
      <c r="D60" s="341">
        <v>903</v>
      </c>
      <c r="E60" s="341" t="s">
        <v>670</v>
      </c>
      <c r="F60" s="341" t="s">
        <v>342</v>
      </c>
      <c r="G60" s="338" t="s">
        <v>212</v>
      </c>
      <c r="H60" s="338" t="s">
        <v>556</v>
      </c>
      <c r="I60" s="338">
        <v>966686</v>
      </c>
      <c r="J60" s="118"/>
      <c r="K60" s="338" t="s">
        <v>192</v>
      </c>
      <c r="L60" s="108">
        <v>267</v>
      </c>
      <c r="M60" s="82">
        <v>389.62599999999998</v>
      </c>
      <c r="N60" s="339">
        <f t="shared" si="20"/>
        <v>-122.62599999999998</v>
      </c>
      <c r="O60" s="340">
        <f t="shared" si="21"/>
        <v>1.4592734082397003</v>
      </c>
    </row>
    <row r="61" spans="1:15">
      <c r="A61" s="341" t="s">
        <v>687</v>
      </c>
      <c r="B61" s="341" t="s">
        <v>331</v>
      </c>
      <c r="C61" s="74">
        <v>44686</v>
      </c>
      <c r="D61" s="341">
        <v>903</v>
      </c>
      <c r="E61" s="341" t="s">
        <v>670</v>
      </c>
      <c r="F61" s="341" t="s">
        <v>342</v>
      </c>
      <c r="G61" s="338" t="s">
        <v>212</v>
      </c>
      <c r="H61" s="338" t="s">
        <v>555</v>
      </c>
      <c r="I61" s="338">
        <v>951113</v>
      </c>
      <c r="J61" s="118"/>
      <c r="K61" s="338" t="s">
        <v>191</v>
      </c>
      <c r="L61" s="108">
        <v>133</v>
      </c>
      <c r="M61" s="82">
        <v>28.042999999999999</v>
      </c>
      <c r="N61" s="339">
        <f t="shared" si="20"/>
        <v>104.95699999999999</v>
      </c>
      <c r="O61" s="340">
        <f t="shared" si="21"/>
        <v>0.21084962406015037</v>
      </c>
    </row>
    <row r="62" spans="1:15">
      <c r="A62" s="341" t="s">
        <v>687</v>
      </c>
      <c r="B62" s="341" t="s">
        <v>331</v>
      </c>
      <c r="C62" s="74">
        <v>44686</v>
      </c>
      <c r="D62" s="341">
        <v>903</v>
      </c>
      <c r="E62" s="341" t="s">
        <v>670</v>
      </c>
      <c r="F62" s="341" t="s">
        <v>342</v>
      </c>
      <c r="G62" s="338" t="s">
        <v>212</v>
      </c>
      <c r="H62" s="338" t="s">
        <v>555</v>
      </c>
      <c r="I62" s="338">
        <v>951113</v>
      </c>
      <c r="J62" s="118"/>
      <c r="K62" s="338" t="s">
        <v>192</v>
      </c>
      <c r="L62" s="108">
        <v>267</v>
      </c>
      <c r="M62" s="82">
        <v>371.41699999999997</v>
      </c>
      <c r="N62" s="339">
        <f t="shared" si="20"/>
        <v>-104.41699999999997</v>
      </c>
      <c r="O62" s="340">
        <f t="shared" si="21"/>
        <v>1.3910749063670411</v>
      </c>
    </row>
    <row r="63" spans="1:15" hidden="1">
      <c r="A63" s="341" t="s">
        <v>687</v>
      </c>
      <c r="B63" s="341" t="s">
        <v>331</v>
      </c>
      <c r="C63" s="74">
        <v>44686</v>
      </c>
      <c r="D63" s="341">
        <v>903</v>
      </c>
      <c r="E63" s="341" t="s">
        <v>670</v>
      </c>
      <c r="F63" s="341" t="s">
        <v>342</v>
      </c>
      <c r="G63" s="341" t="s">
        <v>211</v>
      </c>
      <c r="H63" s="341" t="s">
        <v>563</v>
      </c>
      <c r="I63" s="97">
        <v>966133</v>
      </c>
      <c r="J63" s="97"/>
      <c r="K63" s="338" t="s">
        <v>191</v>
      </c>
      <c r="L63" s="108">
        <v>40</v>
      </c>
      <c r="M63" s="82">
        <v>20.727</v>
      </c>
      <c r="N63" s="339">
        <f t="shared" ref="N63:N64" si="22">L63-M63</f>
        <v>19.273</v>
      </c>
      <c r="O63" s="340">
        <f t="shared" ref="O63:O64" si="23">M63/L63</f>
        <v>0.51817500000000005</v>
      </c>
    </row>
    <row r="64" spans="1:15" hidden="1">
      <c r="A64" s="341" t="s">
        <v>687</v>
      </c>
      <c r="B64" s="341" t="s">
        <v>331</v>
      </c>
      <c r="C64" s="74">
        <v>44686</v>
      </c>
      <c r="D64" s="341">
        <v>903</v>
      </c>
      <c r="E64" s="341" t="s">
        <v>670</v>
      </c>
      <c r="F64" s="341" t="s">
        <v>342</v>
      </c>
      <c r="G64" s="341" t="s">
        <v>211</v>
      </c>
      <c r="H64" s="341" t="s">
        <v>563</v>
      </c>
      <c r="I64" s="341">
        <v>966133</v>
      </c>
      <c r="J64" s="97"/>
      <c r="K64" s="338" t="s">
        <v>192</v>
      </c>
      <c r="L64" s="108">
        <v>80</v>
      </c>
      <c r="M64" s="82">
        <v>80</v>
      </c>
      <c r="N64" s="339">
        <f t="shared" si="22"/>
        <v>0</v>
      </c>
      <c r="O64" s="340">
        <f t="shared" si="23"/>
        <v>1</v>
      </c>
    </row>
    <row r="65" spans="1:15" hidden="1">
      <c r="A65" s="341" t="s">
        <v>687</v>
      </c>
      <c r="B65" s="341" t="s">
        <v>331</v>
      </c>
      <c r="C65" s="74">
        <v>44686</v>
      </c>
      <c r="D65" s="341">
        <v>903</v>
      </c>
      <c r="E65" s="341" t="s">
        <v>670</v>
      </c>
      <c r="F65" s="341" t="s">
        <v>342</v>
      </c>
      <c r="G65" s="341" t="s">
        <v>211</v>
      </c>
      <c r="H65" s="341" t="s">
        <v>686</v>
      </c>
      <c r="I65" s="341">
        <v>697771</v>
      </c>
      <c r="J65" s="97"/>
      <c r="K65" s="338" t="s">
        <v>191</v>
      </c>
      <c r="L65" s="108">
        <v>40</v>
      </c>
      <c r="M65" s="82"/>
      <c r="N65" s="339">
        <f t="shared" ref="N65:N69" si="24">L65-M65</f>
        <v>40</v>
      </c>
      <c r="O65" s="340">
        <f t="shared" ref="O65:O69" si="25">M65/L65</f>
        <v>0</v>
      </c>
    </row>
    <row r="66" spans="1:15" hidden="1">
      <c r="A66" s="341" t="s">
        <v>687</v>
      </c>
      <c r="B66" s="341" t="s">
        <v>331</v>
      </c>
      <c r="C66" s="74">
        <v>44686</v>
      </c>
      <c r="D66" s="341">
        <v>903</v>
      </c>
      <c r="E66" s="341" t="s">
        <v>670</v>
      </c>
      <c r="F66" s="341" t="s">
        <v>342</v>
      </c>
      <c r="G66" s="341" t="s">
        <v>211</v>
      </c>
      <c r="H66" s="341" t="s">
        <v>686</v>
      </c>
      <c r="I66" s="341">
        <v>697771</v>
      </c>
      <c r="J66" s="97"/>
      <c r="K66" s="338" t="s">
        <v>192</v>
      </c>
      <c r="L66" s="108">
        <v>80</v>
      </c>
      <c r="M66" s="82">
        <v>120</v>
      </c>
      <c r="N66" s="339">
        <f t="shared" si="24"/>
        <v>-40</v>
      </c>
      <c r="O66" s="340">
        <f t="shared" si="25"/>
        <v>1.5</v>
      </c>
    </row>
    <row r="67" spans="1:15" hidden="1">
      <c r="A67" s="341" t="s">
        <v>744</v>
      </c>
      <c r="B67" s="341" t="s">
        <v>331</v>
      </c>
      <c r="C67" s="74">
        <v>44687</v>
      </c>
      <c r="D67" s="105">
        <v>932</v>
      </c>
      <c r="E67" s="341" t="s">
        <v>670</v>
      </c>
      <c r="F67" s="341" t="s">
        <v>342</v>
      </c>
      <c r="G67" s="341" t="s">
        <v>211</v>
      </c>
      <c r="H67" s="341" t="s">
        <v>562</v>
      </c>
      <c r="I67" s="341">
        <v>961132</v>
      </c>
      <c r="J67" s="341"/>
      <c r="K67" s="341" t="s">
        <v>191</v>
      </c>
      <c r="L67" s="87">
        <v>746.58</v>
      </c>
      <c r="M67" s="80">
        <v>582.71500000000003</v>
      </c>
      <c r="N67" s="339">
        <f t="shared" si="24"/>
        <v>163.86500000000001</v>
      </c>
      <c r="O67" s="340">
        <f t="shared" si="25"/>
        <v>0.78051247019743364</v>
      </c>
    </row>
    <row r="68" spans="1:15" hidden="1">
      <c r="A68" s="341" t="s">
        <v>745</v>
      </c>
      <c r="B68" s="341" t="s">
        <v>331</v>
      </c>
      <c r="C68" s="74">
        <v>44687</v>
      </c>
      <c r="D68" s="105">
        <v>931</v>
      </c>
      <c r="E68" s="341" t="s">
        <v>670</v>
      </c>
      <c r="F68" s="341" t="s">
        <v>333</v>
      </c>
      <c r="G68" s="341" t="s">
        <v>211</v>
      </c>
      <c r="H68" s="341" t="s">
        <v>567</v>
      </c>
      <c r="I68" s="341">
        <v>964972</v>
      </c>
      <c r="J68" s="341"/>
      <c r="K68" s="341" t="s">
        <v>191</v>
      </c>
      <c r="L68" s="87">
        <v>350</v>
      </c>
      <c r="M68" s="80">
        <v>240.352</v>
      </c>
      <c r="N68" s="339">
        <f t="shared" si="24"/>
        <v>109.648</v>
      </c>
      <c r="O68" s="340">
        <f t="shared" si="25"/>
        <v>0.68672</v>
      </c>
    </row>
    <row r="69" spans="1:15" hidden="1">
      <c r="A69" s="341" t="s">
        <v>745</v>
      </c>
      <c r="B69" s="341" t="s">
        <v>331</v>
      </c>
      <c r="C69" s="74">
        <v>44687</v>
      </c>
      <c r="D69" s="341">
        <v>931</v>
      </c>
      <c r="E69" s="341" t="s">
        <v>670</v>
      </c>
      <c r="F69" s="341" t="s">
        <v>333</v>
      </c>
      <c r="G69" s="341" t="s">
        <v>211</v>
      </c>
      <c r="H69" s="341" t="s">
        <v>567</v>
      </c>
      <c r="I69" s="341">
        <v>964972</v>
      </c>
      <c r="J69" s="341"/>
      <c r="K69" s="341" t="s">
        <v>192</v>
      </c>
      <c r="L69" s="87">
        <v>650</v>
      </c>
      <c r="M69" s="80">
        <v>759.64800000000002</v>
      </c>
      <c r="N69" s="339">
        <f t="shared" si="24"/>
        <v>-109.64800000000002</v>
      </c>
      <c r="O69" s="340">
        <f t="shared" si="25"/>
        <v>1.1686892307692307</v>
      </c>
    </row>
    <row r="70" spans="1:15" hidden="1">
      <c r="A70" s="341" t="s">
        <v>745</v>
      </c>
      <c r="B70" s="341" t="s">
        <v>331</v>
      </c>
      <c r="C70" s="74">
        <v>44687</v>
      </c>
      <c r="D70" s="341">
        <v>931</v>
      </c>
      <c r="E70" s="341" t="s">
        <v>670</v>
      </c>
      <c r="F70" s="341" t="s">
        <v>333</v>
      </c>
      <c r="G70" s="341" t="s">
        <v>211</v>
      </c>
      <c r="H70" s="341" t="s">
        <v>562</v>
      </c>
      <c r="I70" s="341">
        <v>961132</v>
      </c>
      <c r="J70" s="118"/>
      <c r="K70" s="341" t="s">
        <v>191</v>
      </c>
      <c r="L70" s="87">
        <v>350</v>
      </c>
      <c r="M70" s="80">
        <v>76.974000000000004</v>
      </c>
      <c r="N70" s="339">
        <f t="shared" ref="N70:N74" si="26">L70-M70</f>
        <v>273.02600000000001</v>
      </c>
      <c r="O70" s="340">
        <f t="shared" ref="O70:O74" si="27">M70/L70</f>
        <v>0.21992571428571431</v>
      </c>
    </row>
    <row r="71" spans="1:15" hidden="1">
      <c r="A71" s="341" t="s">
        <v>745</v>
      </c>
      <c r="B71" s="341" t="s">
        <v>331</v>
      </c>
      <c r="C71" s="74">
        <v>44687</v>
      </c>
      <c r="D71" s="341">
        <v>931</v>
      </c>
      <c r="E71" s="341" t="s">
        <v>670</v>
      </c>
      <c r="F71" s="341" t="s">
        <v>333</v>
      </c>
      <c r="G71" s="341" t="s">
        <v>211</v>
      </c>
      <c r="H71" s="341" t="s">
        <v>562</v>
      </c>
      <c r="I71" s="341">
        <v>961132</v>
      </c>
      <c r="J71" s="118"/>
      <c r="K71" s="341" t="s">
        <v>192</v>
      </c>
      <c r="L71" s="87">
        <v>650</v>
      </c>
      <c r="M71" s="80">
        <v>544.35400000000004</v>
      </c>
      <c r="N71" s="339">
        <f t="shared" si="26"/>
        <v>105.64599999999996</v>
      </c>
      <c r="O71" s="340">
        <f t="shared" si="27"/>
        <v>0.83746769230769236</v>
      </c>
    </row>
    <row r="72" spans="1:15" hidden="1">
      <c r="A72" s="341" t="s">
        <v>745</v>
      </c>
      <c r="B72" s="341" t="s">
        <v>331</v>
      </c>
      <c r="C72" s="74">
        <v>44687</v>
      </c>
      <c r="D72" s="341">
        <v>931</v>
      </c>
      <c r="E72" s="341" t="s">
        <v>670</v>
      </c>
      <c r="F72" s="341" t="s">
        <v>333</v>
      </c>
      <c r="G72" s="341" t="s">
        <v>211</v>
      </c>
      <c r="H72" s="341" t="s">
        <v>686</v>
      </c>
      <c r="I72" s="341">
        <v>697771</v>
      </c>
      <c r="J72" s="341"/>
      <c r="K72" s="338" t="s">
        <v>191</v>
      </c>
      <c r="L72" s="108">
        <v>175</v>
      </c>
      <c r="M72" s="82">
        <v>69.533000000000001</v>
      </c>
      <c r="N72" s="339">
        <f t="shared" si="26"/>
        <v>105.467</v>
      </c>
      <c r="O72" s="340">
        <f t="shared" si="27"/>
        <v>0.39733142857142856</v>
      </c>
    </row>
    <row r="73" spans="1:15" hidden="1">
      <c r="A73" s="341" t="s">
        <v>745</v>
      </c>
      <c r="B73" s="341" t="s">
        <v>331</v>
      </c>
      <c r="C73" s="74">
        <v>44687</v>
      </c>
      <c r="D73" s="341">
        <v>931</v>
      </c>
      <c r="E73" s="341" t="s">
        <v>670</v>
      </c>
      <c r="F73" s="341" t="s">
        <v>333</v>
      </c>
      <c r="G73" s="341" t="s">
        <v>211</v>
      </c>
      <c r="H73" s="341" t="s">
        <v>686</v>
      </c>
      <c r="I73" s="341">
        <v>697771</v>
      </c>
      <c r="J73" s="341"/>
      <c r="K73" s="338" t="s">
        <v>192</v>
      </c>
      <c r="L73" s="108">
        <v>325</v>
      </c>
      <c r="M73" s="82">
        <v>430.46699999999998</v>
      </c>
      <c r="N73" s="339">
        <f t="shared" si="26"/>
        <v>-105.46699999999998</v>
      </c>
      <c r="O73" s="340">
        <f t="shared" si="27"/>
        <v>1.3245138461538462</v>
      </c>
    </row>
    <row r="74" spans="1:15" hidden="1">
      <c r="A74" s="347" t="s">
        <v>754</v>
      </c>
      <c r="B74" s="347" t="s">
        <v>331</v>
      </c>
      <c r="C74" s="124">
        <v>44699</v>
      </c>
      <c r="D74" s="106">
        <v>1030</v>
      </c>
      <c r="E74" s="347" t="s">
        <v>670</v>
      </c>
      <c r="F74" s="347" t="s">
        <v>333</v>
      </c>
      <c r="G74" s="350" t="s">
        <v>211</v>
      </c>
      <c r="H74" s="350" t="s">
        <v>387</v>
      </c>
      <c r="I74" s="350">
        <v>11718</v>
      </c>
      <c r="J74" s="350"/>
      <c r="K74" s="350" t="s">
        <v>192</v>
      </c>
      <c r="L74" s="87">
        <v>388</v>
      </c>
      <c r="M74" s="80">
        <v>377.75700000000001</v>
      </c>
      <c r="N74" s="348">
        <f t="shared" si="26"/>
        <v>10.242999999999995</v>
      </c>
      <c r="O74" s="349">
        <f t="shared" si="27"/>
        <v>0.97360051546391757</v>
      </c>
    </row>
    <row r="75" spans="1:15" hidden="1">
      <c r="A75" s="347" t="s">
        <v>755</v>
      </c>
      <c r="B75" s="347" t="s">
        <v>331</v>
      </c>
      <c r="C75" s="124">
        <v>44701</v>
      </c>
      <c r="D75" s="106">
        <v>1041</v>
      </c>
      <c r="E75" s="347" t="s">
        <v>670</v>
      </c>
      <c r="F75" s="347" t="s">
        <v>333</v>
      </c>
      <c r="G75" s="350" t="s">
        <v>211</v>
      </c>
      <c r="H75" s="350" t="s">
        <v>569</v>
      </c>
      <c r="I75" s="105">
        <v>698145</v>
      </c>
      <c r="J75" s="106"/>
      <c r="K75" s="350" t="s">
        <v>192</v>
      </c>
      <c r="L75" s="87">
        <v>267</v>
      </c>
      <c r="M75" s="80">
        <v>262.67500000000001</v>
      </c>
      <c r="N75" s="348">
        <f t="shared" ref="N75:N83" si="28">L75-M75</f>
        <v>4.3249999999999886</v>
      </c>
      <c r="O75" s="349">
        <f t="shared" ref="O75:O83" si="29">M75/L75</f>
        <v>0.98380149812734086</v>
      </c>
    </row>
    <row r="76" spans="1:15">
      <c r="A76" s="347" t="s">
        <v>705</v>
      </c>
      <c r="B76" s="347" t="s">
        <v>331</v>
      </c>
      <c r="C76" s="124">
        <v>44701</v>
      </c>
      <c r="D76" s="106">
        <v>1042</v>
      </c>
      <c r="E76" s="347" t="s">
        <v>670</v>
      </c>
      <c r="F76" s="347" t="s">
        <v>333</v>
      </c>
      <c r="G76" s="350" t="s">
        <v>212</v>
      </c>
      <c r="H76" s="347" t="s">
        <v>555</v>
      </c>
      <c r="I76" s="347">
        <v>951113</v>
      </c>
      <c r="J76" s="118"/>
      <c r="K76" s="347" t="s">
        <v>191</v>
      </c>
      <c r="L76" s="108">
        <v>142</v>
      </c>
      <c r="M76" s="82">
        <v>12.532999999999999</v>
      </c>
      <c r="N76" s="348">
        <f t="shared" si="28"/>
        <v>129.46700000000001</v>
      </c>
      <c r="O76" s="349">
        <f t="shared" si="29"/>
        <v>8.8260563380281681E-2</v>
      </c>
    </row>
    <row r="77" spans="1:15">
      <c r="A77" s="347" t="s">
        <v>705</v>
      </c>
      <c r="B77" s="347" t="s">
        <v>331</v>
      </c>
      <c r="C77" s="124">
        <v>44701</v>
      </c>
      <c r="D77" s="347">
        <v>1042</v>
      </c>
      <c r="E77" s="347" t="s">
        <v>670</v>
      </c>
      <c r="F77" s="347" t="s">
        <v>333</v>
      </c>
      <c r="G77" s="350" t="s">
        <v>212</v>
      </c>
      <c r="H77" s="347" t="s">
        <v>555</v>
      </c>
      <c r="I77" s="347">
        <v>951113</v>
      </c>
      <c r="J77" s="118"/>
      <c r="K77" s="347" t="s">
        <v>192</v>
      </c>
      <c r="L77" s="108">
        <v>250</v>
      </c>
      <c r="M77" s="82">
        <v>379.46699999999998</v>
      </c>
      <c r="N77" s="348">
        <f t="shared" si="28"/>
        <v>-129.46699999999998</v>
      </c>
      <c r="O77" s="349">
        <f t="shared" si="29"/>
        <v>1.517868</v>
      </c>
    </row>
    <row r="78" spans="1:15">
      <c r="A78" s="347" t="s">
        <v>705</v>
      </c>
      <c r="B78" s="347" t="s">
        <v>331</v>
      </c>
      <c r="C78" s="124">
        <v>44701</v>
      </c>
      <c r="D78" s="347">
        <v>1042</v>
      </c>
      <c r="E78" s="347" t="s">
        <v>670</v>
      </c>
      <c r="F78" s="347" t="s">
        <v>333</v>
      </c>
      <c r="G78" s="350" t="s">
        <v>212</v>
      </c>
      <c r="H78" s="347" t="s">
        <v>556</v>
      </c>
      <c r="I78" s="347">
        <v>966686</v>
      </c>
      <c r="J78" s="118"/>
      <c r="K78" s="347" t="s">
        <v>191</v>
      </c>
      <c r="L78" s="108">
        <v>142</v>
      </c>
      <c r="M78" s="82"/>
      <c r="N78" s="348">
        <f t="shared" si="28"/>
        <v>142</v>
      </c>
      <c r="O78" s="349">
        <f t="shared" si="29"/>
        <v>0</v>
      </c>
    </row>
    <row r="79" spans="1:15">
      <c r="A79" s="347" t="s">
        <v>705</v>
      </c>
      <c r="B79" s="347" t="s">
        <v>331</v>
      </c>
      <c r="C79" s="124">
        <v>44701</v>
      </c>
      <c r="D79" s="347">
        <v>1042</v>
      </c>
      <c r="E79" s="347" t="s">
        <v>670</v>
      </c>
      <c r="F79" s="347" t="s">
        <v>333</v>
      </c>
      <c r="G79" s="350" t="s">
        <v>212</v>
      </c>
      <c r="H79" s="347" t="s">
        <v>556</v>
      </c>
      <c r="I79" s="347">
        <v>966686</v>
      </c>
      <c r="J79" s="118"/>
      <c r="K79" s="347" t="s">
        <v>192</v>
      </c>
      <c r="L79" s="108">
        <v>250</v>
      </c>
      <c r="M79" s="82"/>
      <c r="N79" s="348">
        <f t="shared" si="28"/>
        <v>250</v>
      </c>
      <c r="O79" s="349">
        <f t="shared" si="29"/>
        <v>0</v>
      </c>
    </row>
    <row r="80" spans="1:15" hidden="1">
      <c r="A80" s="357" t="s">
        <v>755</v>
      </c>
      <c r="B80" s="357" t="s">
        <v>331</v>
      </c>
      <c r="C80" s="74">
        <v>44678</v>
      </c>
      <c r="D80" s="97">
        <v>828</v>
      </c>
      <c r="E80" s="359" t="s">
        <v>670</v>
      </c>
      <c r="F80" s="359" t="s">
        <v>333</v>
      </c>
      <c r="G80" s="359" t="s">
        <v>211</v>
      </c>
      <c r="H80" s="359" t="s">
        <v>567</v>
      </c>
      <c r="I80" s="359">
        <v>964972</v>
      </c>
      <c r="J80" s="359"/>
      <c r="K80" s="359" t="s">
        <v>191</v>
      </c>
      <c r="L80" s="87">
        <v>148.40799999999999</v>
      </c>
      <c r="M80" s="80">
        <v>104.211</v>
      </c>
      <c r="N80" s="358">
        <f t="shared" si="28"/>
        <v>44.196999999999989</v>
      </c>
      <c r="O80" s="360">
        <f t="shared" si="29"/>
        <v>0.70219260417228191</v>
      </c>
    </row>
    <row r="81" spans="1:15" hidden="1">
      <c r="A81" s="357" t="s">
        <v>755</v>
      </c>
      <c r="B81" s="357" t="s">
        <v>331</v>
      </c>
      <c r="C81" s="74">
        <v>44678</v>
      </c>
      <c r="D81" s="359">
        <v>828</v>
      </c>
      <c r="E81" s="359" t="s">
        <v>670</v>
      </c>
      <c r="F81" s="359" t="s">
        <v>333</v>
      </c>
      <c r="G81" s="359" t="s">
        <v>211</v>
      </c>
      <c r="H81" s="359" t="s">
        <v>567</v>
      </c>
      <c r="I81" s="359">
        <v>964972</v>
      </c>
      <c r="J81" s="359"/>
      <c r="K81" s="359" t="s">
        <v>192</v>
      </c>
      <c r="L81" s="87">
        <v>250</v>
      </c>
      <c r="M81" s="80">
        <v>294.197</v>
      </c>
      <c r="N81" s="358">
        <f t="shared" si="28"/>
        <v>-44.197000000000003</v>
      </c>
      <c r="O81" s="360">
        <f t="shared" si="29"/>
        <v>1.1767879999999999</v>
      </c>
    </row>
    <row r="82" spans="1:15" hidden="1">
      <c r="A82" s="97" t="s">
        <v>745</v>
      </c>
      <c r="B82" s="97" t="s">
        <v>331</v>
      </c>
      <c r="C82" s="74">
        <v>44725</v>
      </c>
      <c r="D82" s="97">
        <v>1220</v>
      </c>
      <c r="E82" s="105" t="s">
        <v>670</v>
      </c>
      <c r="F82" s="105" t="s">
        <v>333</v>
      </c>
      <c r="G82" s="105" t="s">
        <v>211</v>
      </c>
      <c r="H82" s="97" t="s">
        <v>686</v>
      </c>
      <c r="I82" s="97">
        <v>697771</v>
      </c>
      <c r="J82" s="97"/>
      <c r="K82" s="105" t="s">
        <v>191</v>
      </c>
      <c r="L82" s="103">
        <v>175</v>
      </c>
      <c r="M82" s="80">
        <v>18.204999999999998</v>
      </c>
      <c r="N82" s="104">
        <f t="shared" si="28"/>
        <v>156.79500000000002</v>
      </c>
      <c r="O82" s="77">
        <f t="shared" si="29"/>
        <v>0.10402857142857141</v>
      </c>
    </row>
    <row r="83" spans="1:15" hidden="1">
      <c r="A83" s="105" t="s">
        <v>745</v>
      </c>
      <c r="B83" s="105" t="s">
        <v>331</v>
      </c>
      <c r="C83" s="74">
        <v>44725</v>
      </c>
      <c r="D83" s="105">
        <v>1220</v>
      </c>
      <c r="E83" s="105" t="s">
        <v>670</v>
      </c>
      <c r="F83" s="105" t="s">
        <v>333</v>
      </c>
      <c r="G83" s="105" t="s">
        <v>211</v>
      </c>
      <c r="H83" s="97" t="s">
        <v>686</v>
      </c>
      <c r="I83" s="97">
        <v>697771</v>
      </c>
      <c r="J83" s="97"/>
      <c r="K83" s="105" t="s">
        <v>192</v>
      </c>
      <c r="L83" s="103">
        <v>325</v>
      </c>
      <c r="M83" s="80">
        <v>404.07600000000002</v>
      </c>
      <c r="N83" s="104">
        <f t="shared" si="28"/>
        <v>-79.076000000000022</v>
      </c>
      <c r="O83" s="77">
        <f t="shared" si="29"/>
        <v>1.2433107692307692</v>
      </c>
    </row>
    <row r="84" spans="1:15" hidden="1">
      <c r="A84" s="105" t="s">
        <v>745</v>
      </c>
      <c r="B84" s="105" t="s">
        <v>766</v>
      </c>
      <c r="C84" s="74">
        <v>44725</v>
      </c>
      <c r="D84" s="105">
        <v>1220</v>
      </c>
      <c r="E84" s="105" t="s">
        <v>670</v>
      </c>
      <c r="F84" s="105" t="s">
        <v>333</v>
      </c>
      <c r="G84" s="105" t="s">
        <v>211</v>
      </c>
      <c r="H84" s="97" t="s">
        <v>562</v>
      </c>
      <c r="I84" s="97">
        <v>961132</v>
      </c>
      <c r="J84" s="97"/>
      <c r="K84" s="105" t="s">
        <v>191</v>
      </c>
      <c r="L84" s="579">
        <v>350</v>
      </c>
      <c r="M84" s="80"/>
      <c r="N84" s="581">
        <f>L84-(M84+M85)</f>
        <v>306.34199999999998</v>
      </c>
      <c r="O84" s="564">
        <f>(M84+M85)/L84</f>
        <v>0.12473714285714287</v>
      </c>
    </row>
    <row r="85" spans="1:15" hidden="1">
      <c r="A85" s="105" t="s">
        <v>745</v>
      </c>
      <c r="B85" s="105" t="s">
        <v>766</v>
      </c>
      <c r="C85" s="74">
        <v>44725</v>
      </c>
      <c r="D85" s="97">
        <v>1220</v>
      </c>
      <c r="E85" s="105" t="s">
        <v>670</v>
      </c>
      <c r="F85" s="105" t="s">
        <v>333</v>
      </c>
      <c r="G85" s="105" t="s">
        <v>211</v>
      </c>
      <c r="H85" s="105" t="s">
        <v>569</v>
      </c>
      <c r="I85" s="105">
        <v>698145</v>
      </c>
      <c r="J85" s="105"/>
      <c r="K85" s="105" t="s">
        <v>191</v>
      </c>
      <c r="L85" s="580"/>
      <c r="M85" s="80">
        <v>43.658000000000001</v>
      </c>
      <c r="N85" s="582"/>
      <c r="O85" s="565"/>
    </row>
    <row r="86" spans="1:15" hidden="1">
      <c r="A86" s="105" t="s">
        <v>745</v>
      </c>
      <c r="B86" s="105" t="s">
        <v>766</v>
      </c>
      <c r="C86" s="74">
        <v>44725</v>
      </c>
      <c r="D86" s="105">
        <v>1220</v>
      </c>
      <c r="E86" s="105" t="s">
        <v>670</v>
      </c>
      <c r="F86" s="105" t="s">
        <v>333</v>
      </c>
      <c r="G86" s="105" t="s">
        <v>211</v>
      </c>
      <c r="H86" s="105" t="s">
        <v>562</v>
      </c>
      <c r="I86" s="105">
        <v>961132</v>
      </c>
      <c r="J86" s="105"/>
      <c r="K86" s="105" t="s">
        <v>192</v>
      </c>
      <c r="L86" s="570">
        <v>650</v>
      </c>
      <c r="M86" s="80"/>
      <c r="N86" s="573">
        <f>L86-(M86+M87)</f>
        <v>308.20100000000002</v>
      </c>
      <c r="O86" s="576">
        <f>(M86+M87)/L86</f>
        <v>0.52584461538461535</v>
      </c>
    </row>
    <row r="87" spans="1:15" hidden="1">
      <c r="A87" s="105" t="s">
        <v>745</v>
      </c>
      <c r="B87" s="105" t="s">
        <v>766</v>
      </c>
      <c r="C87" s="74">
        <v>44725</v>
      </c>
      <c r="D87" s="105">
        <v>1220</v>
      </c>
      <c r="E87" s="105" t="s">
        <v>670</v>
      </c>
      <c r="F87" s="105" t="s">
        <v>333</v>
      </c>
      <c r="G87" s="105" t="s">
        <v>211</v>
      </c>
      <c r="H87" s="105" t="s">
        <v>569</v>
      </c>
      <c r="I87" s="105">
        <v>698145</v>
      </c>
      <c r="J87" s="105"/>
      <c r="K87" s="105" t="s">
        <v>192</v>
      </c>
      <c r="L87" s="572"/>
      <c r="M87" s="80">
        <v>341.79899999999998</v>
      </c>
      <c r="N87" s="575"/>
      <c r="O87" s="578"/>
    </row>
    <row r="88" spans="1:15" hidden="1">
      <c r="A88" s="366" t="s">
        <v>705</v>
      </c>
      <c r="B88" s="366" t="s">
        <v>331</v>
      </c>
      <c r="C88" s="74">
        <v>44726</v>
      </c>
      <c r="D88" s="105">
        <v>1222</v>
      </c>
      <c r="E88" s="366" t="s">
        <v>670</v>
      </c>
      <c r="F88" s="366" t="s">
        <v>333</v>
      </c>
      <c r="G88" s="366" t="s">
        <v>211</v>
      </c>
      <c r="H88" s="366" t="s">
        <v>583</v>
      </c>
      <c r="I88" s="105">
        <v>964500</v>
      </c>
      <c r="J88" s="105"/>
      <c r="K88" s="366" t="s">
        <v>191</v>
      </c>
      <c r="L88" s="103">
        <v>150</v>
      </c>
      <c r="M88" s="80">
        <v>26.550999999999998</v>
      </c>
      <c r="N88" s="104">
        <f t="shared" ref="N88:N91" si="30">L88-M88</f>
        <v>123.449</v>
      </c>
      <c r="O88" s="367">
        <f t="shared" ref="O88:O91" si="31">M88/L88</f>
        <v>0.17700666666666665</v>
      </c>
    </row>
    <row r="89" spans="1:15" hidden="1">
      <c r="A89" s="366" t="s">
        <v>705</v>
      </c>
      <c r="B89" s="366" t="s">
        <v>331</v>
      </c>
      <c r="C89" s="74">
        <v>44726</v>
      </c>
      <c r="D89" s="366">
        <v>1222</v>
      </c>
      <c r="E89" s="366" t="s">
        <v>670</v>
      </c>
      <c r="F89" s="366" t="s">
        <v>333</v>
      </c>
      <c r="G89" s="366" t="s">
        <v>211</v>
      </c>
      <c r="H89" s="366" t="s">
        <v>583</v>
      </c>
      <c r="I89" s="366">
        <v>964500</v>
      </c>
      <c r="J89" s="97"/>
      <c r="K89" s="366" t="s">
        <v>192</v>
      </c>
      <c r="L89" s="103">
        <v>250</v>
      </c>
      <c r="M89" s="80">
        <v>373.44900000000001</v>
      </c>
      <c r="N89" s="104">
        <f t="shared" si="30"/>
        <v>-123.44900000000001</v>
      </c>
      <c r="O89" s="367">
        <f t="shared" si="31"/>
        <v>1.4937960000000001</v>
      </c>
    </row>
    <row r="90" spans="1:15" hidden="1">
      <c r="A90" s="366" t="s">
        <v>705</v>
      </c>
      <c r="B90" s="366" t="s">
        <v>331</v>
      </c>
      <c r="C90" s="74">
        <v>44726</v>
      </c>
      <c r="D90" s="366">
        <v>1222</v>
      </c>
      <c r="E90" s="366" t="s">
        <v>670</v>
      </c>
      <c r="F90" s="366" t="s">
        <v>333</v>
      </c>
      <c r="G90" s="366" t="s">
        <v>211</v>
      </c>
      <c r="H90" s="366" t="s">
        <v>560</v>
      </c>
      <c r="I90" s="105">
        <v>915627</v>
      </c>
      <c r="J90" s="97"/>
      <c r="K90" s="366" t="s">
        <v>191</v>
      </c>
      <c r="L90" s="103">
        <v>150</v>
      </c>
      <c r="M90" s="80">
        <v>5.8949999999999996</v>
      </c>
      <c r="N90" s="104">
        <f t="shared" si="30"/>
        <v>144.10499999999999</v>
      </c>
      <c r="O90" s="367">
        <f t="shared" si="31"/>
        <v>3.9299999999999995E-2</v>
      </c>
    </row>
    <row r="91" spans="1:15" hidden="1">
      <c r="A91" s="366" t="s">
        <v>705</v>
      </c>
      <c r="B91" s="366" t="s">
        <v>331</v>
      </c>
      <c r="C91" s="74">
        <v>44726</v>
      </c>
      <c r="D91" s="366">
        <v>1222</v>
      </c>
      <c r="E91" s="366" t="s">
        <v>670</v>
      </c>
      <c r="F91" s="366" t="s">
        <v>333</v>
      </c>
      <c r="G91" s="366" t="s">
        <v>211</v>
      </c>
      <c r="H91" s="366" t="s">
        <v>560</v>
      </c>
      <c r="I91" s="366">
        <v>915627</v>
      </c>
      <c r="J91" s="105"/>
      <c r="K91" s="366" t="s">
        <v>192</v>
      </c>
      <c r="L91" s="103">
        <v>153</v>
      </c>
      <c r="M91" s="80">
        <v>68.763999999999996</v>
      </c>
      <c r="N91" s="104">
        <f t="shared" si="30"/>
        <v>84.236000000000004</v>
      </c>
      <c r="O91" s="367">
        <f t="shared" si="31"/>
        <v>0.44943790849673199</v>
      </c>
    </row>
    <row r="92" spans="1:15" hidden="1">
      <c r="A92" s="366" t="s">
        <v>631</v>
      </c>
      <c r="B92" s="366" t="s">
        <v>331</v>
      </c>
      <c r="C92" s="74">
        <v>44726</v>
      </c>
      <c r="D92" s="105">
        <v>1223</v>
      </c>
      <c r="E92" s="366" t="s">
        <v>670</v>
      </c>
      <c r="F92" s="366" t="s">
        <v>333</v>
      </c>
      <c r="G92" s="366" t="s">
        <v>211</v>
      </c>
      <c r="H92" s="366" t="s">
        <v>735</v>
      </c>
      <c r="I92" s="105">
        <v>957377</v>
      </c>
      <c r="J92" s="105"/>
      <c r="K92" s="366" t="s">
        <v>191</v>
      </c>
      <c r="L92" s="103">
        <v>1</v>
      </c>
      <c r="M92" s="80">
        <v>130.32900000000001</v>
      </c>
      <c r="N92" s="104">
        <f t="shared" ref="N92:N95" si="32">L92-M92</f>
        <v>-129.32900000000001</v>
      </c>
      <c r="O92" s="367">
        <f t="shared" ref="O92:O95" si="33">M92/L92</f>
        <v>130.32900000000001</v>
      </c>
    </row>
    <row r="93" spans="1:15" hidden="1">
      <c r="A93" s="366" t="s">
        <v>631</v>
      </c>
      <c r="B93" s="366" t="s">
        <v>331</v>
      </c>
      <c r="C93" s="74">
        <v>44726</v>
      </c>
      <c r="D93" s="366">
        <v>1223</v>
      </c>
      <c r="E93" s="366" t="s">
        <v>670</v>
      </c>
      <c r="F93" s="366" t="s">
        <v>333</v>
      </c>
      <c r="G93" s="366" t="s">
        <v>211</v>
      </c>
      <c r="H93" s="366" t="s">
        <v>735</v>
      </c>
      <c r="I93" s="366">
        <v>957377</v>
      </c>
      <c r="J93" s="105"/>
      <c r="K93" s="366" t="s">
        <v>192</v>
      </c>
      <c r="L93" s="103">
        <v>1499</v>
      </c>
      <c r="M93" s="80">
        <v>1268.1210000000001</v>
      </c>
      <c r="N93" s="104">
        <f t="shared" si="32"/>
        <v>230.87899999999991</v>
      </c>
      <c r="O93" s="367">
        <f t="shared" si="33"/>
        <v>0.84597798532354906</v>
      </c>
    </row>
    <row r="94" spans="1:15" hidden="1">
      <c r="A94" s="366" t="s">
        <v>578</v>
      </c>
      <c r="B94" s="366" t="s">
        <v>331</v>
      </c>
      <c r="C94" s="74">
        <v>44726</v>
      </c>
      <c r="D94" s="105">
        <v>1224</v>
      </c>
      <c r="E94" s="366" t="s">
        <v>670</v>
      </c>
      <c r="F94" s="366" t="s">
        <v>333</v>
      </c>
      <c r="G94" s="366" t="s">
        <v>211</v>
      </c>
      <c r="H94" s="366" t="s">
        <v>636</v>
      </c>
      <c r="I94" s="366">
        <v>951220</v>
      </c>
      <c r="J94" s="366"/>
      <c r="K94" s="366" t="s">
        <v>191</v>
      </c>
      <c r="L94" s="87">
        <v>50</v>
      </c>
      <c r="M94" s="80">
        <v>80.168999999999997</v>
      </c>
      <c r="N94" s="365">
        <f t="shared" si="32"/>
        <v>-30.168999999999997</v>
      </c>
      <c r="O94" s="367">
        <f t="shared" si="33"/>
        <v>1.60338</v>
      </c>
    </row>
    <row r="95" spans="1:15" hidden="1">
      <c r="A95" s="366" t="s">
        <v>578</v>
      </c>
      <c r="B95" s="366" t="s">
        <v>331</v>
      </c>
      <c r="C95" s="74">
        <v>44726</v>
      </c>
      <c r="D95" s="366">
        <v>1224</v>
      </c>
      <c r="E95" s="366" t="s">
        <v>670</v>
      </c>
      <c r="F95" s="366" t="s">
        <v>333</v>
      </c>
      <c r="G95" s="366" t="s">
        <v>211</v>
      </c>
      <c r="H95" s="366" t="s">
        <v>636</v>
      </c>
      <c r="I95" s="366">
        <v>951220</v>
      </c>
      <c r="J95" s="366"/>
      <c r="K95" s="366" t="s">
        <v>192</v>
      </c>
      <c r="L95" s="87">
        <v>450</v>
      </c>
      <c r="M95" s="80">
        <v>473.56599999999997</v>
      </c>
      <c r="N95" s="365">
        <f t="shared" si="32"/>
        <v>-23.565999999999974</v>
      </c>
      <c r="O95" s="367">
        <f t="shared" si="33"/>
        <v>1.0523688888888889</v>
      </c>
    </row>
    <row r="96" spans="1:15" hidden="1">
      <c r="A96" s="366" t="s">
        <v>754</v>
      </c>
      <c r="B96" s="366" t="s">
        <v>331</v>
      </c>
      <c r="C96" s="74">
        <v>44726</v>
      </c>
      <c r="D96" s="97">
        <v>1225</v>
      </c>
      <c r="E96" s="366" t="s">
        <v>670</v>
      </c>
      <c r="F96" s="366" t="s">
        <v>333</v>
      </c>
      <c r="G96" s="366" t="s">
        <v>211</v>
      </c>
      <c r="H96" s="366" t="s">
        <v>557</v>
      </c>
      <c r="I96" s="105">
        <v>953746</v>
      </c>
      <c r="J96" s="106"/>
      <c r="K96" s="366" t="s">
        <v>192</v>
      </c>
      <c r="L96" s="87">
        <v>400</v>
      </c>
      <c r="M96" s="80"/>
      <c r="N96" s="365">
        <f t="shared" ref="N96" si="34">L96-M96</f>
        <v>400</v>
      </c>
      <c r="O96" s="367">
        <f t="shared" ref="O96" si="35">M96/L96</f>
        <v>0</v>
      </c>
    </row>
    <row r="97" spans="1:15" hidden="1">
      <c r="A97" s="366" t="s">
        <v>754</v>
      </c>
      <c r="B97" s="366" t="s">
        <v>331</v>
      </c>
      <c r="C97" s="74">
        <v>44726</v>
      </c>
      <c r="D97" s="366">
        <v>1225</v>
      </c>
      <c r="E97" s="366" t="s">
        <v>670</v>
      </c>
      <c r="F97" s="366" t="s">
        <v>333</v>
      </c>
      <c r="G97" s="366" t="s">
        <v>211</v>
      </c>
      <c r="H97" s="366" t="s">
        <v>736</v>
      </c>
      <c r="I97" s="105">
        <v>950656</v>
      </c>
      <c r="J97" s="106"/>
      <c r="K97" s="366" t="s">
        <v>192</v>
      </c>
      <c r="L97" s="87">
        <v>650</v>
      </c>
      <c r="M97" s="80">
        <v>616.17200000000003</v>
      </c>
      <c r="N97" s="365">
        <f t="shared" ref="N97:N100" si="36">L97-M97</f>
        <v>33.827999999999975</v>
      </c>
      <c r="O97" s="367">
        <f t="shared" ref="O97:O100" si="37">M97/L97</f>
        <v>0.94795692307692314</v>
      </c>
    </row>
    <row r="98" spans="1:15" hidden="1">
      <c r="A98" s="366" t="s">
        <v>754</v>
      </c>
      <c r="B98" s="366" t="s">
        <v>331</v>
      </c>
      <c r="C98" s="74">
        <v>44726</v>
      </c>
      <c r="D98" s="366">
        <v>1225</v>
      </c>
      <c r="E98" s="366" t="s">
        <v>670</v>
      </c>
      <c r="F98" s="366" t="s">
        <v>333</v>
      </c>
      <c r="G98" s="366" t="s">
        <v>211</v>
      </c>
      <c r="H98" s="366" t="s">
        <v>568</v>
      </c>
      <c r="I98" s="97">
        <v>958703</v>
      </c>
      <c r="J98" s="97"/>
      <c r="K98" s="366" t="s">
        <v>192</v>
      </c>
      <c r="L98" s="87">
        <v>300</v>
      </c>
      <c r="M98" s="80">
        <v>300</v>
      </c>
      <c r="N98" s="365">
        <f t="shared" si="36"/>
        <v>0</v>
      </c>
      <c r="O98" s="367">
        <f t="shared" si="37"/>
        <v>1</v>
      </c>
    </row>
    <row r="99" spans="1:15" hidden="1">
      <c r="A99" s="366" t="s">
        <v>754</v>
      </c>
      <c r="B99" s="366" t="s">
        <v>331</v>
      </c>
      <c r="C99" s="74">
        <v>44726</v>
      </c>
      <c r="D99" s="366">
        <v>1225</v>
      </c>
      <c r="E99" s="366" t="s">
        <v>670</v>
      </c>
      <c r="F99" s="366" t="s">
        <v>333</v>
      </c>
      <c r="G99" s="366" t="s">
        <v>211</v>
      </c>
      <c r="H99" s="366" t="s">
        <v>565</v>
      </c>
      <c r="I99" s="105">
        <v>956926</v>
      </c>
      <c r="J99" s="105"/>
      <c r="K99" s="366" t="s">
        <v>192</v>
      </c>
      <c r="L99" s="87">
        <v>650</v>
      </c>
      <c r="M99" s="80">
        <v>650</v>
      </c>
      <c r="N99" s="365">
        <f t="shared" si="36"/>
        <v>0</v>
      </c>
      <c r="O99" s="367">
        <f t="shared" si="37"/>
        <v>1</v>
      </c>
    </row>
    <row r="100" spans="1:15" hidden="1">
      <c r="A100" s="371" t="s">
        <v>768</v>
      </c>
      <c r="B100" s="371" t="s">
        <v>331</v>
      </c>
      <c r="C100" s="74">
        <v>44735</v>
      </c>
      <c r="D100" s="105">
        <v>1294</v>
      </c>
      <c r="E100" s="371" t="s">
        <v>670</v>
      </c>
      <c r="F100" s="371" t="s">
        <v>333</v>
      </c>
      <c r="G100" s="371" t="s">
        <v>211</v>
      </c>
      <c r="H100" s="371" t="s">
        <v>716</v>
      </c>
      <c r="I100" s="371">
        <v>965526</v>
      </c>
      <c r="J100" s="371"/>
      <c r="K100" s="371" t="s">
        <v>192</v>
      </c>
      <c r="L100" s="87">
        <v>300</v>
      </c>
      <c r="M100" s="80">
        <v>300</v>
      </c>
      <c r="N100" s="369">
        <f t="shared" si="36"/>
        <v>0</v>
      </c>
      <c r="O100" s="370">
        <f t="shared" si="37"/>
        <v>1</v>
      </c>
    </row>
    <row r="101" spans="1:15" hidden="1">
      <c r="A101" s="371" t="s">
        <v>768</v>
      </c>
      <c r="B101" s="371" t="s">
        <v>331</v>
      </c>
      <c r="C101" s="74">
        <v>44735</v>
      </c>
      <c r="D101" s="371">
        <v>1294</v>
      </c>
      <c r="E101" s="371" t="s">
        <v>670</v>
      </c>
      <c r="F101" s="371" t="s">
        <v>333</v>
      </c>
      <c r="G101" s="371" t="s">
        <v>211</v>
      </c>
      <c r="H101" s="371" t="s">
        <v>682</v>
      </c>
      <c r="I101" s="105">
        <v>966254</v>
      </c>
      <c r="J101" s="105"/>
      <c r="K101" s="371" t="s">
        <v>192</v>
      </c>
      <c r="L101" s="87">
        <v>400</v>
      </c>
      <c r="M101" s="80">
        <v>427.28</v>
      </c>
      <c r="N101" s="369">
        <f t="shared" ref="N101:N103" si="38">L101-M101</f>
        <v>-27.279999999999973</v>
      </c>
      <c r="O101" s="370">
        <f t="shared" ref="O101:O103" si="39">M101/L101</f>
        <v>1.0682</v>
      </c>
    </row>
    <row r="102" spans="1:15" hidden="1">
      <c r="A102" s="379" t="s">
        <v>774</v>
      </c>
      <c r="B102" s="379" t="s">
        <v>331</v>
      </c>
      <c r="C102" s="74">
        <v>44764</v>
      </c>
      <c r="D102" s="105">
        <v>1483</v>
      </c>
      <c r="E102" s="379" t="s">
        <v>670</v>
      </c>
      <c r="F102" s="379" t="s">
        <v>333</v>
      </c>
      <c r="G102" s="379" t="s">
        <v>211</v>
      </c>
      <c r="H102" s="379" t="s">
        <v>387</v>
      </c>
      <c r="I102" s="379">
        <v>11718</v>
      </c>
      <c r="J102" s="105"/>
      <c r="K102" s="379" t="s">
        <v>191</v>
      </c>
      <c r="L102" s="103">
        <v>78</v>
      </c>
      <c r="M102" s="80">
        <v>6.3289999999999997</v>
      </c>
      <c r="N102" s="104">
        <f t="shared" si="38"/>
        <v>71.671000000000006</v>
      </c>
      <c r="O102" s="380">
        <f t="shared" si="39"/>
        <v>8.1141025641025641E-2</v>
      </c>
    </row>
    <row r="103" spans="1:15" hidden="1">
      <c r="A103" s="379" t="s">
        <v>774</v>
      </c>
      <c r="B103" s="379" t="s">
        <v>331</v>
      </c>
      <c r="C103" s="74">
        <v>44764</v>
      </c>
      <c r="D103" s="379">
        <v>1483</v>
      </c>
      <c r="E103" s="379" t="s">
        <v>670</v>
      </c>
      <c r="F103" s="379" t="s">
        <v>333</v>
      </c>
      <c r="G103" s="379" t="s">
        <v>211</v>
      </c>
      <c r="H103" s="379" t="s">
        <v>387</v>
      </c>
      <c r="I103" s="379">
        <v>11718</v>
      </c>
      <c r="J103" s="97"/>
      <c r="K103" s="379" t="s">
        <v>192</v>
      </c>
      <c r="L103" s="103">
        <v>119</v>
      </c>
      <c r="M103" s="80">
        <v>182.19</v>
      </c>
      <c r="N103" s="104">
        <f t="shared" si="38"/>
        <v>-63.19</v>
      </c>
      <c r="O103" s="380">
        <f t="shared" si="39"/>
        <v>1.5310084033613445</v>
      </c>
    </row>
    <row r="104" spans="1:15" hidden="1">
      <c r="A104" s="379" t="s">
        <v>578</v>
      </c>
      <c r="B104" s="379" t="s">
        <v>766</v>
      </c>
      <c r="C104" s="74">
        <v>44764</v>
      </c>
      <c r="D104" s="105">
        <v>1484</v>
      </c>
      <c r="E104" s="379" t="s">
        <v>670</v>
      </c>
      <c r="F104" s="379" t="s">
        <v>333</v>
      </c>
      <c r="G104" s="379" t="s">
        <v>211</v>
      </c>
      <c r="H104" s="379" t="s">
        <v>562</v>
      </c>
      <c r="I104" s="379">
        <v>961132</v>
      </c>
      <c r="J104" s="97"/>
      <c r="K104" s="379" t="s">
        <v>192</v>
      </c>
      <c r="L104" s="570">
        <v>308</v>
      </c>
      <c r="M104" s="80"/>
      <c r="N104" s="573">
        <f>L104-(M104+M105)</f>
        <v>308</v>
      </c>
      <c r="O104" s="576">
        <f>(M104+M105)/L104</f>
        <v>0</v>
      </c>
    </row>
    <row r="105" spans="1:15" hidden="1">
      <c r="A105" s="379" t="s">
        <v>578</v>
      </c>
      <c r="B105" s="379" t="s">
        <v>766</v>
      </c>
      <c r="C105" s="74">
        <v>44764</v>
      </c>
      <c r="D105" s="379">
        <v>1484</v>
      </c>
      <c r="E105" s="379" t="s">
        <v>670</v>
      </c>
      <c r="F105" s="379" t="s">
        <v>333</v>
      </c>
      <c r="G105" s="379" t="s">
        <v>211</v>
      </c>
      <c r="H105" s="379" t="s">
        <v>569</v>
      </c>
      <c r="I105" s="379">
        <v>698145</v>
      </c>
      <c r="J105" s="97"/>
      <c r="K105" s="379" t="s">
        <v>192</v>
      </c>
      <c r="L105" s="572"/>
      <c r="M105" s="80"/>
      <c r="N105" s="575"/>
      <c r="O105" s="578"/>
    </row>
    <row r="106" spans="1:15" hidden="1">
      <c r="A106" s="379" t="s">
        <v>631</v>
      </c>
      <c r="B106" s="379" t="s">
        <v>331</v>
      </c>
      <c r="C106" s="74">
        <v>44764</v>
      </c>
      <c r="D106" s="105">
        <v>1486</v>
      </c>
      <c r="E106" s="379" t="s">
        <v>670</v>
      </c>
      <c r="F106" s="379" t="s">
        <v>333</v>
      </c>
      <c r="G106" s="379" t="s">
        <v>211</v>
      </c>
      <c r="H106" s="379" t="s">
        <v>686</v>
      </c>
      <c r="I106" s="379">
        <v>697771</v>
      </c>
      <c r="J106" s="379"/>
      <c r="K106" s="379" t="s">
        <v>191</v>
      </c>
      <c r="L106" s="103">
        <v>1</v>
      </c>
      <c r="M106" s="80">
        <v>54.15</v>
      </c>
      <c r="N106" s="104">
        <f t="shared" ref="N106:N107" si="40">L106-M106</f>
        <v>-53.15</v>
      </c>
      <c r="O106" s="380">
        <f t="shared" ref="O106:O107" si="41">M106/L106</f>
        <v>54.15</v>
      </c>
    </row>
    <row r="107" spans="1:15" hidden="1">
      <c r="A107" s="379" t="s">
        <v>631</v>
      </c>
      <c r="B107" s="379" t="s">
        <v>331</v>
      </c>
      <c r="C107" s="74">
        <v>44764</v>
      </c>
      <c r="D107" s="379">
        <v>1486</v>
      </c>
      <c r="E107" s="379" t="s">
        <v>670</v>
      </c>
      <c r="F107" s="379" t="s">
        <v>333</v>
      </c>
      <c r="G107" s="379" t="s">
        <v>211</v>
      </c>
      <c r="H107" s="379" t="s">
        <v>686</v>
      </c>
      <c r="I107" s="379">
        <v>697771</v>
      </c>
      <c r="J107" s="379"/>
      <c r="K107" s="379" t="s">
        <v>192</v>
      </c>
      <c r="L107" s="103">
        <v>599</v>
      </c>
      <c r="M107" s="80">
        <v>596.48400000000004</v>
      </c>
      <c r="N107" s="104">
        <f t="shared" si="40"/>
        <v>2.5159999999999627</v>
      </c>
      <c r="O107" s="380">
        <f t="shared" si="41"/>
        <v>0.99579966611018367</v>
      </c>
    </row>
    <row r="108" spans="1:15" hidden="1">
      <c r="A108" s="379" t="s">
        <v>653</v>
      </c>
      <c r="B108" s="379" t="s">
        <v>766</v>
      </c>
      <c r="C108" s="74">
        <v>44764</v>
      </c>
      <c r="D108" s="105">
        <v>1487</v>
      </c>
      <c r="E108" s="379" t="s">
        <v>670</v>
      </c>
      <c r="F108" s="379" t="s">
        <v>333</v>
      </c>
      <c r="G108" s="379" t="s">
        <v>211</v>
      </c>
      <c r="H108" s="379" t="s">
        <v>562</v>
      </c>
      <c r="I108" s="379">
        <v>961132</v>
      </c>
      <c r="J108" s="97"/>
      <c r="K108" s="379" t="s">
        <v>191</v>
      </c>
      <c r="L108" s="579">
        <v>60</v>
      </c>
      <c r="M108" s="80"/>
      <c r="N108" s="581">
        <f>L108-(M108+M109)</f>
        <v>60</v>
      </c>
      <c r="O108" s="564">
        <f>(M108+M109)/L108</f>
        <v>0</v>
      </c>
    </row>
    <row r="109" spans="1:15" hidden="1">
      <c r="A109" s="379" t="s">
        <v>653</v>
      </c>
      <c r="B109" s="379" t="s">
        <v>766</v>
      </c>
      <c r="C109" s="74">
        <v>44764</v>
      </c>
      <c r="D109" s="379">
        <v>1487</v>
      </c>
      <c r="E109" s="379" t="s">
        <v>670</v>
      </c>
      <c r="F109" s="379" t="s">
        <v>333</v>
      </c>
      <c r="G109" s="379" t="s">
        <v>211</v>
      </c>
      <c r="H109" s="379" t="s">
        <v>569</v>
      </c>
      <c r="I109" s="379">
        <v>698145</v>
      </c>
      <c r="J109" s="97"/>
      <c r="K109" s="379" t="s">
        <v>191</v>
      </c>
      <c r="L109" s="580"/>
      <c r="M109" s="80"/>
      <c r="N109" s="582"/>
      <c r="O109" s="565"/>
    </row>
    <row r="110" spans="1:15" hidden="1">
      <c r="A110" s="379" t="s">
        <v>653</v>
      </c>
      <c r="B110" s="379" t="s">
        <v>766</v>
      </c>
      <c r="C110" s="74">
        <v>44764</v>
      </c>
      <c r="D110" s="379">
        <v>1487</v>
      </c>
      <c r="E110" s="379" t="s">
        <v>670</v>
      </c>
      <c r="F110" s="379" t="s">
        <v>333</v>
      </c>
      <c r="G110" s="379" t="s">
        <v>211</v>
      </c>
      <c r="H110" s="379" t="s">
        <v>562</v>
      </c>
      <c r="I110" s="379">
        <v>961132</v>
      </c>
      <c r="J110" s="105"/>
      <c r="K110" s="379" t="s">
        <v>192</v>
      </c>
      <c r="L110" s="570">
        <v>190</v>
      </c>
      <c r="M110" s="80"/>
      <c r="N110" s="573">
        <f>L110-(M110+M111)</f>
        <v>190</v>
      </c>
      <c r="O110" s="576">
        <f>(M110+M111)/L110</f>
        <v>0</v>
      </c>
    </row>
    <row r="111" spans="1:15" hidden="1">
      <c r="A111" s="379" t="s">
        <v>653</v>
      </c>
      <c r="B111" s="379" t="s">
        <v>766</v>
      </c>
      <c r="C111" s="74">
        <v>44764</v>
      </c>
      <c r="D111" s="379">
        <v>1487</v>
      </c>
      <c r="E111" s="379" t="s">
        <v>670</v>
      </c>
      <c r="F111" s="379" t="s">
        <v>333</v>
      </c>
      <c r="G111" s="379" t="s">
        <v>211</v>
      </c>
      <c r="H111" s="379" t="s">
        <v>569</v>
      </c>
      <c r="I111" s="379">
        <v>698145</v>
      </c>
      <c r="J111" s="105"/>
      <c r="K111" s="379" t="s">
        <v>192</v>
      </c>
      <c r="L111" s="572"/>
      <c r="M111" s="80"/>
      <c r="N111" s="575"/>
      <c r="O111" s="578"/>
    </row>
    <row r="112" spans="1:15" hidden="1">
      <c r="A112" s="384" t="s">
        <v>725</v>
      </c>
      <c r="B112" s="384" t="s">
        <v>331</v>
      </c>
      <c r="C112" s="74">
        <v>44771</v>
      </c>
      <c r="D112" s="97">
        <v>1512</v>
      </c>
      <c r="E112" s="384" t="s">
        <v>670</v>
      </c>
      <c r="F112" s="384" t="s">
        <v>342</v>
      </c>
      <c r="G112" s="384" t="s">
        <v>211</v>
      </c>
      <c r="H112" s="384" t="s">
        <v>558</v>
      </c>
      <c r="I112" s="384">
        <v>951206</v>
      </c>
      <c r="J112" s="384"/>
      <c r="K112" s="384" t="s">
        <v>191</v>
      </c>
      <c r="L112" s="87">
        <v>467.92200000000003</v>
      </c>
      <c r="M112" s="80">
        <v>67.646000000000001</v>
      </c>
      <c r="N112" s="382">
        <f t="shared" ref="N112:N113" si="42">L112-M112</f>
        <v>400.27600000000001</v>
      </c>
      <c r="O112" s="383">
        <f t="shared" ref="O112:O113" si="43">M112/L112</f>
        <v>0.14456682951432076</v>
      </c>
    </row>
    <row r="113" spans="1:15" hidden="1">
      <c r="A113" s="384" t="s">
        <v>725</v>
      </c>
      <c r="B113" s="384" t="s">
        <v>331</v>
      </c>
      <c r="C113" s="74">
        <v>44771</v>
      </c>
      <c r="D113" s="384">
        <v>1512</v>
      </c>
      <c r="E113" s="384" t="s">
        <v>670</v>
      </c>
      <c r="F113" s="384" t="s">
        <v>342</v>
      </c>
      <c r="G113" s="384" t="s">
        <v>211</v>
      </c>
      <c r="H113" s="384" t="s">
        <v>558</v>
      </c>
      <c r="I113" s="384">
        <v>951206</v>
      </c>
      <c r="J113" s="384"/>
      <c r="K113" s="384" t="s">
        <v>192</v>
      </c>
      <c r="L113" s="87">
        <v>109.08</v>
      </c>
      <c r="M113" s="80">
        <v>508.35599999999999</v>
      </c>
      <c r="N113" s="382">
        <f t="shared" si="42"/>
        <v>-399.27600000000001</v>
      </c>
      <c r="O113" s="383">
        <f t="shared" si="43"/>
        <v>4.6603960396039605</v>
      </c>
    </row>
    <row r="114" spans="1:15" hidden="1">
      <c r="A114" s="384" t="s">
        <v>744</v>
      </c>
      <c r="B114" s="384" t="s">
        <v>331</v>
      </c>
      <c r="C114" s="74">
        <v>44771</v>
      </c>
      <c r="D114" s="105">
        <v>1513</v>
      </c>
      <c r="E114" s="384" t="s">
        <v>670</v>
      </c>
      <c r="F114" s="384" t="s">
        <v>342</v>
      </c>
      <c r="G114" s="384" t="s">
        <v>211</v>
      </c>
      <c r="H114" s="384" t="s">
        <v>558</v>
      </c>
      <c r="I114" s="384">
        <v>951206</v>
      </c>
      <c r="J114" s="384"/>
      <c r="K114" s="384" t="s">
        <v>191</v>
      </c>
      <c r="L114" s="87">
        <v>271.26</v>
      </c>
      <c r="M114" s="80">
        <v>17.747</v>
      </c>
      <c r="N114" s="382">
        <f t="shared" ref="N114:N116" si="44">L114-M114</f>
        <v>253.51299999999998</v>
      </c>
      <c r="O114" s="383">
        <f t="shared" ref="O114:O116" si="45">M114/L114</f>
        <v>6.542431615424317E-2</v>
      </c>
    </row>
    <row r="115" spans="1:15" hidden="1">
      <c r="A115" s="384" t="s">
        <v>687</v>
      </c>
      <c r="B115" s="384" t="s">
        <v>331</v>
      </c>
      <c r="C115" s="74">
        <v>44771</v>
      </c>
      <c r="D115" s="384">
        <v>1516</v>
      </c>
      <c r="E115" s="384" t="s">
        <v>670</v>
      </c>
      <c r="F115" s="384" t="s">
        <v>342</v>
      </c>
      <c r="G115" s="384" t="s">
        <v>211</v>
      </c>
      <c r="H115" s="384" t="s">
        <v>558</v>
      </c>
      <c r="I115" s="384">
        <v>951206</v>
      </c>
      <c r="J115" s="384"/>
      <c r="K115" s="384" t="s">
        <v>191</v>
      </c>
      <c r="L115" s="87">
        <v>310</v>
      </c>
      <c r="M115" s="80">
        <v>76.575999999999993</v>
      </c>
      <c r="N115" s="382">
        <f t="shared" si="44"/>
        <v>233.42400000000001</v>
      </c>
      <c r="O115" s="383">
        <f t="shared" si="45"/>
        <v>0.24701935483870965</v>
      </c>
    </row>
    <row r="116" spans="1:15" hidden="1">
      <c r="A116" s="384" t="s">
        <v>687</v>
      </c>
      <c r="B116" s="384" t="s">
        <v>331</v>
      </c>
      <c r="C116" s="74">
        <v>44771</v>
      </c>
      <c r="D116" s="384">
        <v>1516</v>
      </c>
      <c r="E116" s="384" t="s">
        <v>670</v>
      </c>
      <c r="F116" s="384" t="s">
        <v>342</v>
      </c>
      <c r="G116" s="384" t="s">
        <v>211</v>
      </c>
      <c r="H116" s="384" t="s">
        <v>558</v>
      </c>
      <c r="I116" s="384">
        <v>951206</v>
      </c>
      <c r="J116" s="384"/>
      <c r="K116" s="384" t="s">
        <v>192</v>
      </c>
      <c r="L116" s="87">
        <v>670</v>
      </c>
      <c r="M116" s="80">
        <v>897.673</v>
      </c>
      <c r="N116" s="382">
        <f t="shared" si="44"/>
        <v>-227.673</v>
      </c>
      <c r="O116" s="383">
        <f t="shared" si="45"/>
        <v>1.3398104477611941</v>
      </c>
    </row>
    <row r="117" spans="1:15" hidden="1">
      <c r="A117" s="384" t="s">
        <v>769</v>
      </c>
      <c r="B117" s="384" t="s">
        <v>766</v>
      </c>
      <c r="C117" s="74">
        <v>44771</v>
      </c>
      <c r="D117" s="105">
        <v>1515</v>
      </c>
      <c r="E117" s="384" t="s">
        <v>670</v>
      </c>
      <c r="F117" s="384" t="s">
        <v>333</v>
      </c>
      <c r="G117" s="384" t="s">
        <v>211</v>
      </c>
      <c r="H117" s="384" t="s">
        <v>562</v>
      </c>
      <c r="I117" s="384">
        <v>961132</v>
      </c>
      <c r="J117" s="384"/>
      <c r="K117" s="384" t="s">
        <v>191</v>
      </c>
      <c r="L117" s="579">
        <v>20</v>
      </c>
      <c r="M117" s="80"/>
      <c r="N117" s="581">
        <f>L117-(M117+M118)</f>
        <v>20</v>
      </c>
      <c r="O117" s="564">
        <f>(M117+M118)/L117</f>
        <v>0</v>
      </c>
    </row>
    <row r="118" spans="1:15" hidden="1">
      <c r="A118" s="384" t="s">
        <v>769</v>
      </c>
      <c r="B118" s="384" t="s">
        <v>766</v>
      </c>
      <c r="C118" s="74">
        <v>44771</v>
      </c>
      <c r="D118" s="384">
        <v>1515</v>
      </c>
      <c r="E118" s="384" t="s">
        <v>670</v>
      </c>
      <c r="F118" s="384" t="s">
        <v>333</v>
      </c>
      <c r="G118" s="384" t="s">
        <v>211</v>
      </c>
      <c r="H118" s="384" t="s">
        <v>569</v>
      </c>
      <c r="I118" s="384">
        <v>698145</v>
      </c>
      <c r="J118" s="384"/>
      <c r="K118" s="384" t="s">
        <v>191</v>
      </c>
      <c r="L118" s="580"/>
      <c r="M118" s="80"/>
      <c r="N118" s="582"/>
      <c r="O118" s="565"/>
    </row>
    <row r="119" spans="1:15" hidden="1">
      <c r="A119" s="384" t="s">
        <v>769</v>
      </c>
      <c r="B119" s="384" t="s">
        <v>766</v>
      </c>
      <c r="C119" s="74">
        <v>44771</v>
      </c>
      <c r="D119" s="384">
        <v>1515</v>
      </c>
      <c r="E119" s="384" t="s">
        <v>670</v>
      </c>
      <c r="F119" s="384" t="s">
        <v>333</v>
      </c>
      <c r="G119" s="384" t="s">
        <v>211</v>
      </c>
      <c r="H119" s="384" t="s">
        <v>562</v>
      </c>
      <c r="I119" s="384">
        <v>961132</v>
      </c>
      <c r="J119" s="384"/>
      <c r="K119" s="384" t="s">
        <v>192</v>
      </c>
      <c r="L119" s="570">
        <v>980</v>
      </c>
      <c r="M119" s="80"/>
      <c r="N119" s="573">
        <f>L119-(M119+M120)</f>
        <v>980</v>
      </c>
      <c r="O119" s="576">
        <f>(M119+M120)/L119</f>
        <v>0</v>
      </c>
    </row>
    <row r="120" spans="1:15" hidden="1">
      <c r="A120" s="384" t="s">
        <v>769</v>
      </c>
      <c r="B120" s="384" t="s">
        <v>766</v>
      </c>
      <c r="C120" s="74">
        <v>44771</v>
      </c>
      <c r="D120" s="384">
        <v>1515</v>
      </c>
      <c r="E120" s="384" t="s">
        <v>670</v>
      </c>
      <c r="F120" s="384" t="s">
        <v>333</v>
      </c>
      <c r="G120" s="384" t="s">
        <v>211</v>
      </c>
      <c r="H120" s="384" t="s">
        <v>569</v>
      </c>
      <c r="I120" s="384">
        <v>698145</v>
      </c>
      <c r="J120" s="384"/>
      <c r="K120" s="384" t="s">
        <v>192</v>
      </c>
      <c r="L120" s="572"/>
      <c r="M120" s="80"/>
      <c r="N120" s="575"/>
      <c r="O120" s="578"/>
    </row>
    <row r="121" spans="1:15" hidden="1">
      <c r="A121" s="384" t="s">
        <v>705</v>
      </c>
      <c r="B121" s="384" t="s">
        <v>331</v>
      </c>
      <c r="C121" s="74">
        <v>44771</v>
      </c>
      <c r="D121" s="105">
        <v>1518</v>
      </c>
      <c r="E121" s="384" t="s">
        <v>670</v>
      </c>
      <c r="F121" s="384" t="s">
        <v>333</v>
      </c>
      <c r="G121" s="384" t="s">
        <v>211</v>
      </c>
      <c r="H121" s="384" t="s">
        <v>387</v>
      </c>
      <c r="I121" s="384">
        <v>11718</v>
      </c>
      <c r="J121" s="384"/>
      <c r="K121" s="384" t="s">
        <v>191</v>
      </c>
      <c r="L121" s="103">
        <v>220</v>
      </c>
      <c r="M121" s="80"/>
      <c r="N121" s="104">
        <f t="shared" ref="N121:N122" si="46">L121-M121</f>
        <v>220</v>
      </c>
      <c r="O121" s="383">
        <f t="shared" ref="O121:O122" si="47">M121/L121</f>
        <v>0</v>
      </c>
    </row>
    <row r="122" spans="1:15" hidden="1">
      <c r="A122" s="384" t="s">
        <v>705</v>
      </c>
      <c r="B122" s="384" t="s">
        <v>331</v>
      </c>
      <c r="C122" s="74">
        <v>44771</v>
      </c>
      <c r="D122" s="384">
        <v>1518</v>
      </c>
      <c r="E122" s="384" t="s">
        <v>670</v>
      </c>
      <c r="F122" s="384" t="s">
        <v>333</v>
      </c>
      <c r="G122" s="384" t="s">
        <v>211</v>
      </c>
      <c r="H122" s="384" t="s">
        <v>387</v>
      </c>
      <c r="I122" s="384">
        <v>11718</v>
      </c>
      <c r="J122" s="384"/>
      <c r="K122" s="384" t="s">
        <v>192</v>
      </c>
      <c r="L122" s="103">
        <v>400</v>
      </c>
      <c r="M122" s="80">
        <v>620</v>
      </c>
      <c r="N122" s="104">
        <f t="shared" si="46"/>
        <v>-220</v>
      </c>
      <c r="O122" s="383">
        <f t="shared" si="47"/>
        <v>1.55</v>
      </c>
    </row>
    <row r="123" spans="1:15" hidden="1">
      <c r="A123" s="385" t="s">
        <v>776</v>
      </c>
      <c r="B123" s="385" t="s">
        <v>331</v>
      </c>
      <c r="C123" s="74">
        <v>44728</v>
      </c>
      <c r="D123" s="105">
        <v>3</v>
      </c>
      <c r="E123" s="385" t="s">
        <v>582</v>
      </c>
      <c r="F123" s="385" t="s">
        <v>333</v>
      </c>
      <c r="G123" s="385" t="s">
        <v>211</v>
      </c>
      <c r="H123" s="385" t="s">
        <v>565</v>
      </c>
      <c r="I123" s="105">
        <v>956926</v>
      </c>
      <c r="J123" s="97"/>
      <c r="K123" s="385" t="s">
        <v>191</v>
      </c>
      <c r="L123" s="103">
        <v>400</v>
      </c>
      <c r="M123" s="80">
        <v>87.42</v>
      </c>
      <c r="N123" s="104">
        <f t="shared" ref="N123:N125" si="48">L123-M123</f>
        <v>312.58</v>
      </c>
      <c r="O123" s="386">
        <f t="shared" ref="O123:O125" si="49">M123/L123</f>
        <v>0.21854999999999999</v>
      </c>
    </row>
    <row r="124" spans="1:15" hidden="1">
      <c r="A124" s="389" t="s">
        <v>777</v>
      </c>
      <c r="B124" s="389" t="s">
        <v>331</v>
      </c>
      <c r="C124" s="74">
        <v>44783</v>
      </c>
      <c r="D124" s="105">
        <v>1628</v>
      </c>
      <c r="E124" s="389" t="s">
        <v>670</v>
      </c>
      <c r="F124" s="389" t="s">
        <v>333</v>
      </c>
      <c r="G124" s="389" t="s">
        <v>211</v>
      </c>
      <c r="H124" s="389" t="s">
        <v>716</v>
      </c>
      <c r="I124" s="389">
        <v>965526</v>
      </c>
      <c r="J124" s="389"/>
      <c r="K124" s="389" t="s">
        <v>191</v>
      </c>
      <c r="L124" s="87">
        <v>50</v>
      </c>
      <c r="M124" s="80">
        <v>14.91</v>
      </c>
      <c r="N124" s="387">
        <f t="shared" si="48"/>
        <v>35.090000000000003</v>
      </c>
      <c r="O124" s="388">
        <f t="shared" si="49"/>
        <v>0.29820000000000002</v>
      </c>
    </row>
    <row r="125" spans="1:15" hidden="1">
      <c r="A125" s="389" t="s">
        <v>777</v>
      </c>
      <c r="B125" s="389" t="s">
        <v>331</v>
      </c>
      <c r="C125" s="74">
        <v>44783</v>
      </c>
      <c r="D125" s="389">
        <v>1628</v>
      </c>
      <c r="E125" s="389" t="s">
        <v>670</v>
      </c>
      <c r="F125" s="389" t="s">
        <v>333</v>
      </c>
      <c r="G125" s="389" t="s">
        <v>211</v>
      </c>
      <c r="H125" s="389" t="s">
        <v>716</v>
      </c>
      <c r="I125" s="389">
        <v>965526</v>
      </c>
      <c r="J125" s="389"/>
      <c r="K125" s="389" t="s">
        <v>192</v>
      </c>
      <c r="L125" s="87">
        <v>350</v>
      </c>
      <c r="M125" s="80">
        <v>349.57600000000002</v>
      </c>
      <c r="N125" s="387">
        <f t="shared" si="48"/>
        <v>0.42399999999997817</v>
      </c>
      <c r="O125" s="388">
        <f t="shared" si="49"/>
        <v>0.99878857142857147</v>
      </c>
    </row>
    <row r="126" spans="1:15" hidden="1">
      <c r="A126" s="389" t="s">
        <v>777</v>
      </c>
      <c r="B126" s="389" t="s">
        <v>331</v>
      </c>
      <c r="C126" s="74">
        <v>44783</v>
      </c>
      <c r="D126" s="105">
        <v>1629</v>
      </c>
      <c r="E126" s="389" t="s">
        <v>670</v>
      </c>
      <c r="F126" s="389" t="s">
        <v>333</v>
      </c>
      <c r="G126" s="389" t="s">
        <v>211</v>
      </c>
      <c r="H126" s="389" t="s">
        <v>682</v>
      </c>
      <c r="I126" s="389">
        <v>966254</v>
      </c>
      <c r="J126" s="105"/>
      <c r="K126" s="389" t="s">
        <v>191</v>
      </c>
      <c r="L126" s="87">
        <v>50</v>
      </c>
      <c r="M126" s="80">
        <f>77.671</f>
        <v>77.671000000000006</v>
      </c>
      <c r="N126" s="387">
        <f t="shared" ref="N126:N128" si="50">L126-M126</f>
        <v>-27.671000000000006</v>
      </c>
      <c r="O126" s="388">
        <f t="shared" ref="O126:O128" si="51">M126/L126</f>
        <v>1.55342</v>
      </c>
    </row>
    <row r="127" spans="1:15" hidden="1">
      <c r="A127" s="389" t="s">
        <v>777</v>
      </c>
      <c r="B127" s="389" t="s">
        <v>331</v>
      </c>
      <c r="C127" s="74">
        <v>44783</v>
      </c>
      <c r="D127" s="389">
        <v>1629</v>
      </c>
      <c r="E127" s="389" t="s">
        <v>670</v>
      </c>
      <c r="F127" s="389" t="s">
        <v>333</v>
      </c>
      <c r="G127" s="389" t="s">
        <v>211</v>
      </c>
      <c r="H127" s="389" t="s">
        <v>682</v>
      </c>
      <c r="I127" s="389">
        <v>966254</v>
      </c>
      <c r="J127" s="105"/>
      <c r="K127" s="389" t="s">
        <v>192</v>
      </c>
      <c r="L127" s="87">
        <v>550</v>
      </c>
      <c r="M127" s="80">
        <v>367.49400000000003</v>
      </c>
      <c r="N127" s="387">
        <f t="shared" si="50"/>
        <v>182.50599999999997</v>
      </c>
      <c r="O127" s="388">
        <f t="shared" si="51"/>
        <v>0.66817090909090915</v>
      </c>
    </row>
    <row r="128" spans="1:15" hidden="1">
      <c r="A128" s="389" t="s">
        <v>778</v>
      </c>
      <c r="B128" s="389" t="s">
        <v>331</v>
      </c>
      <c r="C128" s="74">
        <v>44783</v>
      </c>
      <c r="D128" s="105">
        <v>1630</v>
      </c>
      <c r="E128" s="389" t="s">
        <v>670</v>
      </c>
      <c r="F128" s="389" t="s">
        <v>333</v>
      </c>
      <c r="G128" s="389" t="s">
        <v>211</v>
      </c>
      <c r="H128" s="389" t="s">
        <v>583</v>
      </c>
      <c r="I128" s="389">
        <v>964500</v>
      </c>
      <c r="J128" s="389"/>
      <c r="K128" s="389" t="s">
        <v>192</v>
      </c>
      <c r="L128" s="103">
        <v>600</v>
      </c>
      <c r="M128" s="80">
        <v>563.47699999999998</v>
      </c>
      <c r="N128" s="104">
        <f t="shared" si="50"/>
        <v>36.523000000000025</v>
      </c>
      <c r="O128" s="388">
        <f t="shared" si="51"/>
        <v>0.93912833333333334</v>
      </c>
    </row>
    <row r="129" spans="1:15" hidden="1">
      <c r="A129" s="392" t="s">
        <v>756</v>
      </c>
      <c r="B129" s="392" t="s">
        <v>331</v>
      </c>
      <c r="C129" s="74">
        <v>44792</v>
      </c>
      <c r="D129" s="105">
        <v>1697</v>
      </c>
      <c r="E129" s="392" t="s">
        <v>670</v>
      </c>
      <c r="F129" s="392" t="s">
        <v>333</v>
      </c>
      <c r="G129" s="392" t="s">
        <v>211</v>
      </c>
      <c r="H129" s="392" t="s">
        <v>682</v>
      </c>
      <c r="I129" s="392">
        <v>966254</v>
      </c>
      <c r="J129" s="392"/>
      <c r="K129" s="392" t="s">
        <v>191</v>
      </c>
      <c r="L129" s="87">
        <v>0</v>
      </c>
      <c r="M129" s="80"/>
      <c r="N129" s="391">
        <f t="shared" ref="N129:N132" si="52">L129-M129</f>
        <v>0</v>
      </c>
      <c r="O129" s="393" t="e">
        <f t="shared" ref="O129:O132" si="53">M129/L129</f>
        <v>#DIV/0!</v>
      </c>
    </row>
    <row r="130" spans="1:15" hidden="1">
      <c r="A130" s="392" t="s">
        <v>756</v>
      </c>
      <c r="B130" s="392" t="s">
        <v>331</v>
      </c>
      <c r="C130" s="74">
        <v>44792</v>
      </c>
      <c r="D130" s="404">
        <v>1697</v>
      </c>
      <c r="E130" s="392" t="s">
        <v>670</v>
      </c>
      <c r="F130" s="392" t="s">
        <v>333</v>
      </c>
      <c r="G130" s="392" t="s">
        <v>211</v>
      </c>
      <c r="H130" s="392" t="s">
        <v>682</v>
      </c>
      <c r="I130" s="392">
        <v>966254</v>
      </c>
      <c r="J130" s="392"/>
      <c r="K130" s="392" t="s">
        <v>192</v>
      </c>
      <c r="L130" s="87">
        <v>0</v>
      </c>
      <c r="M130" s="80"/>
      <c r="N130" s="391">
        <f t="shared" si="52"/>
        <v>0</v>
      </c>
      <c r="O130" s="393" t="e">
        <f t="shared" si="53"/>
        <v>#DIV/0!</v>
      </c>
    </row>
    <row r="131" spans="1:15" hidden="1">
      <c r="A131" s="392" t="s">
        <v>756</v>
      </c>
      <c r="B131" s="392" t="s">
        <v>331</v>
      </c>
      <c r="C131" s="74">
        <v>44792</v>
      </c>
      <c r="D131" s="105">
        <v>1698</v>
      </c>
      <c r="E131" s="392" t="s">
        <v>670</v>
      </c>
      <c r="F131" s="392" t="s">
        <v>333</v>
      </c>
      <c r="G131" s="392" t="s">
        <v>211</v>
      </c>
      <c r="H131" s="392" t="s">
        <v>716</v>
      </c>
      <c r="I131" s="392">
        <v>965526</v>
      </c>
      <c r="J131" s="392"/>
      <c r="K131" s="392" t="s">
        <v>191</v>
      </c>
      <c r="L131" s="87">
        <v>120</v>
      </c>
      <c r="M131" s="80">
        <v>120</v>
      </c>
      <c r="N131" s="391">
        <f t="shared" si="52"/>
        <v>0</v>
      </c>
      <c r="O131" s="393">
        <f t="shared" si="53"/>
        <v>1</v>
      </c>
    </row>
    <row r="132" spans="1:15" hidden="1">
      <c r="A132" s="392" t="s">
        <v>756</v>
      </c>
      <c r="B132" s="392" t="s">
        <v>331</v>
      </c>
      <c r="C132" s="74">
        <v>44792</v>
      </c>
      <c r="D132" s="392">
        <v>1698</v>
      </c>
      <c r="E132" s="392" t="s">
        <v>670</v>
      </c>
      <c r="F132" s="392" t="s">
        <v>333</v>
      </c>
      <c r="G132" s="392" t="s">
        <v>211</v>
      </c>
      <c r="H132" s="392" t="s">
        <v>716</v>
      </c>
      <c r="I132" s="392">
        <v>965526</v>
      </c>
      <c r="J132" s="392"/>
      <c r="K132" s="392" t="s">
        <v>192</v>
      </c>
      <c r="L132" s="87">
        <v>280</v>
      </c>
      <c r="M132" s="80">
        <v>280</v>
      </c>
      <c r="N132" s="391">
        <f t="shared" si="52"/>
        <v>0</v>
      </c>
      <c r="O132" s="393">
        <f t="shared" si="53"/>
        <v>1</v>
      </c>
    </row>
    <row r="133" spans="1:15" hidden="1">
      <c r="A133" s="397" t="s">
        <v>745</v>
      </c>
      <c r="B133" s="397" t="s">
        <v>766</v>
      </c>
      <c r="C133" s="74">
        <v>44797</v>
      </c>
      <c r="D133" s="105">
        <v>1741</v>
      </c>
      <c r="E133" s="397" t="s">
        <v>670</v>
      </c>
      <c r="F133" s="397" t="s">
        <v>333</v>
      </c>
      <c r="G133" s="397" t="s">
        <v>211</v>
      </c>
      <c r="H133" s="397" t="s">
        <v>562</v>
      </c>
      <c r="I133" s="397">
        <v>961132</v>
      </c>
      <c r="J133" s="397"/>
      <c r="K133" s="397" t="s">
        <v>191</v>
      </c>
      <c r="L133" s="579">
        <v>550</v>
      </c>
      <c r="M133" s="80"/>
      <c r="N133" s="581">
        <f>L133-(M133+M134)</f>
        <v>550</v>
      </c>
      <c r="O133" s="564">
        <f>(M133+M134)/L133</f>
        <v>0</v>
      </c>
    </row>
    <row r="134" spans="1:15" hidden="1">
      <c r="A134" s="397" t="s">
        <v>745</v>
      </c>
      <c r="B134" s="397" t="s">
        <v>766</v>
      </c>
      <c r="C134" s="74">
        <v>44797</v>
      </c>
      <c r="D134" s="397">
        <v>1741</v>
      </c>
      <c r="E134" s="397" t="s">
        <v>670</v>
      </c>
      <c r="F134" s="397" t="s">
        <v>333</v>
      </c>
      <c r="G134" s="397" t="s">
        <v>211</v>
      </c>
      <c r="H134" s="397" t="s">
        <v>569</v>
      </c>
      <c r="I134" s="397">
        <v>698145</v>
      </c>
      <c r="J134" s="397"/>
      <c r="K134" s="397" t="s">
        <v>191</v>
      </c>
      <c r="L134" s="580"/>
      <c r="M134" s="80"/>
      <c r="N134" s="582"/>
      <c r="O134" s="565"/>
    </row>
    <row r="135" spans="1:15" ht="13.5" hidden="1" customHeight="1">
      <c r="A135" s="397" t="s">
        <v>745</v>
      </c>
      <c r="B135" s="397" t="s">
        <v>766</v>
      </c>
      <c r="C135" s="74">
        <v>44797</v>
      </c>
      <c r="D135" s="397">
        <v>1741</v>
      </c>
      <c r="E135" s="397" t="s">
        <v>670</v>
      </c>
      <c r="F135" s="397" t="s">
        <v>333</v>
      </c>
      <c r="G135" s="397" t="s">
        <v>211</v>
      </c>
      <c r="H135" s="397" t="s">
        <v>562</v>
      </c>
      <c r="I135" s="397">
        <v>961132</v>
      </c>
      <c r="J135" s="397"/>
      <c r="K135" s="397" t="s">
        <v>192</v>
      </c>
      <c r="L135" s="570">
        <v>550</v>
      </c>
      <c r="M135" s="80"/>
      <c r="N135" s="573">
        <f>L135-(M135+M136)</f>
        <v>550</v>
      </c>
      <c r="O135" s="576">
        <f>(M135+M136)/L135</f>
        <v>0</v>
      </c>
    </row>
    <row r="136" spans="1:15" hidden="1">
      <c r="A136" s="397" t="s">
        <v>745</v>
      </c>
      <c r="B136" s="397" t="s">
        <v>766</v>
      </c>
      <c r="C136" s="74">
        <v>44797</v>
      </c>
      <c r="D136" s="397">
        <v>1741</v>
      </c>
      <c r="E136" s="397" t="s">
        <v>670</v>
      </c>
      <c r="F136" s="397" t="s">
        <v>333</v>
      </c>
      <c r="G136" s="397" t="s">
        <v>211</v>
      </c>
      <c r="H136" s="397" t="s">
        <v>569</v>
      </c>
      <c r="I136" s="397">
        <v>698145</v>
      </c>
      <c r="J136" s="397"/>
      <c r="K136" s="397" t="s">
        <v>192</v>
      </c>
      <c r="L136" s="572"/>
      <c r="M136" s="80"/>
      <c r="N136" s="575"/>
      <c r="O136" s="578"/>
    </row>
    <row r="137" spans="1:15" hidden="1">
      <c r="A137" s="401" t="s">
        <v>730</v>
      </c>
      <c r="B137" s="401" t="s">
        <v>331</v>
      </c>
      <c r="C137" s="74">
        <v>44804</v>
      </c>
      <c r="D137" s="105">
        <v>1794</v>
      </c>
      <c r="E137" s="401" t="s">
        <v>670</v>
      </c>
      <c r="F137" s="401" t="s">
        <v>342</v>
      </c>
      <c r="G137" s="401" t="s">
        <v>211</v>
      </c>
      <c r="H137" s="401" t="s">
        <v>567</v>
      </c>
      <c r="I137" s="401">
        <v>964972</v>
      </c>
      <c r="J137" s="401"/>
      <c r="K137" s="401" t="s">
        <v>192</v>
      </c>
      <c r="L137" s="87">
        <v>18.18</v>
      </c>
      <c r="M137" s="80">
        <v>18.18</v>
      </c>
      <c r="N137" s="399">
        <f t="shared" ref="N137:N138" si="54">L137-M137</f>
        <v>0</v>
      </c>
      <c r="O137" s="400">
        <f t="shared" ref="O137:O138" si="55">M137/L137</f>
        <v>1</v>
      </c>
    </row>
    <row r="138" spans="1:15" hidden="1">
      <c r="A138" s="401" t="s">
        <v>726</v>
      </c>
      <c r="B138" s="401" t="s">
        <v>331</v>
      </c>
      <c r="C138" s="74">
        <v>44804</v>
      </c>
      <c r="D138" s="105">
        <v>1797</v>
      </c>
      <c r="E138" s="401" t="s">
        <v>670</v>
      </c>
      <c r="F138" s="401" t="s">
        <v>342</v>
      </c>
      <c r="G138" s="401" t="s">
        <v>211</v>
      </c>
      <c r="H138" s="401" t="s">
        <v>708</v>
      </c>
      <c r="I138" s="401">
        <v>925404</v>
      </c>
      <c r="J138" s="401"/>
      <c r="K138" s="401" t="s">
        <v>192</v>
      </c>
      <c r="L138" s="87">
        <v>36.36</v>
      </c>
      <c r="M138" s="80"/>
      <c r="N138" s="399">
        <f t="shared" si="54"/>
        <v>36.36</v>
      </c>
      <c r="O138" s="400">
        <f t="shared" si="55"/>
        <v>0</v>
      </c>
    </row>
    <row r="139" spans="1:15" hidden="1">
      <c r="A139" s="401" t="s">
        <v>745</v>
      </c>
      <c r="B139" s="401" t="s">
        <v>766</v>
      </c>
      <c r="C139" s="74">
        <v>44804</v>
      </c>
      <c r="D139" s="105">
        <v>1796</v>
      </c>
      <c r="E139" s="401" t="s">
        <v>670</v>
      </c>
      <c r="F139" s="401" t="s">
        <v>333</v>
      </c>
      <c r="G139" s="401" t="s">
        <v>211</v>
      </c>
      <c r="H139" s="401" t="s">
        <v>567</v>
      </c>
      <c r="I139" s="401">
        <v>964972</v>
      </c>
      <c r="J139" s="105"/>
      <c r="K139" s="401" t="s">
        <v>191</v>
      </c>
      <c r="L139" s="570">
        <v>400</v>
      </c>
      <c r="M139" s="80">
        <v>27.873999999999999</v>
      </c>
      <c r="N139" s="573">
        <f>L139-(M139+M140+M141+M142)</f>
        <v>363.61700000000002</v>
      </c>
      <c r="O139" s="576">
        <f>(M139+M140+M141+M142)/L139</f>
        <v>9.0957499999999983E-2</v>
      </c>
    </row>
    <row r="140" spans="1:15" hidden="1">
      <c r="A140" s="401" t="s">
        <v>745</v>
      </c>
      <c r="B140" s="401" t="s">
        <v>766</v>
      </c>
      <c r="C140" s="74">
        <v>44804</v>
      </c>
      <c r="D140" s="401">
        <v>1796</v>
      </c>
      <c r="E140" s="401" t="s">
        <v>670</v>
      </c>
      <c r="F140" s="401" t="s">
        <v>333</v>
      </c>
      <c r="G140" s="401" t="s">
        <v>211</v>
      </c>
      <c r="H140" s="401" t="s">
        <v>686</v>
      </c>
      <c r="I140" s="401">
        <v>697771</v>
      </c>
      <c r="J140" s="105"/>
      <c r="K140" s="401" t="s">
        <v>191</v>
      </c>
      <c r="L140" s="571"/>
      <c r="M140" s="80"/>
      <c r="N140" s="574"/>
      <c r="O140" s="577"/>
    </row>
    <row r="141" spans="1:15" hidden="1">
      <c r="A141" s="401" t="s">
        <v>745</v>
      </c>
      <c r="B141" s="401" t="s">
        <v>766</v>
      </c>
      <c r="C141" s="74">
        <v>44804</v>
      </c>
      <c r="D141" s="401">
        <v>1796</v>
      </c>
      <c r="E141" s="401" t="s">
        <v>670</v>
      </c>
      <c r="F141" s="401" t="s">
        <v>333</v>
      </c>
      <c r="G141" s="401" t="s">
        <v>211</v>
      </c>
      <c r="H141" s="401" t="s">
        <v>562</v>
      </c>
      <c r="I141" s="401">
        <v>961132</v>
      </c>
      <c r="J141" s="105"/>
      <c r="K141" s="401" t="s">
        <v>191</v>
      </c>
      <c r="L141" s="571"/>
      <c r="M141" s="80">
        <v>8.5090000000000003</v>
      </c>
      <c r="N141" s="574"/>
      <c r="O141" s="577"/>
    </row>
    <row r="142" spans="1:15" hidden="1">
      <c r="A142" s="401" t="s">
        <v>745</v>
      </c>
      <c r="B142" s="401" t="s">
        <v>766</v>
      </c>
      <c r="C142" s="74">
        <v>44804</v>
      </c>
      <c r="D142" s="401">
        <v>1796</v>
      </c>
      <c r="E142" s="401" t="s">
        <v>670</v>
      </c>
      <c r="F142" s="401" t="s">
        <v>333</v>
      </c>
      <c r="G142" s="401" t="s">
        <v>211</v>
      </c>
      <c r="H142" s="401" t="s">
        <v>569</v>
      </c>
      <c r="I142" s="401">
        <v>698145</v>
      </c>
      <c r="J142" s="105"/>
      <c r="K142" s="401" t="s">
        <v>191</v>
      </c>
      <c r="L142" s="572"/>
      <c r="M142" s="80"/>
      <c r="N142" s="575"/>
      <c r="O142" s="578"/>
    </row>
    <row r="143" spans="1:15" hidden="1">
      <c r="A143" s="401" t="s">
        <v>745</v>
      </c>
      <c r="B143" s="401" t="s">
        <v>766</v>
      </c>
      <c r="C143" s="74">
        <v>44804</v>
      </c>
      <c r="D143" s="401">
        <v>1796</v>
      </c>
      <c r="E143" s="401" t="s">
        <v>670</v>
      </c>
      <c r="F143" s="401" t="s">
        <v>333</v>
      </c>
      <c r="G143" s="401" t="s">
        <v>211</v>
      </c>
      <c r="H143" s="401" t="s">
        <v>567</v>
      </c>
      <c r="I143" s="401">
        <v>964972</v>
      </c>
      <c r="J143" s="105"/>
      <c r="K143" s="401" t="s">
        <v>192</v>
      </c>
      <c r="L143" s="570">
        <v>600</v>
      </c>
      <c r="M143" s="80">
        <v>322.12599999999998</v>
      </c>
      <c r="N143" s="573">
        <f>L143-(M143+M144+M145+M146)</f>
        <v>38.999000000000024</v>
      </c>
      <c r="O143" s="576">
        <f>(M143+M144+M145+M146)/L143</f>
        <v>0.93500166666666662</v>
      </c>
    </row>
    <row r="144" spans="1:15" hidden="1">
      <c r="A144" s="401" t="s">
        <v>745</v>
      </c>
      <c r="B144" s="401" t="s">
        <v>766</v>
      </c>
      <c r="C144" s="74">
        <v>44804</v>
      </c>
      <c r="D144" s="401">
        <v>1796</v>
      </c>
      <c r="E144" s="401" t="s">
        <v>670</v>
      </c>
      <c r="F144" s="401" t="s">
        <v>333</v>
      </c>
      <c r="G144" s="401" t="s">
        <v>211</v>
      </c>
      <c r="H144" s="401" t="s">
        <v>686</v>
      </c>
      <c r="I144" s="401">
        <v>697771</v>
      </c>
      <c r="J144" s="105"/>
      <c r="K144" s="401" t="s">
        <v>192</v>
      </c>
      <c r="L144" s="571"/>
      <c r="M144" s="80">
        <v>47.384</v>
      </c>
      <c r="N144" s="574"/>
      <c r="O144" s="577"/>
    </row>
    <row r="145" spans="1:15" hidden="1">
      <c r="A145" s="401" t="s">
        <v>745</v>
      </c>
      <c r="B145" s="401" t="s">
        <v>766</v>
      </c>
      <c r="C145" s="74">
        <v>44804</v>
      </c>
      <c r="D145" s="401">
        <v>1796</v>
      </c>
      <c r="E145" s="401" t="s">
        <v>670</v>
      </c>
      <c r="F145" s="401" t="s">
        <v>333</v>
      </c>
      <c r="G145" s="401" t="s">
        <v>211</v>
      </c>
      <c r="H145" s="401" t="s">
        <v>562</v>
      </c>
      <c r="I145" s="401">
        <v>961132</v>
      </c>
      <c r="J145" s="105"/>
      <c r="K145" s="401" t="s">
        <v>192</v>
      </c>
      <c r="L145" s="571"/>
      <c r="M145" s="80">
        <v>191.49100000000001</v>
      </c>
      <c r="N145" s="574"/>
      <c r="O145" s="577"/>
    </row>
    <row r="146" spans="1:15" hidden="1">
      <c r="A146" s="401" t="s">
        <v>745</v>
      </c>
      <c r="B146" s="401" t="s">
        <v>766</v>
      </c>
      <c r="C146" s="74">
        <v>44804</v>
      </c>
      <c r="D146" s="401">
        <v>1796</v>
      </c>
      <c r="E146" s="401" t="s">
        <v>670</v>
      </c>
      <c r="F146" s="401" t="s">
        <v>333</v>
      </c>
      <c r="G146" s="401" t="s">
        <v>211</v>
      </c>
      <c r="H146" s="401" t="s">
        <v>569</v>
      </c>
      <c r="I146" s="401">
        <v>698145</v>
      </c>
      <c r="J146" s="105"/>
      <c r="K146" s="401" t="s">
        <v>192</v>
      </c>
      <c r="L146" s="572"/>
      <c r="M146" s="80"/>
      <c r="N146" s="575"/>
      <c r="O146" s="578"/>
    </row>
    <row r="147" spans="1:15" hidden="1">
      <c r="A147" s="401" t="s">
        <v>729</v>
      </c>
      <c r="B147" s="401" t="s">
        <v>331</v>
      </c>
      <c r="C147" s="74">
        <v>44805</v>
      </c>
      <c r="D147" s="105">
        <v>1817</v>
      </c>
      <c r="E147" s="401" t="s">
        <v>670</v>
      </c>
      <c r="F147" s="401" t="s">
        <v>342</v>
      </c>
      <c r="G147" s="401" t="s">
        <v>211</v>
      </c>
      <c r="H147" s="401" t="s">
        <v>562</v>
      </c>
      <c r="I147" s="401">
        <v>961132</v>
      </c>
      <c r="J147" s="105"/>
      <c r="K147" s="401" t="s">
        <v>192</v>
      </c>
      <c r="L147" s="87">
        <v>18.18</v>
      </c>
      <c r="M147" s="80">
        <v>163.86500000000001</v>
      </c>
      <c r="N147" s="399">
        <f t="shared" ref="N147:N149" si="56">L147-M147</f>
        <v>-145.685</v>
      </c>
      <c r="O147" s="400">
        <f t="shared" ref="O147:O149" si="57">M147/L147</f>
        <v>9.0134763476347644</v>
      </c>
    </row>
    <row r="148" spans="1:15" hidden="1">
      <c r="A148" s="409" t="s">
        <v>687</v>
      </c>
      <c r="B148" s="409" t="s">
        <v>331</v>
      </c>
      <c r="C148" s="74">
        <v>44826</v>
      </c>
      <c r="D148" s="105">
        <v>1917</v>
      </c>
      <c r="E148" s="409" t="s">
        <v>670</v>
      </c>
      <c r="F148" s="409" t="s">
        <v>342</v>
      </c>
      <c r="G148" s="409" t="s">
        <v>211</v>
      </c>
      <c r="H148" s="409" t="s">
        <v>562</v>
      </c>
      <c r="I148" s="409">
        <v>961132</v>
      </c>
      <c r="J148" s="105"/>
      <c r="K148" s="409" t="s">
        <v>191</v>
      </c>
      <c r="L148" s="87">
        <v>235</v>
      </c>
      <c r="M148" s="80">
        <v>48.918999999999997</v>
      </c>
      <c r="N148" s="407">
        <f t="shared" si="56"/>
        <v>186.08100000000002</v>
      </c>
      <c r="O148" s="408">
        <f t="shared" si="57"/>
        <v>0.20816595744680849</v>
      </c>
    </row>
    <row r="149" spans="1:15" hidden="1">
      <c r="A149" s="409" t="s">
        <v>687</v>
      </c>
      <c r="B149" s="409" t="s">
        <v>331</v>
      </c>
      <c r="C149" s="74">
        <v>44826</v>
      </c>
      <c r="D149" s="409">
        <v>1917</v>
      </c>
      <c r="E149" s="409" t="s">
        <v>670</v>
      </c>
      <c r="F149" s="409" t="s">
        <v>342</v>
      </c>
      <c r="G149" s="409" t="s">
        <v>211</v>
      </c>
      <c r="H149" s="409" t="s">
        <v>562</v>
      </c>
      <c r="I149" s="409">
        <v>961132</v>
      </c>
      <c r="J149" s="105"/>
      <c r="K149" s="409" t="s">
        <v>192</v>
      </c>
      <c r="L149" s="87">
        <v>205</v>
      </c>
      <c r="M149" s="80">
        <v>391.07600000000002</v>
      </c>
      <c r="N149" s="407">
        <f t="shared" si="56"/>
        <v>-186.07600000000002</v>
      </c>
      <c r="O149" s="408">
        <f t="shared" si="57"/>
        <v>1.9076878048780488</v>
      </c>
    </row>
    <row r="150" spans="1:15" hidden="1">
      <c r="A150" s="409" t="s">
        <v>687</v>
      </c>
      <c r="B150" s="409" t="s">
        <v>331</v>
      </c>
      <c r="C150" s="74">
        <v>44826</v>
      </c>
      <c r="D150" s="409">
        <v>1917</v>
      </c>
      <c r="E150" s="409" t="s">
        <v>670</v>
      </c>
      <c r="F150" s="409" t="s">
        <v>342</v>
      </c>
      <c r="G150" s="409" t="s">
        <v>211</v>
      </c>
      <c r="H150" s="409" t="s">
        <v>735</v>
      </c>
      <c r="I150" s="409">
        <v>957377</v>
      </c>
      <c r="J150" s="105"/>
      <c r="K150" s="409" t="s">
        <v>191</v>
      </c>
      <c r="L150" s="87">
        <v>235</v>
      </c>
      <c r="M150" s="80"/>
      <c r="N150" s="407">
        <f t="shared" ref="N150:N151" si="58">L150-M150</f>
        <v>235</v>
      </c>
      <c r="O150" s="408">
        <f t="shared" ref="O150:O151" si="59">M150/L150</f>
        <v>0</v>
      </c>
    </row>
    <row r="151" spans="1:15" hidden="1">
      <c r="A151" s="409" t="s">
        <v>687</v>
      </c>
      <c r="B151" s="409" t="s">
        <v>331</v>
      </c>
      <c r="C151" s="74">
        <v>44826</v>
      </c>
      <c r="D151" s="409">
        <v>1917</v>
      </c>
      <c r="E151" s="409" t="s">
        <v>670</v>
      </c>
      <c r="F151" s="409" t="s">
        <v>342</v>
      </c>
      <c r="G151" s="409" t="s">
        <v>211</v>
      </c>
      <c r="H151" s="409" t="s">
        <v>735</v>
      </c>
      <c r="I151" s="409">
        <v>957377</v>
      </c>
      <c r="J151" s="105"/>
      <c r="K151" s="409" t="s">
        <v>192</v>
      </c>
      <c r="L151" s="87">
        <v>205</v>
      </c>
      <c r="M151" s="80"/>
      <c r="N151" s="407">
        <f t="shared" si="58"/>
        <v>205</v>
      </c>
      <c r="O151" s="408">
        <f t="shared" si="59"/>
        <v>0</v>
      </c>
    </row>
    <row r="152" spans="1:15" hidden="1">
      <c r="A152" s="409" t="s">
        <v>687</v>
      </c>
      <c r="B152" s="409" t="s">
        <v>331</v>
      </c>
      <c r="C152" s="74">
        <v>44826</v>
      </c>
      <c r="D152" s="409">
        <v>1917</v>
      </c>
      <c r="E152" s="409" t="s">
        <v>670</v>
      </c>
      <c r="F152" s="409" t="s">
        <v>342</v>
      </c>
      <c r="G152" s="409" t="s">
        <v>211</v>
      </c>
      <c r="H152" s="409" t="s">
        <v>708</v>
      </c>
      <c r="I152" s="409">
        <v>925404</v>
      </c>
      <c r="J152" s="105"/>
      <c r="K152" s="409" t="s">
        <v>191</v>
      </c>
      <c r="L152" s="87">
        <v>235</v>
      </c>
      <c r="M152" s="80">
        <v>31.513000000000002</v>
      </c>
      <c r="N152" s="407">
        <f t="shared" ref="N152:N153" si="60">L152-M152</f>
        <v>203.48699999999999</v>
      </c>
      <c r="O152" s="408">
        <f t="shared" ref="O152:O153" si="61">M152/L152</f>
        <v>0.13409787234042553</v>
      </c>
    </row>
    <row r="153" spans="1:15" hidden="1">
      <c r="A153" s="409" t="s">
        <v>687</v>
      </c>
      <c r="B153" s="409" t="s">
        <v>331</v>
      </c>
      <c r="C153" s="74">
        <v>44826</v>
      </c>
      <c r="D153" s="409">
        <v>1917</v>
      </c>
      <c r="E153" s="409" t="s">
        <v>670</v>
      </c>
      <c r="F153" s="409" t="s">
        <v>342</v>
      </c>
      <c r="G153" s="409" t="s">
        <v>211</v>
      </c>
      <c r="H153" s="409" t="s">
        <v>708</v>
      </c>
      <c r="I153" s="409">
        <v>925404</v>
      </c>
      <c r="J153" s="105"/>
      <c r="K153" s="409" t="s">
        <v>192</v>
      </c>
      <c r="L153" s="87">
        <v>205</v>
      </c>
      <c r="M153" s="80">
        <v>139.22200000000001</v>
      </c>
      <c r="N153" s="407">
        <f t="shared" si="60"/>
        <v>65.777999999999992</v>
      </c>
      <c r="O153" s="408">
        <f t="shared" si="61"/>
        <v>0.67913170731707317</v>
      </c>
    </row>
    <row r="154" spans="1:15" hidden="1">
      <c r="A154" s="409" t="s">
        <v>687</v>
      </c>
      <c r="B154" s="409" t="s">
        <v>331</v>
      </c>
      <c r="C154" s="74">
        <v>44826</v>
      </c>
      <c r="D154" s="409">
        <v>1917</v>
      </c>
      <c r="E154" s="409" t="s">
        <v>670</v>
      </c>
      <c r="F154" s="409" t="s">
        <v>342</v>
      </c>
      <c r="G154" s="409" t="s">
        <v>211</v>
      </c>
      <c r="H154" s="409" t="s">
        <v>387</v>
      </c>
      <c r="I154" s="409">
        <v>11718</v>
      </c>
      <c r="J154" s="105"/>
      <c r="K154" s="409" t="s">
        <v>191</v>
      </c>
      <c r="L154" s="87">
        <v>235</v>
      </c>
      <c r="M154" s="80">
        <v>10.15</v>
      </c>
      <c r="N154" s="407">
        <f t="shared" ref="N154:N155" si="62">L154-M154</f>
        <v>224.85</v>
      </c>
      <c r="O154" s="408">
        <f t="shared" ref="O154:O155" si="63">M154/L154</f>
        <v>4.3191489361702126E-2</v>
      </c>
    </row>
    <row r="155" spans="1:15" hidden="1">
      <c r="A155" s="409" t="s">
        <v>687</v>
      </c>
      <c r="B155" s="409" t="s">
        <v>331</v>
      </c>
      <c r="C155" s="74">
        <v>44826</v>
      </c>
      <c r="D155" s="409">
        <v>1917</v>
      </c>
      <c r="E155" s="409" t="s">
        <v>670</v>
      </c>
      <c r="F155" s="409" t="s">
        <v>342</v>
      </c>
      <c r="G155" s="409" t="s">
        <v>211</v>
      </c>
      <c r="H155" s="409" t="s">
        <v>387</v>
      </c>
      <c r="I155" s="409">
        <v>11718</v>
      </c>
      <c r="J155" s="105"/>
      <c r="K155" s="409" t="s">
        <v>192</v>
      </c>
      <c r="L155" s="87">
        <v>205</v>
      </c>
      <c r="M155" s="80">
        <v>429.84500000000003</v>
      </c>
      <c r="N155" s="407">
        <f t="shared" si="62"/>
        <v>-224.84500000000003</v>
      </c>
      <c r="O155" s="408">
        <f t="shared" si="63"/>
        <v>2.0968048780487805</v>
      </c>
    </row>
    <row r="156" spans="1:15" hidden="1">
      <c r="A156" s="409" t="s">
        <v>687</v>
      </c>
      <c r="B156" s="409" t="s">
        <v>331</v>
      </c>
      <c r="C156" s="74">
        <v>44826</v>
      </c>
      <c r="D156" s="409">
        <v>1917</v>
      </c>
      <c r="E156" s="409" t="s">
        <v>670</v>
      </c>
      <c r="F156" s="409" t="s">
        <v>342</v>
      </c>
      <c r="G156" s="409" t="s">
        <v>211</v>
      </c>
      <c r="H156" s="409" t="s">
        <v>557</v>
      </c>
      <c r="I156" s="409">
        <v>953746</v>
      </c>
      <c r="J156" s="105"/>
      <c r="K156" s="409" t="s">
        <v>191</v>
      </c>
      <c r="L156" s="87">
        <v>235</v>
      </c>
      <c r="M156" s="80">
        <v>12.804</v>
      </c>
      <c r="N156" s="407">
        <f t="shared" ref="N156:N157" si="64">L156-M156</f>
        <v>222.196</v>
      </c>
      <c r="O156" s="408">
        <f t="shared" ref="O156:O157" si="65">M156/L156</f>
        <v>5.4485106382978724E-2</v>
      </c>
    </row>
    <row r="157" spans="1:15" hidden="1">
      <c r="A157" s="409" t="s">
        <v>687</v>
      </c>
      <c r="B157" s="409" t="s">
        <v>331</v>
      </c>
      <c r="C157" s="74">
        <v>44826</v>
      </c>
      <c r="D157" s="409">
        <v>1917</v>
      </c>
      <c r="E157" s="409" t="s">
        <v>670</v>
      </c>
      <c r="F157" s="409" t="s">
        <v>342</v>
      </c>
      <c r="G157" s="409" t="s">
        <v>211</v>
      </c>
      <c r="H157" s="409" t="s">
        <v>557</v>
      </c>
      <c r="I157" s="409">
        <v>953746</v>
      </c>
      <c r="J157" s="105"/>
      <c r="K157" s="409" t="s">
        <v>192</v>
      </c>
      <c r="L157" s="87">
        <v>205</v>
      </c>
      <c r="M157" s="80">
        <v>48.661000000000001</v>
      </c>
      <c r="N157" s="407">
        <f t="shared" si="64"/>
        <v>156.339</v>
      </c>
      <c r="O157" s="408">
        <f t="shared" si="65"/>
        <v>0.23737073170731707</v>
      </c>
    </row>
    <row r="158" spans="1:15" hidden="1">
      <c r="A158" s="409" t="s">
        <v>687</v>
      </c>
      <c r="B158" s="409" t="s">
        <v>331</v>
      </c>
      <c r="C158" s="74">
        <v>44826</v>
      </c>
      <c r="D158" s="409">
        <v>1917</v>
      </c>
      <c r="E158" s="409" t="s">
        <v>670</v>
      </c>
      <c r="F158" s="409" t="s">
        <v>342</v>
      </c>
      <c r="G158" s="409" t="s">
        <v>211</v>
      </c>
      <c r="H158" s="409" t="s">
        <v>736</v>
      </c>
      <c r="I158" s="409">
        <v>950656</v>
      </c>
      <c r="J158" s="105"/>
      <c r="K158" s="409" t="s">
        <v>191</v>
      </c>
      <c r="L158" s="87">
        <v>235</v>
      </c>
      <c r="M158" s="80">
        <v>36.167000000000002</v>
      </c>
      <c r="N158" s="407">
        <f t="shared" ref="N158:N165" si="66">L158-M158</f>
        <v>198.833</v>
      </c>
      <c r="O158" s="408">
        <f t="shared" ref="O158:O165" si="67">M158/L158</f>
        <v>0.15390212765957448</v>
      </c>
    </row>
    <row r="159" spans="1:15" hidden="1">
      <c r="A159" s="409" t="s">
        <v>687</v>
      </c>
      <c r="B159" s="409" t="s">
        <v>331</v>
      </c>
      <c r="C159" s="74">
        <v>44826</v>
      </c>
      <c r="D159" s="409">
        <v>1917</v>
      </c>
      <c r="E159" s="409" t="s">
        <v>670</v>
      </c>
      <c r="F159" s="409" t="s">
        <v>342</v>
      </c>
      <c r="G159" s="409" t="s">
        <v>211</v>
      </c>
      <c r="H159" s="409" t="s">
        <v>736</v>
      </c>
      <c r="I159" s="409">
        <v>950656</v>
      </c>
      <c r="J159" s="105"/>
      <c r="K159" s="409" t="s">
        <v>192</v>
      </c>
      <c r="L159" s="87">
        <v>205</v>
      </c>
      <c r="M159" s="80">
        <v>403.43400000000003</v>
      </c>
      <c r="N159" s="407">
        <f t="shared" si="66"/>
        <v>-198.43400000000003</v>
      </c>
      <c r="O159" s="408">
        <f t="shared" si="67"/>
        <v>1.9679707317073172</v>
      </c>
    </row>
    <row r="160" spans="1:15" hidden="1">
      <c r="A160" s="409" t="s">
        <v>687</v>
      </c>
      <c r="B160" s="409" t="s">
        <v>331</v>
      </c>
      <c r="C160" s="74">
        <v>44826</v>
      </c>
      <c r="D160" s="409">
        <v>1917</v>
      </c>
      <c r="E160" s="409" t="s">
        <v>670</v>
      </c>
      <c r="F160" s="409" t="s">
        <v>342</v>
      </c>
      <c r="G160" s="409" t="s">
        <v>211</v>
      </c>
      <c r="H160" s="409" t="s">
        <v>583</v>
      </c>
      <c r="I160" s="409">
        <v>964500</v>
      </c>
      <c r="J160" s="105"/>
      <c r="K160" s="409" t="s">
        <v>191</v>
      </c>
      <c r="L160" s="87">
        <v>235</v>
      </c>
      <c r="M160" s="80">
        <v>59.732999999999997</v>
      </c>
      <c r="N160" s="407">
        <f t="shared" si="66"/>
        <v>175.267</v>
      </c>
      <c r="O160" s="408">
        <f t="shared" si="67"/>
        <v>0.25418297872340423</v>
      </c>
    </row>
    <row r="161" spans="1:15" hidden="1">
      <c r="A161" s="409" t="s">
        <v>687</v>
      </c>
      <c r="B161" s="409" t="s">
        <v>331</v>
      </c>
      <c r="C161" s="74">
        <v>44826</v>
      </c>
      <c r="D161" s="409">
        <v>1917</v>
      </c>
      <c r="E161" s="409" t="s">
        <v>670</v>
      </c>
      <c r="F161" s="409" t="s">
        <v>342</v>
      </c>
      <c r="G161" s="409" t="s">
        <v>211</v>
      </c>
      <c r="H161" s="409" t="s">
        <v>583</v>
      </c>
      <c r="I161" s="409">
        <v>964500</v>
      </c>
      <c r="J161" s="105"/>
      <c r="K161" s="409" t="s">
        <v>192</v>
      </c>
      <c r="L161" s="87">
        <v>205</v>
      </c>
      <c r="M161" s="80">
        <v>374.75700000000001</v>
      </c>
      <c r="N161" s="407">
        <f t="shared" si="66"/>
        <v>-169.75700000000001</v>
      </c>
      <c r="O161" s="408">
        <f t="shared" si="67"/>
        <v>1.8280829268292682</v>
      </c>
    </row>
    <row r="162" spans="1:15" hidden="1">
      <c r="A162" s="409" t="s">
        <v>687</v>
      </c>
      <c r="B162" s="409" t="s">
        <v>331</v>
      </c>
      <c r="C162" s="74">
        <v>44826</v>
      </c>
      <c r="D162" s="409">
        <v>1917</v>
      </c>
      <c r="E162" s="409" t="s">
        <v>670</v>
      </c>
      <c r="F162" s="409" t="s">
        <v>342</v>
      </c>
      <c r="G162" s="409" t="s">
        <v>211</v>
      </c>
      <c r="H162" s="409" t="s">
        <v>566</v>
      </c>
      <c r="I162" s="409">
        <v>916067</v>
      </c>
      <c r="J162" s="105"/>
      <c r="K162" s="409" t="s">
        <v>191</v>
      </c>
      <c r="L162" s="87">
        <v>235</v>
      </c>
      <c r="M162" s="80">
        <v>2.694</v>
      </c>
      <c r="N162" s="407">
        <f t="shared" si="66"/>
        <v>232.30600000000001</v>
      </c>
      <c r="O162" s="408">
        <f t="shared" si="67"/>
        <v>1.1463829787234042E-2</v>
      </c>
    </row>
    <row r="163" spans="1:15" hidden="1">
      <c r="A163" s="409" t="s">
        <v>687</v>
      </c>
      <c r="B163" s="409" t="s">
        <v>331</v>
      </c>
      <c r="C163" s="74">
        <v>44826</v>
      </c>
      <c r="D163" s="409">
        <v>1917</v>
      </c>
      <c r="E163" s="409" t="s">
        <v>670</v>
      </c>
      <c r="F163" s="409" t="s">
        <v>342</v>
      </c>
      <c r="G163" s="409" t="s">
        <v>211</v>
      </c>
      <c r="H163" s="409" t="s">
        <v>566</v>
      </c>
      <c r="I163" s="409">
        <v>916067</v>
      </c>
      <c r="J163" s="105"/>
      <c r="K163" s="409" t="s">
        <v>192</v>
      </c>
      <c r="L163" s="87">
        <v>205</v>
      </c>
      <c r="M163" s="80">
        <v>148.39599999999999</v>
      </c>
      <c r="N163" s="407">
        <f t="shared" si="66"/>
        <v>56.604000000000013</v>
      </c>
      <c r="O163" s="408">
        <f t="shared" si="67"/>
        <v>0.72388292682926825</v>
      </c>
    </row>
    <row r="164" spans="1:15" hidden="1">
      <c r="A164" s="409" t="s">
        <v>687</v>
      </c>
      <c r="B164" s="409" t="s">
        <v>331</v>
      </c>
      <c r="C164" s="74">
        <v>44826</v>
      </c>
      <c r="D164" s="409">
        <v>1917</v>
      </c>
      <c r="E164" s="409" t="s">
        <v>670</v>
      </c>
      <c r="F164" s="409" t="s">
        <v>342</v>
      </c>
      <c r="G164" s="409" t="s">
        <v>211</v>
      </c>
      <c r="H164" s="409" t="s">
        <v>567</v>
      </c>
      <c r="I164" s="409">
        <v>964972</v>
      </c>
      <c r="J164" s="105"/>
      <c r="K164" s="409" t="s">
        <v>191</v>
      </c>
      <c r="L164" s="87">
        <v>235</v>
      </c>
      <c r="M164" s="80">
        <v>133.91800000000001</v>
      </c>
      <c r="N164" s="407">
        <f t="shared" si="66"/>
        <v>101.08199999999999</v>
      </c>
      <c r="O164" s="408">
        <f t="shared" si="67"/>
        <v>0.56986382978723404</v>
      </c>
    </row>
    <row r="165" spans="1:15" hidden="1">
      <c r="A165" s="409" t="s">
        <v>687</v>
      </c>
      <c r="B165" s="409" t="s">
        <v>331</v>
      </c>
      <c r="C165" s="74">
        <v>44826</v>
      </c>
      <c r="D165" s="409">
        <v>1917</v>
      </c>
      <c r="E165" s="409" t="s">
        <v>670</v>
      </c>
      <c r="F165" s="409" t="s">
        <v>342</v>
      </c>
      <c r="G165" s="409" t="s">
        <v>211</v>
      </c>
      <c r="H165" s="409" t="s">
        <v>567</v>
      </c>
      <c r="I165" s="409">
        <v>964972</v>
      </c>
      <c r="J165" s="105"/>
      <c r="K165" s="409" t="s">
        <v>192</v>
      </c>
      <c r="L165" s="87">
        <v>205</v>
      </c>
      <c r="M165" s="80">
        <v>306.077</v>
      </c>
      <c r="N165" s="407">
        <f t="shared" si="66"/>
        <v>-101.077</v>
      </c>
      <c r="O165" s="408">
        <f t="shared" si="67"/>
        <v>1.4930585365853659</v>
      </c>
    </row>
    <row r="166" spans="1:15" hidden="1">
      <c r="A166" s="409" t="s">
        <v>687</v>
      </c>
      <c r="B166" s="409" t="s">
        <v>331</v>
      </c>
      <c r="C166" s="74">
        <v>44826</v>
      </c>
      <c r="D166" s="409">
        <v>1917</v>
      </c>
      <c r="E166" s="409" t="s">
        <v>670</v>
      </c>
      <c r="F166" s="409" t="s">
        <v>342</v>
      </c>
      <c r="G166" s="409" t="s">
        <v>211</v>
      </c>
      <c r="H166" s="409" t="s">
        <v>565</v>
      </c>
      <c r="I166" s="409">
        <v>956926</v>
      </c>
      <c r="J166" s="105"/>
      <c r="K166" s="409" t="s">
        <v>191</v>
      </c>
      <c r="L166" s="87">
        <v>235</v>
      </c>
      <c r="M166" s="80">
        <v>22.181000000000001</v>
      </c>
      <c r="N166" s="407">
        <f t="shared" ref="N166:N167" si="68">L166-M166</f>
        <v>212.81899999999999</v>
      </c>
      <c r="O166" s="408">
        <f t="shared" ref="O166:O167" si="69">M166/L166</f>
        <v>9.4387234042553197E-2</v>
      </c>
    </row>
    <row r="167" spans="1:15" hidden="1">
      <c r="A167" s="409" t="s">
        <v>687</v>
      </c>
      <c r="B167" s="409" t="s">
        <v>331</v>
      </c>
      <c r="C167" s="74">
        <v>44826</v>
      </c>
      <c r="D167" s="409">
        <v>1917</v>
      </c>
      <c r="E167" s="409" t="s">
        <v>670</v>
      </c>
      <c r="F167" s="409" t="s">
        <v>342</v>
      </c>
      <c r="G167" s="409" t="s">
        <v>211</v>
      </c>
      <c r="H167" s="409" t="s">
        <v>565</v>
      </c>
      <c r="I167" s="409">
        <v>956926</v>
      </c>
      <c r="J167" s="105"/>
      <c r="K167" s="409" t="s">
        <v>192</v>
      </c>
      <c r="L167" s="87">
        <v>205</v>
      </c>
      <c r="M167" s="80">
        <v>417.79899999999998</v>
      </c>
      <c r="N167" s="407">
        <f t="shared" si="68"/>
        <v>-212.79899999999998</v>
      </c>
      <c r="O167" s="408">
        <f t="shared" si="69"/>
        <v>2.0380439024390244</v>
      </c>
    </row>
    <row r="168" spans="1:15" hidden="1">
      <c r="A168" s="409" t="s">
        <v>687</v>
      </c>
      <c r="B168" s="409" t="s">
        <v>331</v>
      </c>
      <c r="C168" s="74">
        <v>44826</v>
      </c>
      <c r="D168" s="105">
        <v>1919</v>
      </c>
      <c r="E168" s="409" t="s">
        <v>670</v>
      </c>
      <c r="F168" s="409" t="s">
        <v>342</v>
      </c>
      <c r="G168" s="409" t="s">
        <v>211</v>
      </c>
      <c r="H168" s="409" t="s">
        <v>563</v>
      </c>
      <c r="I168" s="409">
        <v>966133</v>
      </c>
      <c r="J168" s="105"/>
      <c r="K168" s="409" t="s">
        <v>191</v>
      </c>
      <c r="L168" s="87">
        <v>100</v>
      </c>
      <c r="M168" s="80"/>
      <c r="N168" s="407">
        <f t="shared" ref="N168:N169" si="70">L168-M168</f>
        <v>100</v>
      </c>
      <c r="O168" s="408">
        <f t="shared" ref="O168:O169" si="71">M168/L168</f>
        <v>0</v>
      </c>
    </row>
    <row r="169" spans="1:15" hidden="1">
      <c r="A169" s="409" t="s">
        <v>687</v>
      </c>
      <c r="B169" s="409" t="s">
        <v>331</v>
      </c>
      <c r="C169" s="74">
        <v>44826</v>
      </c>
      <c r="D169" s="409">
        <v>1919</v>
      </c>
      <c r="E169" s="409" t="s">
        <v>670</v>
      </c>
      <c r="F169" s="409" t="s">
        <v>342</v>
      </c>
      <c r="G169" s="409" t="s">
        <v>211</v>
      </c>
      <c r="H169" s="409" t="s">
        <v>563</v>
      </c>
      <c r="I169" s="409">
        <v>966133</v>
      </c>
      <c r="J169" s="105"/>
      <c r="K169" s="409" t="s">
        <v>192</v>
      </c>
      <c r="L169" s="87">
        <v>100</v>
      </c>
      <c r="M169" s="80">
        <v>98.748000000000005</v>
      </c>
      <c r="N169" s="407">
        <f t="shared" si="70"/>
        <v>1.2519999999999953</v>
      </c>
      <c r="O169" s="408">
        <f t="shared" si="71"/>
        <v>0.98748000000000002</v>
      </c>
    </row>
    <row r="170" spans="1:15" hidden="1">
      <c r="A170" s="409" t="s">
        <v>687</v>
      </c>
      <c r="B170" s="409" t="s">
        <v>331</v>
      </c>
      <c r="C170" s="74">
        <v>44826</v>
      </c>
      <c r="D170" s="409">
        <v>1919</v>
      </c>
      <c r="E170" s="409" t="s">
        <v>670</v>
      </c>
      <c r="F170" s="409" t="s">
        <v>342</v>
      </c>
      <c r="G170" s="409" t="s">
        <v>211</v>
      </c>
      <c r="H170" s="409" t="s">
        <v>686</v>
      </c>
      <c r="I170" s="409">
        <v>697771</v>
      </c>
      <c r="J170" s="105"/>
      <c r="K170" s="409" t="s">
        <v>191</v>
      </c>
      <c r="L170" s="87">
        <v>175</v>
      </c>
      <c r="M170" s="80">
        <v>5.3929999999999998</v>
      </c>
      <c r="N170" s="407">
        <f t="shared" ref="N170:N175" si="72">L170-M170</f>
        <v>169.607</v>
      </c>
      <c r="O170" s="408">
        <f t="shared" ref="O170:O175" si="73">M170/L170</f>
        <v>3.0817142857142855E-2</v>
      </c>
    </row>
    <row r="171" spans="1:15" hidden="1">
      <c r="A171" s="409" t="s">
        <v>687</v>
      </c>
      <c r="B171" s="409" t="s">
        <v>331</v>
      </c>
      <c r="C171" s="74">
        <v>44826</v>
      </c>
      <c r="D171" s="409">
        <v>1919</v>
      </c>
      <c r="E171" s="409" t="s">
        <v>670</v>
      </c>
      <c r="F171" s="409" t="s">
        <v>342</v>
      </c>
      <c r="G171" s="409" t="s">
        <v>211</v>
      </c>
      <c r="H171" s="409" t="s">
        <v>686</v>
      </c>
      <c r="I171" s="409">
        <v>697771</v>
      </c>
      <c r="J171" s="105"/>
      <c r="K171" s="409" t="s">
        <v>192</v>
      </c>
      <c r="L171" s="87">
        <v>175</v>
      </c>
      <c r="M171" s="80"/>
      <c r="N171" s="407">
        <f t="shared" si="72"/>
        <v>175</v>
      </c>
      <c r="O171" s="408">
        <f t="shared" si="73"/>
        <v>0</v>
      </c>
    </row>
    <row r="172" spans="1:15" hidden="1">
      <c r="A172" s="409" t="s">
        <v>687</v>
      </c>
      <c r="B172" s="409" t="s">
        <v>331</v>
      </c>
      <c r="C172" s="74">
        <v>44826</v>
      </c>
      <c r="D172" s="409">
        <v>1919</v>
      </c>
      <c r="E172" s="409" t="s">
        <v>670</v>
      </c>
      <c r="F172" s="409" t="s">
        <v>342</v>
      </c>
      <c r="G172" s="409" t="s">
        <v>211</v>
      </c>
      <c r="H172" s="409" t="s">
        <v>560</v>
      </c>
      <c r="I172" s="409">
        <v>915627</v>
      </c>
      <c r="J172" s="105"/>
      <c r="K172" s="409" t="s">
        <v>191</v>
      </c>
      <c r="L172" s="87">
        <v>175</v>
      </c>
      <c r="M172" s="80">
        <v>6.6390000000000002</v>
      </c>
      <c r="N172" s="407">
        <f t="shared" si="72"/>
        <v>168.36099999999999</v>
      </c>
      <c r="O172" s="408">
        <f t="shared" si="73"/>
        <v>3.7937142857142857E-2</v>
      </c>
    </row>
    <row r="173" spans="1:15" hidden="1">
      <c r="A173" s="409" t="s">
        <v>687</v>
      </c>
      <c r="B173" s="409" t="s">
        <v>331</v>
      </c>
      <c r="C173" s="74">
        <v>44826</v>
      </c>
      <c r="D173" s="409">
        <v>1919</v>
      </c>
      <c r="E173" s="409" t="s">
        <v>670</v>
      </c>
      <c r="F173" s="409" t="s">
        <v>342</v>
      </c>
      <c r="G173" s="409" t="s">
        <v>211</v>
      </c>
      <c r="H173" s="409" t="s">
        <v>560</v>
      </c>
      <c r="I173" s="409">
        <v>915627</v>
      </c>
      <c r="J173" s="87"/>
      <c r="K173" s="409" t="s">
        <v>192</v>
      </c>
      <c r="L173" s="87">
        <v>175</v>
      </c>
      <c r="M173" s="80">
        <v>39.640999999999998</v>
      </c>
      <c r="N173" s="407">
        <f t="shared" si="72"/>
        <v>135.35900000000001</v>
      </c>
      <c r="O173" s="408">
        <f t="shared" si="73"/>
        <v>0.22652</v>
      </c>
    </row>
    <row r="174" spans="1:15" hidden="1">
      <c r="A174" s="409" t="s">
        <v>687</v>
      </c>
      <c r="B174" s="409" t="s">
        <v>331</v>
      </c>
      <c r="C174" s="74">
        <v>44826</v>
      </c>
      <c r="D174" s="409">
        <v>1919</v>
      </c>
      <c r="E174" s="409" t="s">
        <v>670</v>
      </c>
      <c r="F174" s="409" t="s">
        <v>342</v>
      </c>
      <c r="G174" s="409" t="s">
        <v>211</v>
      </c>
      <c r="H174" s="409" t="s">
        <v>569</v>
      </c>
      <c r="I174" s="409">
        <v>698145</v>
      </c>
      <c r="J174" s="87"/>
      <c r="K174" s="409" t="s">
        <v>191</v>
      </c>
      <c r="L174" s="87">
        <v>175</v>
      </c>
      <c r="M174" s="80">
        <v>20.132999999999999</v>
      </c>
      <c r="N174" s="407">
        <f t="shared" si="72"/>
        <v>154.86699999999999</v>
      </c>
      <c r="O174" s="408">
        <f t="shared" si="73"/>
        <v>0.11504571428571428</v>
      </c>
    </row>
    <row r="175" spans="1:15" hidden="1">
      <c r="A175" s="409" t="s">
        <v>687</v>
      </c>
      <c r="B175" s="409" t="s">
        <v>331</v>
      </c>
      <c r="C175" s="74">
        <v>44826</v>
      </c>
      <c r="D175" s="409">
        <v>1919</v>
      </c>
      <c r="E175" s="409" t="s">
        <v>670</v>
      </c>
      <c r="F175" s="409" t="s">
        <v>342</v>
      </c>
      <c r="G175" s="409" t="s">
        <v>211</v>
      </c>
      <c r="H175" s="409" t="s">
        <v>569</v>
      </c>
      <c r="I175" s="409">
        <v>698145</v>
      </c>
      <c r="J175" s="118"/>
      <c r="K175" s="409" t="s">
        <v>192</v>
      </c>
      <c r="L175" s="87">
        <v>175</v>
      </c>
      <c r="M175" s="80">
        <v>329.86700000000002</v>
      </c>
      <c r="N175" s="407">
        <f t="shared" si="72"/>
        <v>-154.86700000000002</v>
      </c>
      <c r="O175" s="408">
        <f t="shared" si="73"/>
        <v>1.8849542857142858</v>
      </c>
    </row>
    <row r="176" spans="1:15" hidden="1">
      <c r="A176" s="406" t="s">
        <v>673</v>
      </c>
      <c r="B176" s="406" t="s">
        <v>331</v>
      </c>
      <c r="C176" s="124">
        <v>44827</v>
      </c>
      <c r="D176" s="137">
        <v>1936</v>
      </c>
      <c r="E176" s="409" t="s">
        <v>670</v>
      </c>
      <c r="F176" s="409" t="s">
        <v>342</v>
      </c>
      <c r="G176" s="409" t="s">
        <v>211</v>
      </c>
      <c r="H176" s="406" t="s">
        <v>678</v>
      </c>
      <c r="I176" s="137">
        <v>968071</v>
      </c>
      <c r="J176" s="118"/>
      <c r="K176" s="409" t="s">
        <v>191</v>
      </c>
      <c r="L176" s="87">
        <v>20</v>
      </c>
      <c r="M176" s="80">
        <f>20</f>
        <v>20</v>
      </c>
      <c r="N176" s="407">
        <f t="shared" ref="N176:N177" si="74">L176-M176</f>
        <v>0</v>
      </c>
      <c r="O176" s="408">
        <f t="shared" ref="O176:O177" si="75">M176/L176</f>
        <v>1</v>
      </c>
    </row>
    <row r="177" spans="1:15" hidden="1">
      <c r="A177" s="406" t="s">
        <v>673</v>
      </c>
      <c r="B177" s="406" t="s">
        <v>331</v>
      </c>
      <c r="C177" s="124">
        <v>44827</v>
      </c>
      <c r="D177" s="406">
        <v>1936</v>
      </c>
      <c r="E177" s="409" t="s">
        <v>670</v>
      </c>
      <c r="F177" s="409" t="s">
        <v>342</v>
      </c>
      <c r="G177" s="409" t="s">
        <v>211</v>
      </c>
      <c r="H177" s="406" t="s">
        <v>678</v>
      </c>
      <c r="I177" s="406">
        <v>968071</v>
      </c>
      <c r="J177" s="118"/>
      <c r="K177" s="409" t="s">
        <v>192</v>
      </c>
      <c r="L177" s="87">
        <v>230</v>
      </c>
      <c r="M177" s="80">
        <v>230</v>
      </c>
      <c r="N177" s="407">
        <f t="shared" si="74"/>
        <v>0</v>
      </c>
      <c r="O177" s="408">
        <f t="shared" si="75"/>
        <v>1</v>
      </c>
    </row>
    <row r="178" spans="1:15" hidden="1">
      <c r="A178" s="406" t="s">
        <v>673</v>
      </c>
      <c r="B178" s="406" t="s">
        <v>331</v>
      </c>
      <c r="C178" s="124">
        <v>44827</v>
      </c>
      <c r="D178" s="406">
        <v>1936</v>
      </c>
      <c r="E178" s="409" t="s">
        <v>670</v>
      </c>
      <c r="F178" s="409" t="s">
        <v>342</v>
      </c>
      <c r="G178" s="409" t="s">
        <v>211</v>
      </c>
      <c r="H178" s="409" t="s">
        <v>716</v>
      </c>
      <c r="I178" s="409">
        <v>965526</v>
      </c>
      <c r="J178" s="118"/>
      <c r="K178" s="409" t="s">
        <v>191</v>
      </c>
      <c r="L178" s="87">
        <v>20</v>
      </c>
      <c r="M178" s="80">
        <v>20</v>
      </c>
      <c r="N178" s="407">
        <f t="shared" ref="N178:N183" si="76">L178-M178</f>
        <v>0</v>
      </c>
      <c r="O178" s="408">
        <f t="shared" ref="O178:O183" si="77">M178/L178</f>
        <v>1</v>
      </c>
    </row>
    <row r="179" spans="1:15" hidden="1">
      <c r="A179" s="406" t="s">
        <v>673</v>
      </c>
      <c r="B179" s="406" t="s">
        <v>331</v>
      </c>
      <c r="C179" s="124">
        <v>44827</v>
      </c>
      <c r="D179" s="406">
        <v>1936</v>
      </c>
      <c r="E179" s="409" t="s">
        <v>670</v>
      </c>
      <c r="F179" s="409" t="s">
        <v>342</v>
      </c>
      <c r="G179" s="409" t="s">
        <v>211</v>
      </c>
      <c r="H179" s="409" t="s">
        <v>716</v>
      </c>
      <c r="I179" s="409">
        <v>965526</v>
      </c>
      <c r="J179" s="118"/>
      <c r="K179" s="409" t="s">
        <v>192</v>
      </c>
      <c r="L179" s="87">
        <v>230</v>
      </c>
      <c r="M179" s="80">
        <v>230</v>
      </c>
      <c r="N179" s="407">
        <f t="shared" si="76"/>
        <v>0</v>
      </c>
      <c r="O179" s="408">
        <f t="shared" si="77"/>
        <v>1</v>
      </c>
    </row>
    <row r="180" spans="1:15" hidden="1">
      <c r="A180" s="406" t="s">
        <v>673</v>
      </c>
      <c r="B180" s="406" t="s">
        <v>331</v>
      </c>
      <c r="C180" s="124">
        <v>44827</v>
      </c>
      <c r="D180" s="406">
        <v>1936</v>
      </c>
      <c r="E180" s="409" t="s">
        <v>670</v>
      </c>
      <c r="F180" s="409" t="s">
        <v>342</v>
      </c>
      <c r="G180" s="409" t="s">
        <v>211</v>
      </c>
      <c r="H180" s="409" t="s">
        <v>682</v>
      </c>
      <c r="I180" s="409">
        <v>966254</v>
      </c>
      <c r="J180" s="118"/>
      <c r="K180" s="409" t="s">
        <v>191</v>
      </c>
      <c r="L180" s="87">
        <v>20</v>
      </c>
      <c r="M180" s="80">
        <v>18.978999999999999</v>
      </c>
      <c r="N180" s="407">
        <f t="shared" si="76"/>
        <v>1.0210000000000008</v>
      </c>
      <c r="O180" s="408">
        <f t="shared" si="77"/>
        <v>0.94894999999999996</v>
      </c>
    </row>
    <row r="181" spans="1:15" hidden="1">
      <c r="A181" s="406" t="s">
        <v>673</v>
      </c>
      <c r="B181" s="406" t="s">
        <v>331</v>
      </c>
      <c r="C181" s="124">
        <v>44827</v>
      </c>
      <c r="D181" s="406">
        <v>1936</v>
      </c>
      <c r="E181" s="409" t="s">
        <v>670</v>
      </c>
      <c r="F181" s="409" t="s">
        <v>342</v>
      </c>
      <c r="G181" s="409" t="s">
        <v>211</v>
      </c>
      <c r="H181" s="409" t="s">
        <v>682</v>
      </c>
      <c r="I181" s="409">
        <v>966254</v>
      </c>
      <c r="J181" s="118"/>
      <c r="K181" s="409" t="s">
        <v>192</v>
      </c>
      <c r="L181" s="87">
        <v>230</v>
      </c>
      <c r="M181" s="80">
        <v>231.02099999999999</v>
      </c>
      <c r="N181" s="407">
        <f t="shared" si="76"/>
        <v>-1.0209999999999866</v>
      </c>
      <c r="O181" s="408">
        <f t="shared" si="77"/>
        <v>1.0044391304347826</v>
      </c>
    </row>
    <row r="182" spans="1:15" hidden="1">
      <c r="A182" s="406" t="s">
        <v>673</v>
      </c>
      <c r="B182" s="406" t="s">
        <v>331</v>
      </c>
      <c r="C182" s="124">
        <v>44827</v>
      </c>
      <c r="D182" s="406">
        <v>1936</v>
      </c>
      <c r="E182" s="409" t="s">
        <v>670</v>
      </c>
      <c r="F182" s="409" t="s">
        <v>342</v>
      </c>
      <c r="G182" s="409" t="s">
        <v>211</v>
      </c>
      <c r="H182" s="406" t="s">
        <v>675</v>
      </c>
      <c r="I182" s="136">
        <v>968475</v>
      </c>
      <c r="J182" s="118"/>
      <c r="K182" s="409" t="s">
        <v>191</v>
      </c>
      <c r="L182" s="87">
        <v>20</v>
      </c>
      <c r="M182" s="80"/>
      <c r="N182" s="407">
        <f t="shared" si="76"/>
        <v>20</v>
      </c>
      <c r="O182" s="408">
        <f t="shared" si="77"/>
        <v>0</v>
      </c>
    </row>
    <row r="183" spans="1:15" hidden="1">
      <c r="A183" s="406" t="s">
        <v>673</v>
      </c>
      <c r="B183" s="406" t="s">
        <v>331</v>
      </c>
      <c r="C183" s="124">
        <v>44827</v>
      </c>
      <c r="D183" s="406">
        <v>1936</v>
      </c>
      <c r="E183" s="409" t="s">
        <v>670</v>
      </c>
      <c r="F183" s="409" t="s">
        <v>342</v>
      </c>
      <c r="G183" s="409" t="s">
        <v>211</v>
      </c>
      <c r="H183" s="406" t="s">
        <v>675</v>
      </c>
      <c r="I183" s="406">
        <v>968475</v>
      </c>
      <c r="J183" s="118"/>
      <c r="K183" s="409" t="s">
        <v>192</v>
      </c>
      <c r="L183" s="87">
        <v>230</v>
      </c>
      <c r="M183" s="80"/>
      <c r="N183" s="407">
        <f t="shared" si="76"/>
        <v>230</v>
      </c>
      <c r="O183" s="408">
        <f t="shared" si="77"/>
        <v>0</v>
      </c>
    </row>
    <row r="184" spans="1:15" hidden="1">
      <c r="A184" s="410" t="s">
        <v>769</v>
      </c>
      <c r="B184" s="410" t="s">
        <v>331</v>
      </c>
      <c r="C184" s="124">
        <v>44832</v>
      </c>
      <c r="D184" s="136">
        <v>1984</v>
      </c>
      <c r="E184" s="412" t="s">
        <v>670</v>
      </c>
      <c r="F184" s="412" t="s">
        <v>342</v>
      </c>
      <c r="G184" s="412" t="s">
        <v>211</v>
      </c>
      <c r="H184" s="410" t="s">
        <v>675</v>
      </c>
      <c r="I184" s="410">
        <v>968475</v>
      </c>
      <c r="J184" s="118"/>
      <c r="K184" s="412" t="s">
        <v>191</v>
      </c>
      <c r="L184" s="87">
        <v>40</v>
      </c>
      <c r="M184" s="80">
        <v>45.353999999999999</v>
      </c>
      <c r="N184" s="411">
        <f t="shared" ref="N184:N193" si="78">L184-M184</f>
        <v>-5.3539999999999992</v>
      </c>
      <c r="O184" s="413">
        <f t="shared" ref="O184:O193" si="79">M184/L184</f>
        <v>1.13385</v>
      </c>
    </row>
    <row r="185" spans="1:15" hidden="1">
      <c r="A185" s="410" t="s">
        <v>769</v>
      </c>
      <c r="B185" s="410" t="s">
        <v>331</v>
      </c>
      <c r="C185" s="124">
        <v>44832</v>
      </c>
      <c r="D185" s="410">
        <v>1984</v>
      </c>
      <c r="E185" s="412" t="s">
        <v>670</v>
      </c>
      <c r="F185" s="412" t="s">
        <v>342</v>
      </c>
      <c r="G185" s="412" t="s">
        <v>211</v>
      </c>
      <c r="H185" s="410" t="s">
        <v>675</v>
      </c>
      <c r="I185" s="410">
        <v>968475</v>
      </c>
      <c r="J185" s="118"/>
      <c r="K185" s="412" t="s">
        <v>192</v>
      </c>
      <c r="L185" s="87">
        <v>560</v>
      </c>
      <c r="M185" s="80">
        <v>259.03100000000001</v>
      </c>
      <c r="N185" s="411">
        <f t="shared" si="78"/>
        <v>300.96899999999999</v>
      </c>
      <c r="O185" s="413">
        <f t="shared" si="79"/>
        <v>0.46255535714285717</v>
      </c>
    </row>
    <row r="186" spans="1:15" hidden="1">
      <c r="A186" s="414" t="s">
        <v>687</v>
      </c>
      <c r="B186" s="414" t="s">
        <v>331</v>
      </c>
      <c r="C186" s="124">
        <v>44838</v>
      </c>
      <c r="D186" s="136">
        <v>2006</v>
      </c>
      <c r="E186" s="417" t="s">
        <v>670</v>
      </c>
      <c r="F186" s="417" t="s">
        <v>342</v>
      </c>
      <c r="G186" s="417" t="s">
        <v>211</v>
      </c>
      <c r="H186" s="417" t="s">
        <v>636</v>
      </c>
      <c r="I186" s="417">
        <v>951220</v>
      </c>
      <c r="J186" s="417"/>
      <c r="K186" s="417" t="s">
        <v>191</v>
      </c>
      <c r="L186" s="87">
        <v>235</v>
      </c>
      <c r="M186" s="80">
        <v>26.030999999999999</v>
      </c>
      <c r="N186" s="415">
        <f t="shared" si="78"/>
        <v>208.96899999999999</v>
      </c>
      <c r="O186" s="416">
        <f t="shared" si="79"/>
        <v>0.11077021276595744</v>
      </c>
    </row>
    <row r="187" spans="1:15" hidden="1">
      <c r="A187" s="414" t="s">
        <v>687</v>
      </c>
      <c r="B187" s="414" t="s">
        <v>331</v>
      </c>
      <c r="C187" s="124">
        <v>44838</v>
      </c>
      <c r="D187" s="414">
        <v>2006</v>
      </c>
      <c r="E187" s="417" t="s">
        <v>670</v>
      </c>
      <c r="F187" s="417" t="s">
        <v>342</v>
      </c>
      <c r="G187" s="417" t="s">
        <v>211</v>
      </c>
      <c r="H187" s="417" t="s">
        <v>636</v>
      </c>
      <c r="I187" s="417">
        <v>951220</v>
      </c>
      <c r="J187" s="417"/>
      <c r="K187" s="417" t="s">
        <v>192</v>
      </c>
      <c r="L187" s="87">
        <v>205</v>
      </c>
      <c r="M187" s="80">
        <v>360.23399999999998</v>
      </c>
      <c r="N187" s="415">
        <f t="shared" si="78"/>
        <v>-155.23399999999998</v>
      </c>
      <c r="O187" s="416">
        <f t="shared" si="79"/>
        <v>1.7572390243902438</v>
      </c>
    </row>
    <row r="188" spans="1:15" hidden="1">
      <c r="A188" s="105" t="s">
        <v>653</v>
      </c>
      <c r="B188" s="105" t="s">
        <v>331</v>
      </c>
      <c r="C188" s="74">
        <v>44848</v>
      </c>
      <c r="D188" s="105">
        <v>2092</v>
      </c>
      <c r="E188" s="105" t="s">
        <v>670</v>
      </c>
      <c r="F188" s="105" t="s">
        <v>333</v>
      </c>
      <c r="G188" s="105" t="s">
        <v>211</v>
      </c>
      <c r="H188" s="418" t="s">
        <v>675</v>
      </c>
      <c r="I188" s="418">
        <v>968475</v>
      </c>
      <c r="J188" s="118"/>
      <c r="K188" s="421" t="s">
        <v>191</v>
      </c>
      <c r="L188" s="87">
        <v>25</v>
      </c>
      <c r="M188" s="80">
        <v>12.997</v>
      </c>
      <c r="N188" s="419">
        <f t="shared" si="78"/>
        <v>12.003</v>
      </c>
      <c r="O188" s="420">
        <f t="shared" si="79"/>
        <v>0.51988000000000001</v>
      </c>
    </row>
    <row r="189" spans="1:15" hidden="1">
      <c r="A189" s="421" t="s">
        <v>653</v>
      </c>
      <c r="B189" s="421" t="s">
        <v>331</v>
      </c>
      <c r="C189" s="74">
        <v>44848</v>
      </c>
      <c r="D189" s="421">
        <v>2092</v>
      </c>
      <c r="E189" s="421" t="s">
        <v>670</v>
      </c>
      <c r="F189" s="421" t="s">
        <v>333</v>
      </c>
      <c r="G189" s="421" t="s">
        <v>211</v>
      </c>
      <c r="H189" s="418" t="s">
        <v>675</v>
      </c>
      <c r="I189" s="418">
        <v>968475</v>
      </c>
      <c r="J189" s="118"/>
      <c r="K189" s="421" t="s">
        <v>192</v>
      </c>
      <c r="L189" s="87">
        <v>475</v>
      </c>
      <c r="M189" s="80">
        <v>487.00299999999999</v>
      </c>
      <c r="N189" s="419">
        <f t="shared" si="78"/>
        <v>-12.002999999999986</v>
      </c>
      <c r="O189" s="420">
        <f t="shared" si="79"/>
        <v>1.0252694736842105</v>
      </c>
    </row>
    <row r="190" spans="1:15" hidden="1">
      <c r="A190" s="421" t="s">
        <v>653</v>
      </c>
      <c r="B190" s="421" t="s">
        <v>331</v>
      </c>
      <c r="C190" s="74">
        <v>44848</v>
      </c>
      <c r="D190" s="421">
        <v>2092</v>
      </c>
      <c r="E190" s="421" t="s">
        <v>670</v>
      </c>
      <c r="F190" s="421" t="s">
        <v>333</v>
      </c>
      <c r="G190" s="421" t="s">
        <v>211</v>
      </c>
      <c r="H190" s="418" t="s">
        <v>678</v>
      </c>
      <c r="I190" s="418">
        <v>968071</v>
      </c>
      <c r="J190" s="118"/>
      <c r="K190" s="421" t="s">
        <v>191</v>
      </c>
      <c r="L190" s="87">
        <v>25</v>
      </c>
      <c r="M190" s="80">
        <v>4.2779999999999996</v>
      </c>
      <c r="N190" s="419">
        <f t="shared" si="78"/>
        <v>20.722000000000001</v>
      </c>
      <c r="O190" s="420">
        <f t="shared" si="79"/>
        <v>0.17111999999999999</v>
      </c>
    </row>
    <row r="191" spans="1:15" hidden="1">
      <c r="A191" s="421" t="s">
        <v>653</v>
      </c>
      <c r="B191" s="421" t="s">
        <v>331</v>
      </c>
      <c r="C191" s="74">
        <v>44848</v>
      </c>
      <c r="D191" s="421">
        <v>2092</v>
      </c>
      <c r="E191" s="421" t="s">
        <v>670</v>
      </c>
      <c r="F191" s="421" t="s">
        <v>333</v>
      </c>
      <c r="G191" s="421" t="s">
        <v>211</v>
      </c>
      <c r="H191" s="418" t="s">
        <v>678</v>
      </c>
      <c r="I191" s="418">
        <v>968071</v>
      </c>
      <c r="J191" s="118"/>
      <c r="K191" s="421" t="s">
        <v>192</v>
      </c>
      <c r="L191" s="87">
        <v>475</v>
      </c>
      <c r="M191" s="80">
        <v>163.89500000000001</v>
      </c>
      <c r="N191" s="419">
        <f t="shared" si="78"/>
        <v>311.10500000000002</v>
      </c>
      <c r="O191" s="420">
        <f t="shared" si="79"/>
        <v>0.34504210526315793</v>
      </c>
    </row>
    <row r="192" spans="1:15">
      <c r="A192" s="425" t="s">
        <v>769</v>
      </c>
      <c r="B192" s="425" t="s">
        <v>331</v>
      </c>
      <c r="C192" s="74">
        <v>44861</v>
      </c>
      <c r="D192" s="105">
        <v>2167</v>
      </c>
      <c r="E192" s="425" t="s">
        <v>670</v>
      </c>
      <c r="F192" s="425" t="s">
        <v>333</v>
      </c>
      <c r="G192" s="425" t="s">
        <v>212</v>
      </c>
      <c r="H192" s="425" t="s">
        <v>554</v>
      </c>
      <c r="I192" s="425">
        <v>965369</v>
      </c>
      <c r="J192" s="118"/>
      <c r="K192" s="425" t="s">
        <v>191</v>
      </c>
      <c r="L192" s="108">
        <v>5</v>
      </c>
      <c r="M192" s="82"/>
      <c r="N192" s="426">
        <f t="shared" si="78"/>
        <v>5</v>
      </c>
      <c r="O192" s="428">
        <f t="shared" si="79"/>
        <v>0</v>
      </c>
    </row>
    <row r="193" spans="1:15">
      <c r="A193" s="425" t="s">
        <v>769</v>
      </c>
      <c r="B193" s="425" t="s">
        <v>331</v>
      </c>
      <c r="C193" s="74">
        <v>44861</v>
      </c>
      <c r="D193" s="427">
        <v>2167</v>
      </c>
      <c r="E193" s="425" t="s">
        <v>670</v>
      </c>
      <c r="F193" s="425" t="s">
        <v>333</v>
      </c>
      <c r="G193" s="425" t="s">
        <v>212</v>
      </c>
      <c r="H193" s="425" t="s">
        <v>554</v>
      </c>
      <c r="I193" s="425">
        <v>965369</v>
      </c>
      <c r="J193" s="118"/>
      <c r="K193" s="425" t="s">
        <v>192</v>
      </c>
      <c r="L193" s="108">
        <v>245</v>
      </c>
      <c r="M193" s="82">
        <v>249.7</v>
      </c>
      <c r="N193" s="426">
        <f t="shared" si="78"/>
        <v>-4.6999999999999886</v>
      </c>
      <c r="O193" s="428">
        <f t="shared" si="79"/>
        <v>1.0191836734693878</v>
      </c>
    </row>
    <row r="194" spans="1:15" hidden="1">
      <c r="A194" s="105" t="s">
        <v>698</v>
      </c>
      <c r="B194" s="105" t="s">
        <v>331</v>
      </c>
      <c r="C194" s="74">
        <v>44880</v>
      </c>
      <c r="D194" s="105">
        <v>2334</v>
      </c>
      <c r="E194" s="435" t="s">
        <v>670</v>
      </c>
      <c r="F194" s="105" t="s">
        <v>342</v>
      </c>
      <c r="G194" s="438" t="s">
        <v>211</v>
      </c>
      <c r="H194" s="438" t="s">
        <v>636</v>
      </c>
      <c r="I194" s="438">
        <v>951220</v>
      </c>
      <c r="J194" s="438"/>
      <c r="K194" s="438" t="s">
        <v>192</v>
      </c>
      <c r="L194" s="87">
        <v>72.72</v>
      </c>
      <c r="M194" s="80">
        <v>72.72</v>
      </c>
      <c r="N194" s="436">
        <f t="shared" ref="N194" si="80">L194-M194</f>
        <v>0</v>
      </c>
      <c r="O194" s="437">
        <f t="shared" ref="O194" si="81">M194/L194</f>
        <v>1</v>
      </c>
    </row>
    <row r="195" spans="1:15">
      <c r="A195" s="105" t="s">
        <v>782</v>
      </c>
      <c r="B195" s="105" t="s">
        <v>331</v>
      </c>
      <c r="C195" s="74">
        <v>44882</v>
      </c>
      <c r="D195" s="105">
        <v>2379</v>
      </c>
      <c r="E195" s="439" t="s">
        <v>670</v>
      </c>
      <c r="F195" s="105" t="s">
        <v>333</v>
      </c>
      <c r="G195" s="105" t="s">
        <v>212</v>
      </c>
      <c r="H195" s="138" t="s">
        <v>783</v>
      </c>
      <c r="I195" s="138">
        <v>902835</v>
      </c>
      <c r="J195" s="118"/>
      <c r="K195" s="441" t="s">
        <v>192</v>
      </c>
      <c r="L195" s="87">
        <v>500</v>
      </c>
      <c r="M195" s="80">
        <f>385.551+69.225</f>
        <v>454.77599999999995</v>
      </c>
      <c r="N195" s="440">
        <f t="shared" ref="N195:N204" si="82">L195-M195</f>
        <v>45.224000000000046</v>
      </c>
      <c r="O195" s="442">
        <f t="shared" ref="O195:O204" si="83">M195/L195</f>
        <v>0.90955199999999992</v>
      </c>
    </row>
    <row r="196" spans="1:15" hidden="1">
      <c r="A196" s="105" t="s">
        <v>586</v>
      </c>
      <c r="B196" s="105" t="s">
        <v>331</v>
      </c>
      <c r="C196" s="74">
        <v>44882</v>
      </c>
      <c r="D196" s="105">
        <v>32</v>
      </c>
      <c r="E196" s="105" t="s">
        <v>785</v>
      </c>
      <c r="F196" s="446" t="s">
        <v>333</v>
      </c>
      <c r="G196" s="105" t="s">
        <v>710</v>
      </c>
      <c r="H196" s="105" t="s">
        <v>784</v>
      </c>
      <c r="I196" s="105">
        <v>698828</v>
      </c>
      <c r="J196" s="105"/>
      <c r="K196" s="443" t="s">
        <v>191</v>
      </c>
      <c r="L196" s="108">
        <v>50</v>
      </c>
      <c r="M196" s="82"/>
      <c r="N196" s="444">
        <f t="shared" si="82"/>
        <v>50</v>
      </c>
      <c r="O196" s="445">
        <f t="shared" si="83"/>
        <v>0</v>
      </c>
    </row>
    <row r="197" spans="1:15">
      <c r="A197" s="105" t="s">
        <v>663</v>
      </c>
      <c r="B197" s="105" t="s">
        <v>331</v>
      </c>
      <c r="C197" s="74">
        <v>44890</v>
      </c>
      <c r="D197" s="105">
        <v>2430</v>
      </c>
      <c r="E197" s="447" t="s">
        <v>670</v>
      </c>
      <c r="F197" s="447" t="s">
        <v>333</v>
      </c>
      <c r="G197" s="450" t="s">
        <v>212</v>
      </c>
      <c r="H197" s="447" t="s">
        <v>664</v>
      </c>
      <c r="I197" s="447">
        <v>964021</v>
      </c>
      <c r="J197" s="118"/>
      <c r="K197" s="447" t="s">
        <v>191</v>
      </c>
      <c r="L197" s="108">
        <v>80</v>
      </c>
      <c r="M197" s="82">
        <v>3.6190000000000002</v>
      </c>
      <c r="N197" s="448">
        <f t="shared" si="82"/>
        <v>76.381</v>
      </c>
      <c r="O197" s="449">
        <f t="shared" si="83"/>
        <v>4.52375E-2</v>
      </c>
    </row>
    <row r="198" spans="1:15">
      <c r="A198" s="450" t="s">
        <v>663</v>
      </c>
      <c r="B198" s="450" t="s">
        <v>331</v>
      </c>
      <c r="C198" s="74">
        <v>44890</v>
      </c>
      <c r="D198" s="450">
        <v>2430</v>
      </c>
      <c r="E198" s="447" t="s">
        <v>670</v>
      </c>
      <c r="F198" s="447" t="s">
        <v>333</v>
      </c>
      <c r="G198" s="450" t="s">
        <v>212</v>
      </c>
      <c r="H198" s="447" t="s">
        <v>664</v>
      </c>
      <c r="I198" s="447">
        <v>964021</v>
      </c>
      <c r="J198" s="118"/>
      <c r="K198" s="447" t="s">
        <v>192</v>
      </c>
      <c r="L198" s="108">
        <v>220</v>
      </c>
      <c r="M198" s="82">
        <v>298.42099999999999</v>
      </c>
      <c r="N198" s="448">
        <f t="shared" si="82"/>
        <v>-78.420999999999992</v>
      </c>
      <c r="O198" s="449">
        <f t="shared" si="83"/>
        <v>1.3564590909090908</v>
      </c>
    </row>
    <row r="199" spans="1:15">
      <c r="A199" s="105" t="s">
        <v>687</v>
      </c>
      <c r="B199" s="105" t="s">
        <v>331</v>
      </c>
      <c r="C199" s="74">
        <v>44890</v>
      </c>
      <c r="D199" s="105">
        <v>2431</v>
      </c>
      <c r="E199" s="447" t="s">
        <v>670</v>
      </c>
      <c r="F199" s="447" t="s">
        <v>333</v>
      </c>
      <c r="G199" s="450" t="s">
        <v>212</v>
      </c>
      <c r="H199" s="447" t="s">
        <v>556</v>
      </c>
      <c r="I199" s="447">
        <v>966686</v>
      </c>
      <c r="J199" s="118"/>
      <c r="K199" s="447" t="s">
        <v>191</v>
      </c>
      <c r="L199" s="108">
        <v>133</v>
      </c>
      <c r="M199" s="82">
        <v>19.402000000000001</v>
      </c>
      <c r="N199" s="448">
        <f t="shared" si="82"/>
        <v>113.598</v>
      </c>
      <c r="O199" s="449">
        <f t="shared" si="83"/>
        <v>0.1458796992481203</v>
      </c>
    </row>
    <row r="200" spans="1:15">
      <c r="A200" s="450" t="s">
        <v>687</v>
      </c>
      <c r="B200" s="450" t="s">
        <v>331</v>
      </c>
      <c r="C200" s="74">
        <v>44890</v>
      </c>
      <c r="D200" s="450">
        <v>2431</v>
      </c>
      <c r="E200" s="447" t="s">
        <v>670</v>
      </c>
      <c r="F200" s="447" t="s">
        <v>333</v>
      </c>
      <c r="G200" s="450" t="s">
        <v>212</v>
      </c>
      <c r="H200" s="447" t="s">
        <v>556</v>
      </c>
      <c r="I200" s="447">
        <v>966686</v>
      </c>
      <c r="J200" s="118"/>
      <c r="K200" s="447" t="s">
        <v>192</v>
      </c>
      <c r="L200" s="108">
        <v>367</v>
      </c>
      <c r="M200" s="82">
        <v>259.86799999999999</v>
      </c>
      <c r="N200" s="448">
        <f t="shared" si="82"/>
        <v>107.13200000000001</v>
      </c>
      <c r="O200" s="449">
        <f t="shared" si="83"/>
        <v>0.70808719346049043</v>
      </c>
    </row>
    <row r="201" spans="1:15">
      <c r="A201" s="450" t="s">
        <v>687</v>
      </c>
      <c r="B201" s="450" t="s">
        <v>331</v>
      </c>
      <c r="C201" s="74">
        <v>44890</v>
      </c>
      <c r="D201" s="450">
        <v>2431</v>
      </c>
      <c r="E201" s="447" t="s">
        <v>670</v>
      </c>
      <c r="F201" s="447" t="s">
        <v>333</v>
      </c>
      <c r="G201" s="450" t="s">
        <v>212</v>
      </c>
      <c r="H201" s="447" t="s">
        <v>555</v>
      </c>
      <c r="I201" s="447">
        <v>951113</v>
      </c>
      <c r="J201" s="118"/>
      <c r="K201" s="447" t="s">
        <v>191</v>
      </c>
      <c r="L201" s="108">
        <v>133</v>
      </c>
      <c r="M201" s="82">
        <v>20.751999999999999</v>
      </c>
      <c r="N201" s="448">
        <f t="shared" si="82"/>
        <v>112.248</v>
      </c>
      <c r="O201" s="449">
        <f t="shared" si="83"/>
        <v>0.15603007518796991</v>
      </c>
    </row>
    <row r="202" spans="1:15">
      <c r="A202" s="450" t="s">
        <v>687</v>
      </c>
      <c r="B202" s="450" t="s">
        <v>331</v>
      </c>
      <c r="C202" s="74">
        <v>44890</v>
      </c>
      <c r="D202" s="450">
        <v>2431</v>
      </c>
      <c r="E202" s="447" t="s">
        <v>670</v>
      </c>
      <c r="F202" s="447" t="s">
        <v>333</v>
      </c>
      <c r="G202" s="450" t="s">
        <v>212</v>
      </c>
      <c r="H202" s="447" t="s">
        <v>555</v>
      </c>
      <c r="I202" s="447">
        <v>951113</v>
      </c>
      <c r="J202" s="118"/>
      <c r="K202" s="447" t="s">
        <v>192</v>
      </c>
      <c r="L202" s="108">
        <v>367</v>
      </c>
      <c r="M202" s="82">
        <v>62.36</v>
      </c>
      <c r="N202" s="448">
        <f t="shared" si="82"/>
        <v>304.64</v>
      </c>
      <c r="O202" s="449">
        <f t="shared" si="83"/>
        <v>0.1699182561307902</v>
      </c>
    </row>
    <row r="203" spans="1:15">
      <c r="A203" s="450" t="s">
        <v>687</v>
      </c>
      <c r="B203" s="450" t="s">
        <v>331</v>
      </c>
      <c r="C203" s="74">
        <v>44890</v>
      </c>
      <c r="D203" s="450">
        <v>2431</v>
      </c>
      <c r="E203" s="447" t="s">
        <v>670</v>
      </c>
      <c r="F203" s="447" t="s">
        <v>333</v>
      </c>
      <c r="G203" s="450" t="s">
        <v>212</v>
      </c>
      <c r="H203" s="447" t="s">
        <v>554</v>
      </c>
      <c r="I203" s="447">
        <v>965369</v>
      </c>
      <c r="J203" s="118"/>
      <c r="K203" s="447" t="s">
        <v>191</v>
      </c>
      <c r="L203" s="108">
        <v>133</v>
      </c>
      <c r="M203" s="82">
        <v>5.2889999999999997</v>
      </c>
      <c r="N203" s="448">
        <f t="shared" si="82"/>
        <v>127.711</v>
      </c>
      <c r="O203" s="449">
        <f t="shared" si="83"/>
        <v>3.9766917293233082E-2</v>
      </c>
    </row>
    <row r="204" spans="1:15">
      <c r="A204" s="450" t="s">
        <v>687</v>
      </c>
      <c r="B204" s="450" t="s">
        <v>331</v>
      </c>
      <c r="C204" s="74">
        <v>44890</v>
      </c>
      <c r="D204" s="450">
        <v>2431</v>
      </c>
      <c r="E204" s="447" t="s">
        <v>670</v>
      </c>
      <c r="F204" s="447" t="s">
        <v>333</v>
      </c>
      <c r="G204" s="450" t="s">
        <v>212</v>
      </c>
      <c r="H204" s="447" t="s">
        <v>554</v>
      </c>
      <c r="I204" s="447">
        <v>965369</v>
      </c>
      <c r="J204" s="118"/>
      <c r="K204" s="447" t="s">
        <v>192</v>
      </c>
      <c r="L204" s="108">
        <v>367</v>
      </c>
      <c r="M204" s="82">
        <v>350.87099999999998</v>
      </c>
      <c r="N204" s="448">
        <f t="shared" si="82"/>
        <v>16.129000000000019</v>
      </c>
      <c r="O204" s="449">
        <f t="shared" si="83"/>
        <v>0.95605177111716622</v>
      </c>
    </row>
    <row r="205" spans="1:15">
      <c r="A205" s="105" t="s">
        <v>782</v>
      </c>
      <c r="B205" s="105" t="s">
        <v>331</v>
      </c>
      <c r="C205" s="74">
        <v>44890</v>
      </c>
      <c r="D205" s="105">
        <v>2432</v>
      </c>
      <c r="E205" s="451" t="s">
        <v>670</v>
      </c>
      <c r="F205" s="451" t="s">
        <v>333</v>
      </c>
      <c r="G205" s="453" t="s">
        <v>212</v>
      </c>
      <c r="H205" s="451" t="s">
        <v>783</v>
      </c>
      <c r="I205" s="451">
        <v>902835</v>
      </c>
      <c r="J205" s="105"/>
      <c r="K205" s="451" t="s">
        <v>191</v>
      </c>
      <c r="L205" s="108">
        <v>750</v>
      </c>
      <c r="M205" s="82">
        <v>59.643999999999998</v>
      </c>
      <c r="N205" s="452">
        <f t="shared" ref="N205:N206" si="84">L205-M205</f>
        <v>690.35599999999999</v>
      </c>
      <c r="O205" s="454">
        <f t="shared" ref="O205:O206" si="85">M205/L205</f>
        <v>7.9525333333333337E-2</v>
      </c>
    </row>
    <row r="206" spans="1:15">
      <c r="A206" s="453" t="s">
        <v>782</v>
      </c>
      <c r="B206" s="453" t="s">
        <v>331</v>
      </c>
      <c r="C206" s="74">
        <v>44890</v>
      </c>
      <c r="D206" s="453">
        <v>2432</v>
      </c>
      <c r="E206" s="451" t="s">
        <v>670</v>
      </c>
      <c r="F206" s="451" t="s">
        <v>333</v>
      </c>
      <c r="G206" s="453" t="s">
        <v>212</v>
      </c>
      <c r="H206" s="451" t="s">
        <v>783</v>
      </c>
      <c r="I206" s="451">
        <v>902835</v>
      </c>
      <c r="J206" s="105"/>
      <c r="K206" s="451" t="s">
        <v>192</v>
      </c>
      <c r="L206" s="108">
        <v>750</v>
      </c>
      <c r="M206" s="82">
        <v>483.44099999999997</v>
      </c>
      <c r="N206" s="452">
        <f t="shared" si="84"/>
        <v>266.55900000000003</v>
      </c>
      <c r="O206" s="454">
        <f t="shared" si="85"/>
        <v>0.64458799999999994</v>
      </c>
    </row>
    <row r="207" spans="1:15" hidden="1">
      <c r="A207" s="461" t="s">
        <v>687</v>
      </c>
      <c r="B207" s="105" t="s">
        <v>331</v>
      </c>
      <c r="C207" s="74">
        <v>44904</v>
      </c>
      <c r="D207" s="105">
        <v>2521</v>
      </c>
      <c r="E207" s="105" t="s">
        <v>670</v>
      </c>
      <c r="F207" s="105" t="s">
        <v>342</v>
      </c>
      <c r="G207" s="105" t="s">
        <v>211</v>
      </c>
      <c r="H207" s="105" t="s">
        <v>583</v>
      </c>
      <c r="I207" s="105">
        <v>964500</v>
      </c>
      <c r="J207" s="105"/>
      <c r="K207" s="458" t="s">
        <v>191</v>
      </c>
      <c r="L207" s="108">
        <v>292</v>
      </c>
      <c r="M207" s="82">
        <v>7.3659999999999997</v>
      </c>
      <c r="N207" s="459">
        <f t="shared" ref="N207:N208" si="86">L207-M207</f>
        <v>284.63400000000001</v>
      </c>
      <c r="O207" s="460">
        <f t="shared" ref="O207:O208" si="87">M207/L207</f>
        <v>2.5226027397260271E-2</v>
      </c>
    </row>
    <row r="208" spans="1:15" hidden="1">
      <c r="A208" s="461" t="s">
        <v>687</v>
      </c>
      <c r="B208" s="461" t="s">
        <v>331</v>
      </c>
      <c r="C208" s="74">
        <v>44904</v>
      </c>
      <c r="D208" s="461">
        <v>2521</v>
      </c>
      <c r="E208" s="461" t="s">
        <v>670</v>
      </c>
      <c r="F208" s="461" t="s">
        <v>342</v>
      </c>
      <c r="G208" s="461" t="s">
        <v>211</v>
      </c>
      <c r="H208" s="461" t="s">
        <v>583</v>
      </c>
      <c r="I208" s="461">
        <v>964500</v>
      </c>
      <c r="J208" s="105"/>
      <c r="K208" s="458" t="s">
        <v>192</v>
      </c>
      <c r="L208" s="108">
        <v>157</v>
      </c>
      <c r="M208" s="82">
        <v>326.40899999999999</v>
      </c>
      <c r="N208" s="459">
        <f t="shared" si="86"/>
        <v>-169.40899999999999</v>
      </c>
      <c r="O208" s="460">
        <f t="shared" si="87"/>
        <v>2.0790382165605097</v>
      </c>
    </row>
    <row r="209" spans="1:15" hidden="1">
      <c r="A209" s="461" t="s">
        <v>687</v>
      </c>
      <c r="B209" s="461" t="s">
        <v>331</v>
      </c>
      <c r="C209" s="74">
        <v>44904</v>
      </c>
      <c r="D209" s="461">
        <v>2521</v>
      </c>
      <c r="E209" s="461" t="s">
        <v>670</v>
      </c>
      <c r="F209" s="461" t="s">
        <v>342</v>
      </c>
      <c r="G209" s="461" t="s">
        <v>211</v>
      </c>
      <c r="H209" s="105" t="s">
        <v>636</v>
      </c>
      <c r="I209" s="105">
        <v>951220</v>
      </c>
      <c r="J209" s="105"/>
      <c r="K209" s="458" t="s">
        <v>191</v>
      </c>
      <c r="L209" s="108">
        <v>292</v>
      </c>
      <c r="M209" s="82">
        <v>5.5439999999999996</v>
      </c>
      <c r="N209" s="459">
        <f t="shared" ref="N209:N210" si="88">L209-M209</f>
        <v>286.45600000000002</v>
      </c>
      <c r="O209" s="460">
        <f t="shared" ref="O209:O210" si="89">M209/L209</f>
        <v>1.8986301369863012E-2</v>
      </c>
    </row>
    <row r="210" spans="1:15" hidden="1">
      <c r="A210" s="461" t="s">
        <v>687</v>
      </c>
      <c r="B210" s="461" t="s">
        <v>331</v>
      </c>
      <c r="C210" s="74">
        <v>44904</v>
      </c>
      <c r="D210" s="461">
        <v>2521</v>
      </c>
      <c r="E210" s="461" t="s">
        <v>670</v>
      </c>
      <c r="F210" s="461" t="s">
        <v>342</v>
      </c>
      <c r="G210" s="461" t="s">
        <v>211</v>
      </c>
      <c r="H210" s="461" t="s">
        <v>636</v>
      </c>
      <c r="I210" s="461">
        <v>951220</v>
      </c>
      <c r="J210" s="105"/>
      <c r="K210" s="458" t="s">
        <v>192</v>
      </c>
      <c r="L210" s="108">
        <v>157</v>
      </c>
      <c r="M210" s="82">
        <v>252.93100000000001</v>
      </c>
      <c r="N210" s="459">
        <f t="shared" si="88"/>
        <v>-95.931000000000012</v>
      </c>
      <c r="O210" s="460">
        <f t="shared" si="89"/>
        <v>1.6110254777070065</v>
      </c>
    </row>
    <row r="211" spans="1:15" hidden="1">
      <c r="A211" s="105" t="s">
        <v>581</v>
      </c>
      <c r="B211" s="105" t="s">
        <v>331</v>
      </c>
      <c r="C211" s="74">
        <v>44860</v>
      </c>
      <c r="D211" s="105">
        <v>7</v>
      </c>
      <c r="E211" s="105" t="s">
        <v>582</v>
      </c>
      <c r="F211" s="105" t="s">
        <v>333</v>
      </c>
      <c r="G211" s="468" t="s">
        <v>211</v>
      </c>
      <c r="H211" s="105" t="s">
        <v>565</v>
      </c>
      <c r="I211" s="105">
        <v>956926</v>
      </c>
      <c r="J211" s="105"/>
      <c r="K211" s="465" t="s">
        <v>191</v>
      </c>
      <c r="L211" s="108">
        <v>166</v>
      </c>
      <c r="M211" s="82">
        <v>8.6660000000000004</v>
      </c>
      <c r="N211" s="466">
        <f t="shared" ref="N211:N216" si="90">L211-M211</f>
        <v>157.334</v>
      </c>
      <c r="O211" s="467">
        <f t="shared" ref="O211:O216" si="91">M211/L211</f>
        <v>5.2204819277108433E-2</v>
      </c>
    </row>
    <row r="212" spans="1:15" hidden="1">
      <c r="A212" s="468" t="s">
        <v>581</v>
      </c>
      <c r="B212" s="468" t="s">
        <v>331</v>
      </c>
      <c r="C212" s="74">
        <v>44860</v>
      </c>
      <c r="D212" s="468">
        <v>7</v>
      </c>
      <c r="E212" s="468" t="s">
        <v>582</v>
      </c>
      <c r="F212" s="468" t="s">
        <v>333</v>
      </c>
      <c r="G212" s="468" t="s">
        <v>211</v>
      </c>
      <c r="H212" s="468" t="s">
        <v>565</v>
      </c>
      <c r="I212" s="468">
        <v>956926</v>
      </c>
      <c r="J212" s="105"/>
      <c r="K212" s="465" t="s">
        <v>192</v>
      </c>
      <c r="L212" s="108">
        <v>189</v>
      </c>
      <c r="M212" s="82">
        <v>330.22399999999999</v>
      </c>
      <c r="N212" s="466">
        <f t="shared" si="90"/>
        <v>-141.22399999999999</v>
      </c>
      <c r="O212" s="467">
        <f t="shared" si="91"/>
        <v>1.7472169312169312</v>
      </c>
    </row>
    <row r="213" spans="1:15" hidden="1">
      <c r="A213" s="468" t="s">
        <v>581</v>
      </c>
      <c r="B213" s="468" t="s">
        <v>331</v>
      </c>
      <c r="C213" s="74">
        <v>44860</v>
      </c>
      <c r="D213" s="468">
        <v>7</v>
      </c>
      <c r="E213" s="468" t="s">
        <v>582</v>
      </c>
      <c r="F213" s="468" t="s">
        <v>333</v>
      </c>
      <c r="G213" s="468" t="s">
        <v>211</v>
      </c>
      <c r="H213" s="105" t="s">
        <v>567</v>
      </c>
      <c r="I213" s="105">
        <v>964972</v>
      </c>
      <c r="J213" s="105"/>
      <c r="K213" s="465" t="s">
        <v>191</v>
      </c>
      <c r="L213" s="108">
        <v>300</v>
      </c>
      <c r="M213" s="82">
        <v>57.222000000000001</v>
      </c>
      <c r="N213" s="466">
        <f t="shared" si="90"/>
        <v>242.77799999999999</v>
      </c>
      <c r="O213" s="467">
        <f t="shared" si="91"/>
        <v>0.19073999999999999</v>
      </c>
    </row>
    <row r="214" spans="1:15" hidden="1">
      <c r="A214" s="468" t="s">
        <v>581</v>
      </c>
      <c r="B214" s="468" t="s">
        <v>331</v>
      </c>
      <c r="C214" s="74">
        <v>44860</v>
      </c>
      <c r="D214" s="468">
        <v>7</v>
      </c>
      <c r="E214" s="468" t="s">
        <v>582</v>
      </c>
      <c r="F214" s="468" t="s">
        <v>333</v>
      </c>
      <c r="G214" s="468" t="s">
        <v>211</v>
      </c>
      <c r="H214" s="468" t="s">
        <v>567</v>
      </c>
      <c r="I214" s="468">
        <v>964972</v>
      </c>
      <c r="J214" s="105"/>
      <c r="K214" s="465" t="s">
        <v>192</v>
      </c>
      <c r="L214" s="108">
        <v>700</v>
      </c>
      <c r="M214" s="82">
        <v>564.58000000000004</v>
      </c>
      <c r="N214" s="466">
        <f t="shared" si="90"/>
        <v>135.41999999999996</v>
      </c>
      <c r="O214" s="467">
        <f t="shared" si="91"/>
        <v>0.80654285714285723</v>
      </c>
    </row>
    <row r="215" spans="1:15" hidden="1">
      <c r="A215" s="105" t="s">
        <v>744</v>
      </c>
      <c r="B215" s="105" t="s">
        <v>331</v>
      </c>
      <c r="C215" s="74">
        <v>44917</v>
      </c>
      <c r="D215" s="105">
        <v>2643</v>
      </c>
      <c r="E215" s="105" t="s">
        <v>670</v>
      </c>
      <c r="F215" s="105" t="s">
        <v>342</v>
      </c>
      <c r="G215" s="105" t="s">
        <v>211</v>
      </c>
      <c r="H215" s="105" t="s">
        <v>558</v>
      </c>
      <c r="I215" s="105">
        <v>951206</v>
      </c>
      <c r="J215" s="105"/>
      <c r="K215" s="469" t="s">
        <v>191</v>
      </c>
      <c r="L215" s="108">
        <v>26</v>
      </c>
      <c r="M215" s="82"/>
      <c r="N215" s="470">
        <f t="shared" si="90"/>
        <v>26</v>
      </c>
      <c r="O215" s="471">
        <f t="shared" si="91"/>
        <v>0</v>
      </c>
    </row>
    <row r="216" spans="1:15" hidden="1">
      <c r="A216" s="105" t="s">
        <v>578</v>
      </c>
      <c r="B216" s="105" t="s">
        <v>331</v>
      </c>
      <c r="C216" s="74">
        <v>44918</v>
      </c>
      <c r="D216" s="105">
        <v>2697</v>
      </c>
      <c r="E216" s="105" t="s">
        <v>670</v>
      </c>
      <c r="F216" s="105" t="s">
        <v>333</v>
      </c>
      <c r="G216" s="472" t="s">
        <v>211</v>
      </c>
      <c r="H216" s="472" t="s">
        <v>636</v>
      </c>
      <c r="I216" s="472">
        <v>951220</v>
      </c>
      <c r="J216" s="472"/>
      <c r="K216" s="469" t="s">
        <v>192</v>
      </c>
      <c r="L216" s="108">
        <v>370</v>
      </c>
      <c r="M216" s="82"/>
      <c r="N216" s="470">
        <f t="shared" si="90"/>
        <v>370</v>
      </c>
      <c r="O216" s="471">
        <f t="shared" si="91"/>
        <v>0</v>
      </c>
    </row>
    <row r="217" spans="1:15" hidden="1">
      <c r="A217" s="105" t="s">
        <v>725</v>
      </c>
      <c r="B217" s="105" t="s">
        <v>331</v>
      </c>
      <c r="C217" s="74">
        <v>44917</v>
      </c>
      <c r="D217" s="105">
        <v>2652</v>
      </c>
      <c r="E217" s="105" t="s">
        <v>670</v>
      </c>
      <c r="F217" s="105" t="s">
        <v>342</v>
      </c>
      <c r="G217" s="472" t="s">
        <v>211</v>
      </c>
      <c r="H217" s="472" t="s">
        <v>558</v>
      </c>
      <c r="I217" s="472">
        <v>951206</v>
      </c>
      <c r="J217" s="472"/>
      <c r="K217" s="469" t="s">
        <v>191</v>
      </c>
      <c r="L217" s="108">
        <v>44.85</v>
      </c>
      <c r="M217" s="82"/>
      <c r="N217" s="470">
        <f t="shared" ref="N217:N223" si="92">L217-M217</f>
        <v>44.85</v>
      </c>
      <c r="O217" s="471">
        <f t="shared" ref="O217:O223" si="93">M217/L217</f>
        <v>0</v>
      </c>
    </row>
    <row r="218" spans="1:15">
      <c r="A218" s="105" t="s">
        <v>687</v>
      </c>
      <c r="B218" s="105" t="s">
        <v>331</v>
      </c>
      <c r="C218" s="74">
        <v>44917</v>
      </c>
      <c r="D218" s="105">
        <v>2673</v>
      </c>
      <c r="E218" s="472" t="s">
        <v>670</v>
      </c>
      <c r="F218" s="472" t="s">
        <v>342</v>
      </c>
      <c r="G218" s="105" t="s">
        <v>212</v>
      </c>
      <c r="H218" s="469" t="s">
        <v>556</v>
      </c>
      <c r="I218" s="469">
        <v>966686</v>
      </c>
      <c r="J218" s="118"/>
      <c r="K218" s="469" t="s">
        <v>191</v>
      </c>
      <c r="L218" s="108">
        <v>145</v>
      </c>
      <c r="M218" s="82"/>
      <c r="N218" s="470">
        <f t="shared" si="92"/>
        <v>145</v>
      </c>
      <c r="O218" s="471">
        <f t="shared" si="93"/>
        <v>0</v>
      </c>
    </row>
    <row r="219" spans="1:15">
      <c r="A219" s="472" t="s">
        <v>687</v>
      </c>
      <c r="B219" s="472" t="s">
        <v>331</v>
      </c>
      <c r="C219" s="74">
        <v>44917</v>
      </c>
      <c r="D219" s="472">
        <v>2673</v>
      </c>
      <c r="E219" s="472" t="s">
        <v>670</v>
      </c>
      <c r="F219" s="472" t="s">
        <v>342</v>
      </c>
      <c r="G219" s="472" t="s">
        <v>212</v>
      </c>
      <c r="H219" s="469" t="s">
        <v>556</v>
      </c>
      <c r="I219" s="469">
        <v>966686</v>
      </c>
      <c r="J219" s="118"/>
      <c r="K219" s="469" t="s">
        <v>192</v>
      </c>
      <c r="L219" s="108">
        <v>150</v>
      </c>
      <c r="M219" s="82"/>
      <c r="N219" s="470">
        <f t="shared" si="92"/>
        <v>150</v>
      </c>
      <c r="O219" s="471">
        <f t="shared" si="93"/>
        <v>0</v>
      </c>
    </row>
    <row r="220" spans="1:15">
      <c r="A220" s="472" t="s">
        <v>687</v>
      </c>
      <c r="B220" s="472" t="s">
        <v>331</v>
      </c>
      <c r="C220" s="74">
        <v>44917</v>
      </c>
      <c r="D220" s="472">
        <v>2673</v>
      </c>
      <c r="E220" s="472" t="s">
        <v>670</v>
      </c>
      <c r="F220" s="472" t="s">
        <v>342</v>
      </c>
      <c r="G220" s="472" t="s">
        <v>212</v>
      </c>
      <c r="H220" s="469" t="s">
        <v>555</v>
      </c>
      <c r="I220" s="469">
        <v>951113</v>
      </c>
      <c r="J220" s="118"/>
      <c r="K220" s="469" t="s">
        <v>191</v>
      </c>
      <c r="L220" s="108">
        <v>145</v>
      </c>
      <c r="M220" s="82"/>
      <c r="N220" s="470">
        <f t="shared" si="92"/>
        <v>145</v>
      </c>
      <c r="O220" s="471">
        <f t="shared" si="93"/>
        <v>0</v>
      </c>
    </row>
    <row r="221" spans="1:15">
      <c r="A221" s="472" t="s">
        <v>687</v>
      </c>
      <c r="B221" s="472" t="s">
        <v>331</v>
      </c>
      <c r="C221" s="74">
        <v>44917</v>
      </c>
      <c r="D221" s="472">
        <v>2673</v>
      </c>
      <c r="E221" s="472" t="s">
        <v>670</v>
      </c>
      <c r="F221" s="472" t="s">
        <v>342</v>
      </c>
      <c r="G221" s="472" t="s">
        <v>212</v>
      </c>
      <c r="H221" s="469" t="s">
        <v>555</v>
      </c>
      <c r="I221" s="469">
        <v>951113</v>
      </c>
      <c r="J221" s="118"/>
      <c r="K221" s="469" t="s">
        <v>192</v>
      </c>
      <c r="L221" s="108">
        <v>150</v>
      </c>
      <c r="M221" s="82"/>
      <c r="N221" s="470">
        <f t="shared" si="92"/>
        <v>150</v>
      </c>
      <c r="O221" s="471">
        <f t="shared" si="93"/>
        <v>0</v>
      </c>
    </row>
    <row r="222" spans="1:15">
      <c r="A222" s="472" t="s">
        <v>687</v>
      </c>
      <c r="B222" s="472" t="s">
        <v>331</v>
      </c>
      <c r="C222" s="74">
        <v>44917</v>
      </c>
      <c r="D222" s="472">
        <v>2673</v>
      </c>
      <c r="E222" s="472" t="s">
        <v>670</v>
      </c>
      <c r="F222" s="472" t="s">
        <v>342</v>
      </c>
      <c r="G222" s="472" t="s">
        <v>212</v>
      </c>
      <c r="H222" s="469" t="s">
        <v>554</v>
      </c>
      <c r="I222" s="469">
        <v>965369</v>
      </c>
      <c r="J222" s="118"/>
      <c r="K222" s="469" t="s">
        <v>191</v>
      </c>
      <c r="L222" s="108">
        <v>290</v>
      </c>
      <c r="M222" s="82"/>
      <c r="N222" s="470">
        <f t="shared" si="92"/>
        <v>290</v>
      </c>
      <c r="O222" s="471">
        <f t="shared" si="93"/>
        <v>0</v>
      </c>
    </row>
    <row r="223" spans="1:15">
      <c r="A223" s="472" t="s">
        <v>687</v>
      </c>
      <c r="B223" s="472" t="s">
        <v>331</v>
      </c>
      <c r="C223" s="74">
        <v>44917</v>
      </c>
      <c r="D223" s="472">
        <v>2673</v>
      </c>
      <c r="E223" s="472" t="s">
        <v>670</v>
      </c>
      <c r="F223" s="472" t="s">
        <v>342</v>
      </c>
      <c r="G223" s="472" t="s">
        <v>212</v>
      </c>
      <c r="H223" s="469" t="s">
        <v>554</v>
      </c>
      <c r="I223" s="469">
        <v>965369</v>
      </c>
      <c r="J223" s="118"/>
      <c r="K223" s="469" t="s">
        <v>192</v>
      </c>
      <c r="L223" s="108">
        <v>300</v>
      </c>
      <c r="M223" s="82"/>
      <c r="N223" s="470">
        <f t="shared" si="92"/>
        <v>300</v>
      </c>
      <c r="O223" s="471">
        <f t="shared" si="93"/>
        <v>0</v>
      </c>
    </row>
    <row r="224" spans="1:15" hidden="1">
      <c r="A224" s="105" t="s">
        <v>800</v>
      </c>
      <c r="B224" s="105" t="s">
        <v>331</v>
      </c>
      <c r="C224" s="74">
        <v>44825</v>
      </c>
      <c r="D224" s="105">
        <v>5</v>
      </c>
      <c r="E224" s="484" t="s">
        <v>582</v>
      </c>
      <c r="F224" s="105" t="s">
        <v>333</v>
      </c>
      <c r="G224" s="105" t="s">
        <v>211</v>
      </c>
      <c r="H224" s="484" t="s">
        <v>562</v>
      </c>
      <c r="I224" s="484">
        <v>961132</v>
      </c>
      <c r="J224" s="105"/>
      <c r="K224" s="482" t="s">
        <v>191</v>
      </c>
      <c r="L224" s="108">
        <v>104</v>
      </c>
      <c r="M224" s="82">
        <v>13.365</v>
      </c>
      <c r="N224" s="483">
        <f t="shared" ref="N224:N225" si="94">L224-M224</f>
        <v>90.635000000000005</v>
      </c>
      <c r="O224" s="485">
        <f t="shared" ref="O224:O225" si="95">M224/L224</f>
        <v>0.12850961538461539</v>
      </c>
    </row>
    <row r="225" spans="1:15" hidden="1">
      <c r="A225" s="484" t="s">
        <v>800</v>
      </c>
      <c r="B225" s="484" t="s">
        <v>331</v>
      </c>
      <c r="C225" s="74">
        <v>44825</v>
      </c>
      <c r="D225" s="484">
        <v>5</v>
      </c>
      <c r="E225" s="484" t="s">
        <v>582</v>
      </c>
      <c r="F225" s="484" t="s">
        <v>333</v>
      </c>
      <c r="G225" s="484" t="s">
        <v>211</v>
      </c>
      <c r="H225" s="484" t="s">
        <v>562</v>
      </c>
      <c r="I225" s="484">
        <v>961132</v>
      </c>
      <c r="J225" s="105"/>
      <c r="K225" s="482" t="s">
        <v>192</v>
      </c>
      <c r="L225" s="108">
        <v>95</v>
      </c>
      <c r="M225" s="82">
        <v>185.63499999999999</v>
      </c>
      <c r="N225" s="483">
        <f t="shared" si="94"/>
        <v>-90.634999999999991</v>
      </c>
      <c r="O225" s="485">
        <f t="shared" si="95"/>
        <v>1.9540526315789473</v>
      </c>
    </row>
    <row r="226" spans="1:1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87"/>
      <c r="M226" s="80"/>
      <c r="N226" s="105"/>
      <c r="O226" s="105"/>
    </row>
    <row r="227" spans="1:1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87"/>
      <c r="M227" s="80"/>
      <c r="N227" s="105"/>
      <c r="O227" s="105"/>
    </row>
    <row r="228" spans="1:1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87"/>
      <c r="M228" s="80"/>
      <c r="N228" s="105"/>
      <c r="O228" s="105"/>
    </row>
    <row r="229" spans="1:1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87"/>
      <c r="M229" s="80"/>
      <c r="N229" s="105"/>
      <c r="O229" s="105"/>
    </row>
    <row r="230" spans="1:1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87"/>
      <c r="M230" s="80"/>
      <c r="N230" s="105"/>
      <c r="O230" s="105"/>
    </row>
    <row r="231" spans="1:1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87"/>
      <c r="M231" s="80"/>
      <c r="N231" s="105"/>
      <c r="O231" s="105"/>
    </row>
    <row r="232" spans="1:1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87"/>
      <c r="M232" s="80"/>
      <c r="N232" s="105"/>
      <c r="O232" s="105"/>
    </row>
    <row r="233" spans="1:1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87"/>
      <c r="M233" s="80"/>
      <c r="N233" s="105"/>
      <c r="O233" s="105"/>
    </row>
    <row r="234" spans="1:1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87"/>
      <c r="M234" s="80"/>
      <c r="N234" s="105"/>
      <c r="O234" s="105"/>
    </row>
    <row r="235" spans="1:1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87"/>
      <c r="M235" s="80"/>
      <c r="N235" s="105"/>
      <c r="O235" s="105"/>
    </row>
    <row r="236" spans="1:1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87"/>
      <c r="M236" s="80"/>
      <c r="N236" s="105"/>
      <c r="O236" s="105"/>
    </row>
    <row r="237" spans="1:1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87"/>
      <c r="M237" s="80"/>
      <c r="N237" s="105"/>
      <c r="O237" s="105"/>
    </row>
    <row r="238" spans="1:1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87"/>
      <c r="M238" s="80"/>
      <c r="N238" s="105"/>
      <c r="O238" s="105"/>
    </row>
    <row r="239" spans="1:1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87"/>
      <c r="M239" s="80"/>
      <c r="N239" s="105"/>
      <c r="O239" s="105"/>
    </row>
    <row r="240" spans="1:1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87"/>
      <c r="M240" s="80"/>
      <c r="N240" s="105"/>
      <c r="O240" s="105"/>
    </row>
    <row r="241" spans="1:1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87"/>
      <c r="M241" s="80"/>
      <c r="N241" s="105"/>
      <c r="O241" s="105"/>
    </row>
    <row r="242" spans="1:1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87"/>
      <c r="M242" s="80"/>
      <c r="N242" s="105"/>
      <c r="O242" s="105"/>
    </row>
    <row r="243" spans="1:1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87"/>
      <c r="M243" s="80"/>
      <c r="N243" s="105"/>
      <c r="O243" s="105"/>
    </row>
    <row r="244" spans="1:1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87"/>
      <c r="M244" s="80"/>
      <c r="N244" s="105"/>
      <c r="O244" s="105"/>
    </row>
    <row r="245" spans="1:1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87"/>
      <c r="M245" s="80"/>
      <c r="N245" s="105"/>
      <c r="O245" s="105"/>
    </row>
    <row r="246" spans="1:1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87"/>
      <c r="M246" s="80"/>
      <c r="N246" s="105"/>
      <c r="O246" s="105"/>
    </row>
    <row r="247" spans="1:1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87"/>
      <c r="M247" s="80"/>
      <c r="N247" s="105"/>
      <c r="O247" s="105"/>
    </row>
    <row r="248" spans="1:1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87"/>
      <c r="M248" s="80"/>
      <c r="N248" s="105"/>
      <c r="O248" s="105"/>
    </row>
    <row r="249" spans="1:1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87"/>
      <c r="M249" s="80"/>
      <c r="N249" s="105"/>
      <c r="O249" s="105"/>
    </row>
    <row r="250" spans="1:1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87"/>
      <c r="M250" s="80"/>
      <c r="N250" s="105"/>
      <c r="O250" s="105"/>
    </row>
    <row r="251" spans="1:1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87"/>
      <c r="M251" s="80"/>
      <c r="N251" s="105"/>
      <c r="O251" s="105"/>
    </row>
    <row r="252" spans="1:1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87"/>
      <c r="M252" s="80"/>
      <c r="N252" s="105"/>
      <c r="O252" s="105"/>
    </row>
    <row r="253" spans="1:1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87"/>
      <c r="M253" s="80"/>
      <c r="N253" s="105"/>
      <c r="O253" s="105"/>
    </row>
    <row r="254" spans="1:1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87"/>
      <c r="M254" s="80"/>
      <c r="N254" s="105"/>
      <c r="O254" s="105"/>
    </row>
    <row r="255" spans="1:1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87"/>
      <c r="M255" s="80"/>
      <c r="N255" s="105"/>
      <c r="O255" s="105"/>
    </row>
    <row r="256" spans="1:1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87"/>
      <c r="M256" s="80"/>
      <c r="N256" s="105"/>
      <c r="O256" s="105"/>
    </row>
    <row r="257" spans="1:1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87"/>
      <c r="M257" s="80"/>
      <c r="N257" s="105"/>
      <c r="O257" s="105"/>
    </row>
    <row r="258" spans="1:1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87"/>
      <c r="M258" s="80"/>
      <c r="N258" s="105"/>
      <c r="O258" s="105"/>
    </row>
    <row r="259" spans="1:1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87"/>
      <c r="M259" s="80"/>
      <c r="N259" s="105"/>
      <c r="O259" s="105"/>
    </row>
    <row r="260" spans="1:1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87"/>
      <c r="M260" s="80"/>
      <c r="N260" s="105"/>
      <c r="O260" s="105"/>
    </row>
    <row r="261" spans="1:1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87"/>
      <c r="M261" s="80"/>
      <c r="N261" s="105"/>
      <c r="O261" s="105"/>
    </row>
    <row r="262" spans="1:1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87"/>
      <c r="M262" s="80"/>
      <c r="N262" s="105"/>
      <c r="O262" s="105"/>
    </row>
    <row r="263" spans="1:1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87"/>
      <c r="M263" s="80"/>
      <c r="N263" s="105"/>
      <c r="O263" s="105"/>
    </row>
    <row r="264" spans="1:1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87"/>
      <c r="M264" s="80"/>
      <c r="N264" s="105"/>
      <c r="O264" s="105"/>
    </row>
    <row r="265" spans="1:1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87"/>
      <c r="M265" s="80"/>
      <c r="N265" s="105"/>
      <c r="O265" s="105"/>
    </row>
    <row r="266" spans="1:1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87"/>
      <c r="M266" s="80"/>
      <c r="N266" s="105"/>
      <c r="O266" s="105"/>
    </row>
    <row r="267" spans="1:1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87"/>
      <c r="M267" s="80"/>
      <c r="N267" s="105"/>
      <c r="O267" s="105"/>
    </row>
    <row r="268" spans="1:1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87"/>
      <c r="M268" s="80"/>
      <c r="N268" s="105"/>
      <c r="O268" s="105"/>
    </row>
    <row r="269" spans="1:1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87"/>
      <c r="M269" s="80"/>
      <c r="N269" s="105"/>
      <c r="O269" s="105"/>
    </row>
    <row r="270" spans="1:1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87"/>
      <c r="M270" s="80"/>
      <c r="N270" s="105"/>
      <c r="O270" s="105"/>
    </row>
    <row r="271" spans="1:1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87"/>
      <c r="M271" s="80"/>
      <c r="N271" s="105"/>
      <c r="O271" s="105"/>
    </row>
    <row r="272" spans="1:1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87"/>
      <c r="M272" s="80"/>
      <c r="N272" s="105"/>
      <c r="O272" s="105"/>
    </row>
    <row r="273" spans="1:1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87"/>
      <c r="M273" s="80"/>
      <c r="N273" s="105"/>
      <c r="O273" s="105"/>
    </row>
    <row r="274" spans="1:1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87"/>
      <c r="M274" s="80"/>
      <c r="N274" s="105"/>
      <c r="O274" s="105"/>
    </row>
    <row r="275" spans="1:1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87"/>
      <c r="M275" s="80"/>
      <c r="N275" s="105"/>
      <c r="O275" s="105"/>
    </row>
    <row r="276" spans="1:1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87"/>
      <c r="M276" s="80"/>
      <c r="N276" s="105"/>
      <c r="O276" s="105"/>
    </row>
    <row r="277" spans="1:1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87"/>
      <c r="M277" s="80"/>
      <c r="N277" s="105"/>
      <c r="O277" s="105"/>
    </row>
    <row r="278" spans="1:1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87"/>
      <c r="M278" s="80"/>
      <c r="N278" s="105"/>
      <c r="O278" s="105"/>
    </row>
    <row r="279" spans="1:1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87"/>
      <c r="M279" s="80"/>
      <c r="N279" s="105"/>
      <c r="O279" s="105"/>
    </row>
    <row r="280" spans="1:1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87"/>
      <c r="M280" s="80"/>
      <c r="N280" s="105"/>
      <c r="O280" s="105"/>
    </row>
    <row r="281" spans="1:1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87"/>
      <c r="M281" s="80"/>
      <c r="N281" s="105"/>
      <c r="O281" s="105"/>
    </row>
    <row r="282" spans="1:1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87"/>
      <c r="M282" s="80"/>
      <c r="N282" s="105"/>
      <c r="O282" s="105"/>
    </row>
    <row r="283" spans="1:1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87"/>
      <c r="M283" s="80"/>
      <c r="N283" s="105"/>
      <c r="O283" s="105"/>
    </row>
    <row r="284" spans="1:1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87"/>
      <c r="M284" s="80"/>
      <c r="N284" s="105"/>
      <c r="O284" s="105"/>
    </row>
    <row r="285" spans="1:1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87"/>
      <c r="M285" s="80"/>
      <c r="N285" s="105"/>
      <c r="O285" s="105"/>
    </row>
    <row r="286" spans="1:1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87"/>
      <c r="M286" s="80"/>
      <c r="N286" s="105"/>
      <c r="O286" s="105"/>
    </row>
    <row r="287" spans="1:1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87"/>
      <c r="M287" s="80"/>
      <c r="N287" s="105"/>
      <c r="O287" s="105"/>
    </row>
    <row r="288" spans="1:1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87"/>
      <c r="M288" s="80"/>
      <c r="N288" s="105"/>
      <c r="O288" s="105"/>
    </row>
    <row r="289" spans="1:1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87"/>
      <c r="M289" s="80"/>
      <c r="N289" s="105"/>
      <c r="O289" s="105"/>
    </row>
    <row r="290" spans="1:1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87"/>
      <c r="M290" s="80"/>
      <c r="N290" s="105"/>
      <c r="O290" s="105"/>
    </row>
    <row r="291" spans="1:1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87"/>
      <c r="M291" s="80"/>
      <c r="N291" s="105"/>
      <c r="O291" s="105"/>
    </row>
    <row r="292" spans="1:1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87"/>
      <c r="M292" s="80"/>
      <c r="N292" s="105"/>
      <c r="O292" s="105"/>
    </row>
    <row r="293" spans="1:1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87"/>
      <c r="M293" s="80"/>
      <c r="N293" s="105"/>
      <c r="O293" s="105"/>
    </row>
    <row r="294" spans="1:1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87"/>
      <c r="M294" s="80"/>
      <c r="N294" s="105"/>
      <c r="O294" s="105"/>
    </row>
    <row r="295" spans="1:1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87"/>
      <c r="M295" s="80"/>
      <c r="N295" s="105"/>
      <c r="O295" s="105"/>
    </row>
    <row r="296" spans="1:1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87"/>
      <c r="M296" s="80"/>
      <c r="N296" s="105"/>
      <c r="O296" s="105"/>
    </row>
    <row r="297" spans="1:1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87"/>
      <c r="M297" s="80"/>
      <c r="N297" s="105"/>
      <c r="O297" s="105"/>
    </row>
    <row r="298" spans="1:1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87"/>
      <c r="M298" s="80"/>
      <c r="N298" s="105"/>
      <c r="O298" s="105"/>
    </row>
    <row r="299" spans="1:1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87"/>
      <c r="M299" s="80"/>
      <c r="N299" s="105"/>
      <c r="O299" s="105"/>
    </row>
    <row r="300" spans="1:1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87"/>
      <c r="M300" s="80"/>
      <c r="N300" s="105"/>
      <c r="O300" s="105"/>
    </row>
    <row r="301" spans="1:1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87"/>
      <c r="M301" s="80"/>
      <c r="N301" s="105"/>
      <c r="O301" s="105"/>
    </row>
    <row r="302" spans="1:1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87"/>
      <c r="M302" s="80"/>
      <c r="N302" s="105"/>
      <c r="O302" s="105"/>
    </row>
    <row r="303" spans="1:1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87"/>
      <c r="M303" s="80"/>
      <c r="N303" s="105"/>
      <c r="O303" s="105"/>
    </row>
    <row r="304" spans="1:1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87"/>
      <c r="M304" s="80"/>
      <c r="N304" s="105"/>
      <c r="O304" s="105"/>
    </row>
    <row r="305" spans="1:1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87"/>
      <c r="M305" s="80"/>
      <c r="N305" s="105"/>
      <c r="O305" s="105"/>
    </row>
    <row r="306" spans="1:1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87"/>
      <c r="M306" s="80"/>
      <c r="N306" s="105"/>
      <c r="O306" s="105"/>
    </row>
    <row r="307" spans="1:1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87"/>
      <c r="M307" s="80"/>
      <c r="N307" s="105"/>
      <c r="O307" s="105"/>
    </row>
    <row r="308" spans="1:1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87"/>
      <c r="M308" s="80"/>
      <c r="N308" s="105"/>
      <c r="O308" s="105"/>
    </row>
    <row r="309" spans="1:1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87"/>
      <c r="M309" s="80"/>
      <c r="N309" s="105"/>
      <c r="O309" s="105"/>
    </row>
    <row r="310" spans="1:1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87"/>
      <c r="M310" s="80"/>
      <c r="N310" s="105"/>
      <c r="O310" s="105"/>
    </row>
    <row r="311" spans="1:1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87"/>
      <c r="M311" s="80"/>
      <c r="N311" s="105"/>
      <c r="O311" s="105"/>
    </row>
    <row r="312" spans="1:1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87"/>
      <c r="M312" s="80"/>
      <c r="N312" s="105"/>
      <c r="O312" s="105"/>
    </row>
    <row r="313" spans="1:1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87"/>
      <c r="M313" s="80"/>
      <c r="N313" s="105"/>
      <c r="O313" s="105"/>
    </row>
    <row r="314" spans="1:1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87"/>
      <c r="M314" s="80"/>
      <c r="N314" s="105"/>
      <c r="O314" s="105"/>
    </row>
    <row r="315" spans="1:1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87"/>
      <c r="M315" s="80"/>
      <c r="N315" s="105"/>
      <c r="O315" s="105"/>
    </row>
    <row r="316" spans="1:1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87"/>
      <c r="M316" s="80"/>
      <c r="N316" s="105"/>
      <c r="O316" s="105"/>
    </row>
    <row r="317" spans="1:1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87"/>
      <c r="M317" s="80"/>
      <c r="N317" s="105"/>
      <c r="O317" s="105"/>
    </row>
    <row r="318" spans="1:1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87"/>
      <c r="M318" s="80"/>
      <c r="N318" s="105"/>
      <c r="O318" s="105"/>
    </row>
    <row r="319" spans="1:1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87"/>
      <c r="M319" s="80"/>
      <c r="N319" s="105"/>
      <c r="O319" s="105"/>
    </row>
    <row r="320" spans="1:1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87"/>
      <c r="M320" s="80"/>
      <c r="N320" s="105"/>
      <c r="O320" s="105"/>
    </row>
    <row r="321" spans="1:1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87"/>
      <c r="M321" s="80"/>
      <c r="N321" s="105"/>
      <c r="O321" s="105"/>
    </row>
    <row r="322" spans="1:1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87"/>
      <c r="M322" s="80"/>
      <c r="N322" s="105"/>
      <c r="O322" s="105"/>
    </row>
    <row r="323" spans="1:1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87"/>
      <c r="M323" s="80"/>
      <c r="N323" s="105"/>
      <c r="O323" s="105"/>
    </row>
    <row r="324" spans="1:1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87"/>
      <c r="M324" s="80"/>
      <c r="N324" s="105"/>
      <c r="O324" s="105"/>
    </row>
    <row r="325" spans="1:1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87"/>
      <c r="M325" s="80"/>
      <c r="N325" s="105"/>
      <c r="O325" s="105"/>
    </row>
    <row r="326" spans="1:1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87"/>
      <c r="M326" s="80"/>
      <c r="N326" s="105"/>
      <c r="O326" s="105"/>
    </row>
    <row r="327" spans="1:1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87"/>
      <c r="M327" s="80"/>
      <c r="N327" s="105"/>
      <c r="O327" s="105"/>
    </row>
    <row r="328" spans="1:1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87"/>
      <c r="M328" s="80"/>
      <c r="N328" s="105"/>
      <c r="O328" s="105"/>
    </row>
    <row r="329" spans="1:1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87"/>
      <c r="M329" s="80"/>
      <c r="N329" s="105"/>
      <c r="O329" s="105"/>
    </row>
    <row r="330" spans="1:1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87"/>
      <c r="M330" s="80"/>
      <c r="N330" s="105"/>
      <c r="O330" s="105"/>
    </row>
    <row r="331" spans="1:1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87"/>
      <c r="M331" s="80"/>
      <c r="N331" s="105"/>
      <c r="O331" s="105"/>
    </row>
    <row r="332" spans="1:1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87"/>
      <c r="M332" s="80"/>
      <c r="N332" s="105"/>
      <c r="O332" s="105"/>
    </row>
    <row r="333" spans="1:1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87"/>
      <c r="M333" s="80"/>
      <c r="N333" s="105"/>
      <c r="O333" s="105"/>
    </row>
    <row r="334" spans="1:1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87"/>
      <c r="M334" s="80"/>
      <c r="N334" s="105"/>
      <c r="O334" s="105"/>
    </row>
    <row r="335" spans="1:1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87"/>
      <c r="M335" s="80"/>
      <c r="N335" s="105"/>
      <c r="O335" s="105"/>
    </row>
    <row r="336" spans="1:1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87"/>
      <c r="M336" s="80"/>
      <c r="N336" s="105"/>
      <c r="O336" s="105"/>
    </row>
    <row r="337" spans="1:1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87"/>
      <c r="M337" s="80"/>
      <c r="N337" s="105"/>
      <c r="O337" s="105"/>
    </row>
    <row r="338" spans="1:1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87"/>
      <c r="M338" s="80"/>
      <c r="N338" s="105"/>
      <c r="O338" s="105"/>
    </row>
    <row r="339" spans="1:1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87"/>
      <c r="M339" s="80"/>
      <c r="N339" s="105"/>
      <c r="O339" s="105"/>
    </row>
    <row r="340" spans="1:1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87"/>
      <c r="M340" s="80"/>
      <c r="N340" s="105"/>
      <c r="O340" s="105"/>
    </row>
    <row r="341" spans="1:1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87"/>
      <c r="M341" s="80"/>
      <c r="N341" s="105"/>
      <c r="O341" s="105"/>
    </row>
    <row r="342" spans="1:1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87"/>
      <c r="M342" s="80"/>
      <c r="N342" s="105"/>
      <c r="O342" s="105"/>
    </row>
  </sheetData>
  <autoFilter ref="A3:W225">
    <filterColumn colId="6">
      <filters>
        <filter val="IX"/>
      </filters>
    </filterColumn>
  </autoFilter>
  <mergeCells count="34">
    <mergeCell ref="L110:L111"/>
    <mergeCell ref="N110:N111"/>
    <mergeCell ref="O110:O111"/>
    <mergeCell ref="L104:L105"/>
    <mergeCell ref="N104:N105"/>
    <mergeCell ref="O104:O105"/>
    <mergeCell ref="L108:L109"/>
    <mergeCell ref="N108:N109"/>
    <mergeCell ref="O108:O109"/>
    <mergeCell ref="B2:O2"/>
    <mergeCell ref="L84:L85"/>
    <mergeCell ref="N84:N85"/>
    <mergeCell ref="O84:O85"/>
    <mergeCell ref="L86:L87"/>
    <mergeCell ref="N86:N87"/>
    <mergeCell ref="O86:O87"/>
    <mergeCell ref="L117:L118"/>
    <mergeCell ref="N117:N118"/>
    <mergeCell ref="O117:O118"/>
    <mergeCell ref="L119:L120"/>
    <mergeCell ref="N119:N120"/>
    <mergeCell ref="O119:O120"/>
    <mergeCell ref="L133:L134"/>
    <mergeCell ref="N133:N134"/>
    <mergeCell ref="O133:O134"/>
    <mergeCell ref="L135:L136"/>
    <mergeCell ref="N135:N136"/>
    <mergeCell ref="O135:O136"/>
    <mergeCell ref="L139:L142"/>
    <mergeCell ref="L143:L146"/>
    <mergeCell ref="N139:N142"/>
    <mergeCell ref="N143:N146"/>
    <mergeCell ref="O139:O142"/>
    <mergeCell ref="O143:O146"/>
  </mergeCells>
  <phoneticPr fontId="39" type="noConversion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4"/>
  <sheetViews>
    <sheetView workbookViewId="0">
      <pane ySplit="5" topLeftCell="A6" activePane="bottomLeft" state="frozen"/>
      <selection pane="bottomLeft" activeCell="I102" sqref="I102"/>
    </sheetView>
  </sheetViews>
  <sheetFormatPr baseColWidth="10" defaultRowHeight="15"/>
  <cols>
    <col min="1" max="1" width="11.42578125" style="69"/>
    <col min="2" max="2" width="9.5703125" style="69" bestFit="1" customWidth="1"/>
    <col min="3" max="3" width="19.42578125" style="69" customWidth="1"/>
    <col min="4" max="4" width="9.140625" style="69" customWidth="1"/>
    <col min="5" max="5" width="22.28515625" style="69" bestFit="1" customWidth="1"/>
    <col min="6" max="6" width="16.85546875" style="69" customWidth="1"/>
    <col min="7" max="7" width="18.28515625" style="69" customWidth="1"/>
    <col min="8" max="8" width="12.28515625" style="69" customWidth="1"/>
    <col min="9" max="9" width="12.85546875" style="69" customWidth="1"/>
    <col min="10" max="10" width="13.85546875" style="69" customWidth="1"/>
    <col min="11" max="11" width="13.5703125" style="69" customWidth="1"/>
    <col min="12" max="12" width="12.7109375" style="69" customWidth="1"/>
    <col min="13" max="13" width="11.85546875" style="69" customWidth="1"/>
    <col min="14" max="14" width="13.140625" style="69" customWidth="1"/>
    <col min="15" max="16384" width="11.42578125" style="69"/>
  </cols>
  <sheetData>
    <row r="2" spans="2:15">
      <c r="B2" s="537" t="s">
        <v>312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</row>
    <row r="3" spans="2:15">
      <c r="B3" s="538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5" spans="2:15" s="125" customFormat="1" ht="45">
      <c r="B5" s="122" t="s">
        <v>38</v>
      </c>
      <c r="C5" s="122" t="s">
        <v>35</v>
      </c>
      <c r="D5" s="122" t="s">
        <v>201</v>
      </c>
      <c r="E5" s="122" t="s">
        <v>0</v>
      </c>
      <c r="F5" s="122" t="s">
        <v>353</v>
      </c>
      <c r="G5" s="122" t="s">
        <v>497</v>
      </c>
      <c r="H5" s="122" t="s">
        <v>323</v>
      </c>
      <c r="I5" s="122" t="s">
        <v>286</v>
      </c>
      <c r="J5" s="122" t="s">
        <v>287</v>
      </c>
      <c r="K5" s="122" t="s">
        <v>291</v>
      </c>
      <c r="L5" s="122" t="s">
        <v>288</v>
      </c>
      <c r="M5" s="122" t="s">
        <v>161</v>
      </c>
      <c r="N5" s="122" t="s">
        <v>6</v>
      </c>
      <c r="O5" s="122" t="s">
        <v>37</v>
      </c>
    </row>
    <row r="6" spans="2:15">
      <c r="B6" s="589" t="s">
        <v>285</v>
      </c>
      <c r="C6" s="163" t="s">
        <v>355</v>
      </c>
      <c r="D6" s="163">
        <v>959347</v>
      </c>
      <c r="E6" s="231" t="s">
        <v>650</v>
      </c>
      <c r="F6" s="163">
        <v>0</v>
      </c>
      <c r="G6" s="163">
        <v>30</v>
      </c>
      <c r="H6" s="132">
        <f>((F6+G6)*0.4)</f>
        <v>12</v>
      </c>
      <c r="I6" s="262">
        <v>0</v>
      </c>
      <c r="J6" s="262">
        <v>30</v>
      </c>
      <c r="K6" s="106">
        <f t="shared" ref="K6:K44" si="0">F6-I6</f>
        <v>0</v>
      </c>
      <c r="L6" s="106">
        <f>G6-J6</f>
        <v>0</v>
      </c>
      <c r="M6" s="106">
        <f>K6+L6</f>
        <v>0</v>
      </c>
      <c r="N6" s="77">
        <f>(I6+J6)/(F6+G6)</f>
        <v>1</v>
      </c>
      <c r="O6" s="106"/>
    </row>
    <row r="7" spans="2:15">
      <c r="B7" s="589"/>
      <c r="C7" s="163" t="s">
        <v>356</v>
      </c>
      <c r="D7" s="163">
        <v>966146</v>
      </c>
      <c r="E7" s="231" t="s">
        <v>650</v>
      </c>
      <c r="F7" s="163">
        <v>19.88</v>
      </c>
      <c r="G7" s="163">
        <v>100.85</v>
      </c>
      <c r="H7" s="163">
        <f t="shared" ref="H7:H66" si="1">((F7+G7)*0.4)</f>
        <v>48.292000000000002</v>
      </c>
      <c r="I7" s="262">
        <v>19.88</v>
      </c>
      <c r="J7" s="262">
        <v>100.85</v>
      </c>
      <c r="K7" s="123">
        <f t="shared" si="0"/>
        <v>0</v>
      </c>
      <c r="L7" s="123">
        <f t="shared" ref="L7:L151" si="2">G7-J7</f>
        <v>0</v>
      </c>
      <c r="M7" s="123">
        <f t="shared" ref="M7:M151" si="3">K7+L7</f>
        <v>0</v>
      </c>
      <c r="N7" s="77">
        <f t="shared" ref="N7:N151" si="4">(I7+J7)/(F7+G7)</f>
        <v>1</v>
      </c>
      <c r="O7" s="106"/>
    </row>
    <row r="8" spans="2:15">
      <c r="B8" s="589"/>
      <c r="C8" s="163" t="s">
        <v>357</v>
      </c>
      <c r="D8" s="163">
        <v>30822</v>
      </c>
      <c r="E8" s="231" t="s">
        <v>650</v>
      </c>
      <c r="F8" s="163">
        <v>9.3870000000000005</v>
      </c>
      <c r="G8" s="163">
        <v>65.48</v>
      </c>
      <c r="H8" s="163">
        <f t="shared" si="1"/>
        <v>29.946800000000003</v>
      </c>
      <c r="I8" s="262">
        <v>9.3870000000000005</v>
      </c>
      <c r="J8" s="262">
        <v>65.48</v>
      </c>
      <c r="K8" s="106">
        <f t="shared" si="0"/>
        <v>0</v>
      </c>
      <c r="L8" s="106">
        <f t="shared" si="2"/>
        <v>0</v>
      </c>
      <c r="M8" s="106">
        <f t="shared" si="3"/>
        <v>0</v>
      </c>
      <c r="N8" s="77">
        <f t="shared" si="4"/>
        <v>1</v>
      </c>
      <c r="O8" s="106"/>
    </row>
    <row r="9" spans="2:15">
      <c r="B9" s="589"/>
      <c r="C9" s="163" t="s">
        <v>344</v>
      </c>
      <c r="D9" s="163">
        <v>960094</v>
      </c>
      <c r="E9" s="231" t="s">
        <v>650</v>
      </c>
      <c r="F9" s="163">
        <v>10</v>
      </c>
      <c r="G9" s="163">
        <v>90</v>
      </c>
      <c r="H9" s="163">
        <f t="shared" si="1"/>
        <v>40</v>
      </c>
      <c r="I9" s="299">
        <v>10</v>
      </c>
      <c r="J9" s="299">
        <v>90</v>
      </c>
      <c r="K9" s="106">
        <f t="shared" si="0"/>
        <v>0</v>
      </c>
      <c r="L9" s="106">
        <f t="shared" si="2"/>
        <v>0</v>
      </c>
      <c r="M9" s="106">
        <f t="shared" si="3"/>
        <v>0</v>
      </c>
      <c r="N9" s="77">
        <f t="shared" si="4"/>
        <v>1</v>
      </c>
      <c r="O9" s="106"/>
    </row>
    <row r="10" spans="2:15">
      <c r="B10" s="589"/>
      <c r="C10" s="163" t="s">
        <v>358</v>
      </c>
      <c r="D10" s="163">
        <v>961332</v>
      </c>
      <c r="E10" s="231" t="s">
        <v>650</v>
      </c>
      <c r="F10" s="163">
        <v>7.8019999999999996</v>
      </c>
      <c r="G10" s="163">
        <v>0</v>
      </c>
      <c r="H10" s="163">
        <f t="shared" si="1"/>
        <v>3.1208</v>
      </c>
      <c r="I10" s="262">
        <v>7.8019999999999996</v>
      </c>
      <c r="J10" s="299">
        <v>0</v>
      </c>
      <c r="K10" s="123">
        <f t="shared" si="0"/>
        <v>0</v>
      </c>
      <c r="L10" s="106">
        <f t="shared" si="2"/>
        <v>0</v>
      </c>
      <c r="M10" s="123">
        <f t="shared" si="3"/>
        <v>0</v>
      </c>
      <c r="N10" s="77">
        <f t="shared" si="4"/>
        <v>1</v>
      </c>
      <c r="O10" s="106"/>
    </row>
    <row r="11" spans="2:15">
      <c r="B11" s="589"/>
      <c r="C11" s="163" t="s">
        <v>359</v>
      </c>
      <c r="D11" s="163">
        <v>968779</v>
      </c>
      <c r="E11" s="231" t="s">
        <v>650</v>
      </c>
      <c r="F11" s="163">
        <v>13.896000000000001</v>
      </c>
      <c r="G11" s="163">
        <v>12.65</v>
      </c>
      <c r="H11" s="163">
        <f t="shared" si="1"/>
        <v>10.618400000000001</v>
      </c>
      <c r="I11" s="262">
        <v>13.896000000000001</v>
      </c>
      <c r="J11" s="262">
        <v>12.65</v>
      </c>
      <c r="K11" s="123">
        <f t="shared" si="0"/>
        <v>0</v>
      </c>
      <c r="L11" s="123">
        <f t="shared" si="2"/>
        <v>0</v>
      </c>
      <c r="M11" s="123">
        <f t="shared" si="3"/>
        <v>0</v>
      </c>
      <c r="N11" s="77">
        <f t="shared" si="4"/>
        <v>1</v>
      </c>
      <c r="O11" s="106"/>
    </row>
    <row r="12" spans="2:15">
      <c r="B12" s="589"/>
      <c r="C12" s="163" t="s">
        <v>360</v>
      </c>
      <c r="D12" s="163">
        <v>951944</v>
      </c>
      <c r="E12" s="231" t="s">
        <v>650</v>
      </c>
      <c r="F12" s="163">
        <v>0</v>
      </c>
      <c r="G12" s="163">
        <v>9</v>
      </c>
      <c r="H12" s="163">
        <f t="shared" si="1"/>
        <v>3.6</v>
      </c>
      <c r="I12" s="299">
        <v>0</v>
      </c>
      <c r="J12" s="299">
        <v>9</v>
      </c>
      <c r="K12" s="106">
        <f t="shared" si="0"/>
        <v>0</v>
      </c>
      <c r="L12" s="106">
        <f t="shared" si="2"/>
        <v>0</v>
      </c>
      <c r="M12" s="106">
        <f t="shared" si="3"/>
        <v>0</v>
      </c>
      <c r="N12" s="77">
        <f t="shared" si="4"/>
        <v>1</v>
      </c>
      <c r="O12" s="106"/>
    </row>
    <row r="13" spans="2:15">
      <c r="B13" s="589"/>
      <c r="C13" s="163" t="s">
        <v>361</v>
      </c>
      <c r="D13" s="184">
        <v>954552</v>
      </c>
      <c r="E13" s="231" t="s">
        <v>650</v>
      </c>
      <c r="F13" s="163">
        <v>1.0920000000000001</v>
      </c>
      <c r="G13" s="163">
        <v>144.6</v>
      </c>
      <c r="H13" s="163">
        <f t="shared" si="1"/>
        <v>58.276800000000009</v>
      </c>
      <c r="I13" s="262">
        <v>1.0920000000000001</v>
      </c>
      <c r="J13" s="262">
        <v>144.6</v>
      </c>
      <c r="K13" s="123">
        <f t="shared" si="0"/>
        <v>0</v>
      </c>
      <c r="L13" s="123">
        <f t="shared" si="2"/>
        <v>0</v>
      </c>
      <c r="M13" s="123">
        <f t="shared" si="3"/>
        <v>0</v>
      </c>
      <c r="N13" s="77">
        <f t="shared" si="4"/>
        <v>1</v>
      </c>
      <c r="O13" s="106"/>
    </row>
    <row r="14" spans="2:15">
      <c r="B14" s="589"/>
      <c r="C14" s="163" t="s">
        <v>362</v>
      </c>
      <c r="D14" s="163">
        <v>952452</v>
      </c>
      <c r="E14" s="231" t="s">
        <v>650</v>
      </c>
      <c r="F14" s="163">
        <v>0</v>
      </c>
      <c r="G14" s="163">
        <v>49.552</v>
      </c>
      <c r="H14" s="163">
        <f t="shared" si="1"/>
        <v>19.820800000000002</v>
      </c>
      <c r="I14" s="299">
        <v>0</v>
      </c>
      <c r="J14" s="299">
        <v>49.552</v>
      </c>
      <c r="K14" s="106">
        <f t="shared" si="0"/>
        <v>0</v>
      </c>
      <c r="L14" s="106">
        <f t="shared" si="2"/>
        <v>0</v>
      </c>
      <c r="M14" s="106">
        <f t="shared" si="3"/>
        <v>0</v>
      </c>
      <c r="N14" s="77">
        <f t="shared" si="4"/>
        <v>1</v>
      </c>
      <c r="O14" s="106"/>
    </row>
    <row r="15" spans="2:15">
      <c r="B15" s="589"/>
      <c r="C15" s="163" t="s">
        <v>350</v>
      </c>
      <c r="D15" s="163">
        <v>697484</v>
      </c>
      <c r="E15" s="231" t="s">
        <v>650</v>
      </c>
      <c r="F15" s="163">
        <v>0</v>
      </c>
      <c r="G15" s="163">
        <v>64.47</v>
      </c>
      <c r="H15" s="163">
        <f t="shared" si="1"/>
        <v>25.788</v>
      </c>
      <c r="I15" s="299">
        <v>0</v>
      </c>
      <c r="J15" s="262">
        <v>64.47</v>
      </c>
      <c r="K15" s="106">
        <f t="shared" si="0"/>
        <v>0</v>
      </c>
      <c r="L15" s="123">
        <f t="shared" si="2"/>
        <v>0</v>
      </c>
      <c r="M15" s="123">
        <f t="shared" si="3"/>
        <v>0</v>
      </c>
      <c r="N15" s="77">
        <f t="shared" si="4"/>
        <v>1</v>
      </c>
      <c r="O15" s="106"/>
    </row>
    <row r="16" spans="2:15">
      <c r="B16" s="589"/>
      <c r="C16" s="163" t="s">
        <v>363</v>
      </c>
      <c r="D16" s="163">
        <v>962899</v>
      </c>
      <c r="E16" s="231" t="s">
        <v>650</v>
      </c>
      <c r="F16" s="163">
        <v>1</v>
      </c>
      <c r="G16" s="163">
        <v>331.13900000000001</v>
      </c>
      <c r="H16" s="163">
        <f t="shared" si="1"/>
        <v>132.85560000000001</v>
      </c>
      <c r="I16" s="299">
        <v>1</v>
      </c>
      <c r="J16" s="299">
        <v>331.13900000000001</v>
      </c>
      <c r="K16" s="106">
        <f t="shared" si="0"/>
        <v>0</v>
      </c>
      <c r="L16" s="106">
        <f t="shared" si="2"/>
        <v>0</v>
      </c>
      <c r="M16" s="106">
        <f t="shared" si="3"/>
        <v>0</v>
      </c>
      <c r="N16" s="77">
        <f t="shared" si="4"/>
        <v>1</v>
      </c>
      <c r="O16" s="106"/>
    </row>
    <row r="17" spans="2:15">
      <c r="B17" s="589"/>
      <c r="C17" s="163" t="s">
        <v>364</v>
      </c>
      <c r="D17" s="163">
        <v>950818</v>
      </c>
      <c r="E17" s="231" t="s">
        <v>650</v>
      </c>
      <c r="F17" s="163">
        <v>0</v>
      </c>
      <c r="G17" s="163">
        <v>177.369</v>
      </c>
      <c r="H17" s="163">
        <f t="shared" si="1"/>
        <v>70.947600000000008</v>
      </c>
      <c r="I17" s="299">
        <v>0</v>
      </c>
      <c r="J17" s="323">
        <v>177.369</v>
      </c>
      <c r="K17" s="106">
        <f t="shared" si="0"/>
        <v>0</v>
      </c>
      <c r="L17" s="106">
        <f t="shared" si="2"/>
        <v>0</v>
      </c>
      <c r="M17" s="106">
        <f t="shared" si="3"/>
        <v>0</v>
      </c>
      <c r="N17" s="77">
        <f t="shared" si="4"/>
        <v>1</v>
      </c>
      <c r="O17" s="106"/>
    </row>
    <row r="18" spans="2:15">
      <c r="B18" s="589"/>
      <c r="C18" s="163" t="s">
        <v>365</v>
      </c>
      <c r="D18" s="163">
        <v>961126</v>
      </c>
      <c r="E18" s="231" t="s">
        <v>650</v>
      </c>
      <c r="F18" s="163">
        <v>0</v>
      </c>
      <c r="G18" s="163">
        <v>113.90300000000001</v>
      </c>
      <c r="H18" s="163">
        <f t="shared" si="1"/>
        <v>45.561200000000007</v>
      </c>
      <c r="I18" s="299">
        <v>0</v>
      </c>
      <c r="J18" s="299">
        <v>113.90300000000001</v>
      </c>
      <c r="K18" s="106">
        <f t="shared" si="0"/>
        <v>0</v>
      </c>
      <c r="L18" s="106">
        <f t="shared" si="2"/>
        <v>0</v>
      </c>
      <c r="M18" s="106">
        <f t="shared" si="3"/>
        <v>0</v>
      </c>
      <c r="N18" s="77">
        <f t="shared" si="4"/>
        <v>1</v>
      </c>
      <c r="O18" s="106"/>
    </row>
    <row r="19" spans="2:15">
      <c r="B19" s="589"/>
      <c r="C19" s="163" t="s">
        <v>366</v>
      </c>
      <c r="D19" s="163">
        <v>6485</v>
      </c>
      <c r="E19" s="231" t="s">
        <v>650</v>
      </c>
      <c r="F19" s="163">
        <v>2.4</v>
      </c>
      <c r="G19" s="163">
        <v>0</v>
      </c>
      <c r="H19" s="163">
        <f t="shared" si="1"/>
        <v>0.96</v>
      </c>
      <c r="I19" s="299">
        <v>2.4</v>
      </c>
      <c r="J19" s="299">
        <v>0</v>
      </c>
      <c r="K19" s="106">
        <f t="shared" ref="K19" si="5">F19-I19</f>
        <v>0</v>
      </c>
      <c r="L19" s="106">
        <f t="shared" ref="L19" si="6">G19-J19</f>
        <v>0</v>
      </c>
      <c r="M19" s="106">
        <f t="shared" ref="M19" si="7">K19+L19</f>
        <v>0</v>
      </c>
      <c r="N19" s="77">
        <f t="shared" ref="N19" si="8">(I19+J19)/(F19+G19)</f>
        <v>1</v>
      </c>
      <c r="O19" s="106"/>
    </row>
    <row r="20" spans="2:15">
      <c r="B20" s="589"/>
      <c r="C20" s="163" t="s">
        <v>367</v>
      </c>
      <c r="D20" s="163">
        <v>961162</v>
      </c>
      <c r="E20" s="231" t="s">
        <v>650</v>
      </c>
      <c r="F20" s="163">
        <v>0</v>
      </c>
      <c r="G20" s="163">
        <v>85</v>
      </c>
      <c r="H20" s="163">
        <f t="shared" si="1"/>
        <v>34</v>
      </c>
      <c r="I20" s="299">
        <v>0</v>
      </c>
      <c r="J20" s="299">
        <v>85</v>
      </c>
      <c r="K20" s="106">
        <f t="shared" si="0"/>
        <v>0</v>
      </c>
      <c r="L20" s="106">
        <f t="shared" si="2"/>
        <v>0</v>
      </c>
      <c r="M20" s="106">
        <f t="shared" si="3"/>
        <v>0</v>
      </c>
      <c r="N20" s="77">
        <f t="shared" si="4"/>
        <v>1</v>
      </c>
      <c r="O20" s="106"/>
    </row>
    <row r="21" spans="2:15">
      <c r="B21" s="589"/>
      <c r="C21" s="163" t="s">
        <v>275</v>
      </c>
      <c r="D21" s="163">
        <v>697288</v>
      </c>
      <c r="E21" s="231" t="s">
        <v>650</v>
      </c>
      <c r="F21" s="163">
        <v>0</v>
      </c>
      <c r="G21" s="163">
        <v>109.85</v>
      </c>
      <c r="H21" s="163">
        <f t="shared" si="1"/>
        <v>43.94</v>
      </c>
      <c r="I21" s="299">
        <v>0</v>
      </c>
      <c r="J21" s="299">
        <v>109.85</v>
      </c>
      <c r="K21" s="106">
        <f t="shared" si="0"/>
        <v>0</v>
      </c>
      <c r="L21" s="106">
        <f t="shared" si="2"/>
        <v>0</v>
      </c>
      <c r="M21" s="106">
        <f t="shared" si="3"/>
        <v>0</v>
      </c>
      <c r="N21" s="77">
        <f t="shared" si="4"/>
        <v>1</v>
      </c>
      <c r="O21" s="106"/>
    </row>
    <row r="22" spans="2:15">
      <c r="B22" s="589"/>
      <c r="C22" s="163" t="s">
        <v>368</v>
      </c>
      <c r="D22" s="163">
        <v>968864</v>
      </c>
      <c r="E22" s="231" t="s">
        <v>650</v>
      </c>
      <c r="F22" s="163">
        <v>0</v>
      </c>
      <c r="G22" s="163">
        <v>31.027999999999999</v>
      </c>
      <c r="H22" s="163">
        <f t="shared" si="1"/>
        <v>12.411200000000001</v>
      </c>
      <c r="I22" s="299">
        <v>0</v>
      </c>
      <c r="J22" s="299">
        <v>31.027999999999999</v>
      </c>
      <c r="K22" s="106">
        <f t="shared" ref="K22" si="9">F22-I22</f>
        <v>0</v>
      </c>
      <c r="L22" s="106">
        <f t="shared" ref="L22" si="10">G22-J22</f>
        <v>0</v>
      </c>
      <c r="M22" s="106">
        <f t="shared" ref="M22" si="11">K22+L22</f>
        <v>0</v>
      </c>
      <c r="N22" s="77">
        <f t="shared" ref="N22" si="12">(I22+J22)/(F22+G22)</f>
        <v>1</v>
      </c>
      <c r="O22" s="106"/>
    </row>
    <row r="23" spans="2:15">
      <c r="B23" s="589"/>
      <c r="C23" s="163" t="s">
        <v>369</v>
      </c>
      <c r="D23" s="163">
        <v>958713</v>
      </c>
      <c r="E23" s="231" t="s">
        <v>650</v>
      </c>
      <c r="F23" s="163">
        <v>0</v>
      </c>
      <c r="G23" s="163">
        <v>100</v>
      </c>
      <c r="H23" s="163">
        <f t="shared" si="1"/>
        <v>40</v>
      </c>
      <c r="I23" s="299">
        <v>0</v>
      </c>
      <c r="J23" s="299">
        <v>100</v>
      </c>
      <c r="K23" s="106">
        <f t="shared" ref="K23" si="13">F23-I23</f>
        <v>0</v>
      </c>
      <c r="L23" s="106">
        <f t="shared" ref="L23" si="14">G23-J23</f>
        <v>0</v>
      </c>
      <c r="M23" s="106">
        <f t="shared" ref="M23" si="15">K23+L23</f>
        <v>0</v>
      </c>
      <c r="N23" s="77">
        <f t="shared" ref="N23" si="16">(I23+J23)/(F23+G23)</f>
        <v>1</v>
      </c>
      <c r="O23" s="106"/>
    </row>
    <row r="24" spans="2:15">
      <c r="B24" s="589"/>
      <c r="C24" s="163" t="s">
        <v>370</v>
      </c>
      <c r="D24" s="163">
        <v>961564</v>
      </c>
      <c r="E24" s="231" t="s">
        <v>650</v>
      </c>
      <c r="F24" s="163">
        <v>35</v>
      </c>
      <c r="G24" s="163">
        <v>35</v>
      </c>
      <c r="H24" s="163">
        <f t="shared" si="1"/>
        <v>28</v>
      </c>
      <c r="I24" s="342">
        <v>13.162000000000001</v>
      </c>
      <c r="J24" s="342">
        <v>11.888</v>
      </c>
      <c r="K24" s="106">
        <f t="shared" si="0"/>
        <v>21.838000000000001</v>
      </c>
      <c r="L24" s="106">
        <f t="shared" si="2"/>
        <v>23.112000000000002</v>
      </c>
      <c r="M24" s="106">
        <f t="shared" si="3"/>
        <v>44.95</v>
      </c>
      <c r="N24" s="77">
        <f t="shared" si="4"/>
        <v>0.35785714285714287</v>
      </c>
      <c r="O24" s="106"/>
    </row>
    <row r="25" spans="2:15">
      <c r="B25" s="589"/>
      <c r="C25" s="163" t="s">
        <v>371</v>
      </c>
      <c r="D25" s="163">
        <v>954711</v>
      </c>
      <c r="E25" s="231" t="s">
        <v>650</v>
      </c>
      <c r="F25" s="163">
        <v>1.4999999999999999E-2</v>
      </c>
      <c r="G25" s="163">
        <v>0</v>
      </c>
      <c r="H25" s="163">
        <f t="shared" si="1"/>
        <v>6.0000000000000001E-3</v>
      </c>
      <c r="I25" s="262">
        <v>1.4999999999999999E-2</v>
      </c>
      <c r="J25" s="299">
        <v>0</v>
      </c>
      <c r="K25" s="123">
        <f t="shared" si="0"/>
        <v>0</v>
      </c>
      <c r="L25" s="106">
        <f t="shared" si="2"/>
        <v>0</v>
      </c>
      <c r="M25" s="123">
        <f t="shared" si="3"/>
        <v>0</v>
      </c>
      <c r="N25" s="77">
        <f t="shared" si="4"/>
        <v>1</v>
      </c>
      <c r="O25" s="106"/>
    </row>
    <row r="26" spans="2:15">
      <c r="B26" s="589"/>
      <c r="C26" s="163" t="s">
        <v>372</v>
      </c>
      <c r="D26" s="163">
        <v>969362</v>
      </c>
      <c r="E26" s="231" t="s">
        <v>650</v>
      </c>
      <c r="F26" s="163">
        <v>0</v>
      </c>
      <c r="G26" s="163">
        <v>263.33499999999998</v>
      </c>
      <c r="H26" s="163">
        <f t="shared" si="1"/>
        <v>105.334</v>
      </c>
      <c r="I26" s="299">
        <v>0</v>
      </c>
      <c r="J26" s="299">
        <v>263.33499999999998</v>
      </c>
      <c r="K26" s="106">
        <f t="shared" si="0"/>
        <v>0</v>
      </c>
      <c r="L26" s="106">
        <f t="shared" si="2"/>
        <v>0</v>
      </c>
      <c r="M26" s="106">
        <f t="shared" si="3"/>
        <v>0</v>
      </c>
      <c r="N26" s="77">
        <f t="shared" si="4"/>
        <v>1</v>
      </c>
      <c r="O26" s="106"/>
    </row>
    <row r="27" spans="2:15">
      <c r="B27" s="589"/>
      <c r="C27" s="163" t="s">
        <v>373</v>
      </c>
      <c r="D27" s="163">
        <v>951974</v>
      </c>
      <c r="E27" s="231" t="s">
        <v>650</v>
      </c>
      <c r="F27" s="163">
        <v>0</v>
      </c>
      <c r="G27" s="163">
        <v>70.736999999999995</v>
      </c>
      <c r="H27" s="163">
        <f t="shared" si="1"/>
        <v>28.294799999999999</v>
      </c>
      <c r="I27" s="299">
        <v>28.294</v>
      </c>
      <c r="J27" s="342">
        <v>38.176000000000002</v>
      </c>
      <c r="K27" s="106">
        <f t="shared" ref="K27:K28" si="17">F27-I27</f>
        <v>-28.294</v>
      </c>
      <c r="L27" s="106">
        <f t="shared" ref="L27:L28" si="18">G27-J27</f>
        <v>32.560999999999993</v>
      </c>
      <c r="M27" s="106">
        <f t="shared" ref="M27:M28" si="19">K27+L27</f>
        <v>4.2669999999999924</v>
      </c>
      <c r="N27" s="77">
        <f t="shared" ref="N27:N28" si="20">(I27+J27)/(F27+G27)</f>
        <v>0.93967796202835863</v>
      </c>
      <c r="O27" s="106"/>
    </row>
    <row r="28" spans="2:15">
      <c r="B28" s="589"/>
      <c r="C28" s="163" t="s">
        <v>374</v>
      </c>
      <c r="D28" s="163">
        <v>955511</v>
      </c>
      <c r="E28" s="231" t="s">
        <v>650</v>
      </c>
      <c r="F28" s="163">
        <v>21.588999999999999</v>
      </c>
      <c r="G28" s="163">
        <v>80</v>
      </c>
      <c r="H28" s="163">
        <f t="shared" si="1"/>
        <v>40.635600000000004</v>
      </c>
      <c r="I28" s="262">
        <v>21.588999999999999</v>
      </c>
      <c r="J28" s="262">
        <v>80</v>
      </c>
      <c r="K28" s="106">
        <f t="shared" si="17"/>
        <v>0</v>
      </c>
      <c r="L28" s="106">
        <f t="shared" si="18"/>
        <v>0</v>
      </c>
      <c r="M28" s="106">
        <f t="shared" si="19"/>
        <v>0</v>
      </c>
      <c r="N28" s="77">
        <f t="shared" si="20"/>
        <v>1</v>
      </c>
      <c r="O28" s="106"/>
    </row>
    <row r="29" spans="2:15">
      <c r="B29" s="589"/>
      <c r="C29" s="301" t="s">
        <v>699</v>
      </c>
      <c r="D29" s="163">
        <v>697388</v>
      </c>
      <c r="E29" s="231" t="s">
        <v>650</v>
      </c>
      <c r="F29" s="163">
        <v>0.93700000000000006</v>
      </c>
      <c r="G29" s="163">
        <v>0</v>
      </c>
      <c r="H29" s="163">
        <f t="shared" si="1"/>
        <v>0.37480000000000002</v>
      </c>
      <c r="I29" s="262">
        <v>0.93700000000000006</v>
      </c>
      <c r="J29" s="299">
        <v>0</v>
      </c>
      <c r="K29" s="123">
        <f t="shared" si="0"/>
        <v>0</v>
      </c>
      <c r="L29" s="106">
        <f t="shared" si="2"/>
        <v>0</v>
      </c>
      <c r="M29" s="123">
        <f t="shared" si="3"/>
        <v>0</v>
      </c>
      <c r="N29" s="77">
        <f t="shared" si="4"/>
        <v>1</v>
      </c>
      <c r="O29" s="106"/>
    </row>
    <row r="30" spans="2:15">
      <c r="B30" s="589"/>
      <c r="C30" s="163" t="s">
        <v>375</v>
      </c>
      <c r="D30" s="163">
        <v>964054</v>
      </c>
      <c r="E30" s="231" t="s">
        <v>650</v>
      </c>
      <c r="F30" s="163">
        <v>29.393999999999998</v>
      </c>
      <c r="G30" s="163">
        <v>80</v>
      </c>
      <c r="H30" s="163">
        <f t="shared" si="1"/>
        <v>43.757600000000004</v>
      </c>
      <c r="I30" s="299">
        <v>29.393999999999998</v>
      </c>
      <c r="J30" s="299">
        <v>80</v>
      </c>
      <c r="K30" s="106">
        <f t="shared" si="0"/>
        <v>0</v>
      </c>
      <c r="L30" s="106">
        <f t="shared" si="2"/>
        <v>0</v>
      </c>
      <c r="M30" s="106">
        <f t="shared" si="3"/>
        <v>0</v>
      </c>
      <c r="N30" s="77">
        <f t="shared" si="4"/>
        <v>1</v>
      </c>
      <c r="O30" s="106"/>
    </row>
    <row r="31" spans="2:15">
      <c r="B31" s="589"/>
      <c r="C31" s="163" t="s">
        <v>339</v>
      </c>
      <c r="D31" s="163">
        <v>923199</v>
      </c>
      <c r="E31" s="231" t="s">
        <v>650</v>
      </c>
      <c r="F31" s="163">
        <v>10</v>
      </c>
      <c r="G31" s="163">
        <v>10</v>
      </c>
      <c r="H31" s="163">
        <f t="shared" si="1"/>
        <v>8</v>
      </c>
      <c r="I31" s="299">
        <v>10</v>
      </c>
      <c r="J31" s="299">
        <v>10</v>
      </c>
      <c r="K31" s="106">
        <f t="shared" si="0"/>
        <v>0</v>
      </c>
      <c r="L31" s="106">
        <f t="shared" si="2"/>
        <v>0</v>
      </c>
      <c r="M31" s="106">
        <f t="shared" si="3"/>
        <v>0</v>
      </c>
      <c r="N31" s="77">
        <f t="shared" si="4"/>
        <v>1</v>
      </c>
      <c r="O31" s="106"/>
    </row>
    <row r="32" spans="2:15">
      <c r="B32" s="589"/>
      <c r="C32" s="163" t="s">
        <v>347</v>
      </c>
      <c r="D32" s="163">
        <v>955516</v>
      </c>
      <c r="E32" s="231" t="s">
        <v>650</v>
      </c>
      <c r="F32" s="163">
        <v>0</v>
      </c>
      <c r="G32" s="163">
        <v>30</v>
      </c>
      <c r="H32" s="163">
        <f t="shared" si="1"/>
        <v>12</v>
      </c>
      <c r="I32" s="299">
        <v>0</v>
      </c>
      <c r="J32" s="299">
        <v>30</v>
      </c>
      <c r="K32" s="106">
        <f t="shared" si="0"/>
        <v>0</v>
      </c>
      <c r="L32" s="106">
        <f t="shared" si="2"/>
        <v>0</v>
      </c>
      <c r="M32" s="106">
        <f t="shared" si="3"/>
        <v>0</v>
      </c>
      <c r="N32" s="77">
        <f t="shared" si="4"/>
        <v>1</v>
      </c>
      <c r="O32" s="106"/>
    </row>
    <row r="33" spans="2:15">
      <c r="B33" s="589"/>
      <c r="C33" s="163" t="s">
        <v>376</v>
      </c>
      <c r="D33" s="163">
        <v>922965</v>
      </c>
      <c r="E33" s="231" t="s">
        <v>650</v>
      </c>
      <c r="F33" s="163">
        <v>0</v>
      </c>
      <c r="G33" s="163">
        <v>19.652000000000001</v>
      </c>
      <c r="H33" s="163">
        <f t="shared" si="1"/>
        <v>7.8608000000000011</v>
      </c>
      <c r="I33" s="299">
        <v>0</v>
      </c>
      <c r="J33" s="299">
        <v>19.652000000000001</v>
      </c>
      <c r="K33" s="106">
        <f t="shared" si="0"/>
        <v>0</v>
      </c>
      <c r="L33" s="106">
        <f t="shared" si="2"/>
        <v>0</v>
      </c>
      <c r="M33" s="106">
        <f t="shared" si="3"/>
        <v>0</v>
      </c>
      <c r="N33" s="77">
        <f t="shared" si="4"/>
        <v>1</v>
      </c>
      <c r="O33" s="106"/>
    </row>
    <row r="34" spans="2:15">
      <c r="B34" s="589"/>
      <c r="C34" s="163" t="s">
        <v>377</v>
      </c>
      <c r="D34" s="163">
        <v>962492</v>
      </c>
      <c r="E34" s="231" t="s">
        <v>650</v>
      </c>
      <c r="F34" s="163">
        <v>0</v>
      </c>
      <c r="G34" s="163">
        <v>121.05</v>
      </c>
      <c r="H34" s="163">
        <f t="shared" si="1"/>
        <v>48.42</v>
      </c>
      <c r="I34" s="299">
        <v>0</v>
      </c>
      <c r="J34" s="299">
        <v>0</v>
      </c>
      <c r="K34" s="106">
        <f t="shared" si="0"/>
        <v>0</v>
      </c>
      <c r="L34" s="106">
        <f t="shared" si="2"/>
        <v>121.05</v>
      </c>
      <c r="M34" s="106">
        <f t="shared" si="3"/>
        <v>121.05</v>
      </c>
      <c r="N34" s="77">
        <f t="shared" si="4"/>
        <v>0</v>
      </c>
      <c r="O34" s="106"/>
    </row>
    <row r="35" spans="2:15" s="11" customFormat="1">
      <c r="B35" s="589"/>
      <c r="C35" s="163" t="s">
        <v>378</v>
      </c>
      <c r="D35" s="163">
        <v>951497</v>
      </c>
      <c r="E35" s="231" t="s">
        <v>650</v>
      </c>
      <c r="F35" s="163">
        <v>0</v>
      </c>
      <c r="G35" s="163">
        <v>62.088000000000001</v>
      </c>
      <c r="H35" s="163">
        <f t="shared" si="1"/>
        <v>24.8352</v>
      </c>
      <c r="I35" s="39">
        <v>0</v>
      </c>
      <c r="J35" s="39">
        <v>62.088000000000001</v>
      </c>
      <c r="K35" s="106">
        <f t="shared" si="0"/>
        <v>0</v>
      </c>
      <c r="L35" s="106">
        <f t="shared" si="2"/>
        <v>0</v>
      </c>
      <c r="M35" s="106">
        <f t="shared" si="3"/>
        <v>0</v>
      </c>
      <c r="N35" s="77">
        <f t="shared" si="4"/>
        <v>1</v>
      </c>
      <c r="O35" s="1"/>
    </row>
    <row r="36" spans="2:15">
      <c r="B36" s="589"/>
      <c r="C36" s="163" t="s">
        <v>379</v>
      </c>
      <c r="D36" s="163">
        <v>955079</v>
      </c>
      <c r="E36" s="231" t="s">
        <v>650</v>
      </c>
      <c r="F36" s="163">
        <v>8.6999999999999994E-2</v>
      </c>
      <c r="G36" s="163">
        <v>0</v>
      </c>
      <c r="H36" s="163">
        <f t="shared" si="1"/>
        <v>3.4799999999999998E-2</v>
      </c>
      <c r="I36" s="262">
        <v>8.6999999999999994E-2</v>
      </c>
      <c r="J36" s="299">
        <v>0</v>
      </c>
      <c r="K36" s="123">
        <f t="shared" si="0"/>
        <v>0</v>
      </c>
      <c r="L36" s="106">
        <f t="shared" si="2"/>
        <v>0</v>
      </c>
      <c r="M36" s="123">
        <f t="shared" si="3"/>
        <v>0</v>
      </c>
      <c r="N36" s="77">
        <f t="shared" si="4"/>
        <v>1</v>
      </c>
      <c r="O36" s="106"/>
    </row>
    <row r="37" spans="2:15">
      <c r="B37" s="589"/>
      <c r="C37" s="163" t="s">
        <v>380</v>
      </c>
      <c r="D37" s="163">
        <v>924603</v>
      </c>
      <c r="E37" s="231" t="s">
        <v>650</v>
      </c>
      <c r="F37" s="163">
        <v>0.44</v>
      </c>
      <c r="G37" s="163">
        <v>31.574999999999999</v>
      </c>
      <c r="H37" s="163">
        <f t="shared" si="1"/>
        <v>12.806000000000001</v>
      </c>
      <c r="I37" s="299">
        <v>0.44</v>
      </c>
      <c r="J37" s="299">
        <v>31.574999999999999</v>
      </c>
      <c r="K37" s="106">
        <f t="shared" ref="K37:K38" si="21">F37-I37</f>
        <v>0</v>
      </c>
      <c r="L37" s="106">
        <f t="shared" ref="L37:L38" si="22">G37-J37</f>
        <v>0</v>
      </c>
      <c r="M37" s="106">
        <f t="shared" ref="M37:M38" si="23">K37+L37</f>
        <v>0</v>
      </c>
      <c r="N37" s="77">
        <f t="shared" ref="N37:N38" si="24">(I37+J37)/(F37+G37)</f>
        <v>1</v>
      </c>
      <c r="O37" s="106"/>
    </row>
    <row r="38" spans="2:15">
      <c r="B38" s="589"/>
      <c r="C38" s="163" t="s">
        <v>381</v>
      </c>
      <c r="D38" s="163">
        <v>958078</v>
      </c>
      <c r="E38" s="231" t="s">
        <v>650</v>
      </c>
      <c r="F38" s="163">
        <v>0</v>
      </c>
      <c r="G38" s="163">
        <v>130</v>
      </c>
      <c r="H38" s="163">
        <f t="shared" si="1"/>
        <v>52</v>
      </c>
      <c r="I38" s="299">
        <v>0</v>
      </c>
      <c r="J38" s="299">
        <v>129.41</v>
      </c>
      <c r="K38" s="106">
        <f t="shared" si="21"/>
        <v>0</v>
      </c>
      <c r="L38" s="106">
        <f t="shared" si="22"/>
        <v>0.59000000000000341</v>
      </c>
      <c r="M38" s="106">
        <f t="shared" si="23"/>
        <v>0.59000000000000341</v>
      </c>
      <c r="N38" s="77">
        <f t="shared" si="24"/>
        <v>0.9954615384615384</v>
      </c>
      <c r="O38" s="106"/>
    </row>
    <row r="39" spans="2:15">
      <c r="B39" s="589"/>
      <c r="C39" s="163" t="s">
        <v>382</v>
      </c>
      <c r="D39" s="163">
        <v>965442</v>
      </c>
      <c r="E39" s="231" t="s">
        <v>650</v>
      </c>
      <c r="F39" s="163">
        <v>20.027999999999999</v>
      </c>
      <c r="G39" s="163">
        <v>114.812</v>
      </c>
      <c r="H39" s="163">
        <f t="shared" si="1"/>
        <v>53.936000000000007</v>
      </c>
      <c r="I39" s="299">
        <v>20.027999999999999</v>
      </c>
      <c r="J39" s="299">
        <v>114.812</v>
      </c>
      <c r="K39" s="106">
        <f t="shared" si="0"/>
        <v>0</v>
      </c>
      <c r="L39" s="106">
        <f t="shared" si="2"/>
        <v>0</v>
      </c>
      <c r="M39" s="106">
        <f t="shared" si="3"/>
        <v>0</v>
      </c>
      <c r="N39" s="77">
        <f t="shared" si="4"/>
        <v>1</v>
      </c>
      <c r="O39" s="106"/>
    </row>
    <row r="40" spans="2:15">
      <c r="B40" s="589"/>
      <c r="C40" s="163" t="s">
        <v>383</v>
      </c>
      <c r="D40" s="163">
        <v>953832</v>
      </c>
      <c r="E40" s="231" t="s">
        <v>650</v>
      </c>
      <c r="F40" s="163">
        <v>4.6189999999999998</v>
      </c>
      <c r="G40" s="163">
        <v>31.526</v>
      </c>
      <c r="H40" s="163">
        <f t="shared" si="1"/>
        <v>14.457999999999998</v>
      </c>
      <c r="I40" s="262">
        <v>4.6189999999999998</v>
      </c>
      <c r="J40" s="262">
        <v>31.526</v>
      </c>
      <c r="K40" s="123">
        <f t="shared" si="0"/>
        <v>0</v>
      </c>
      <c r="L40" s="123">
        <f t="shared" si="2"/>
        <v>0</v>
      </c>
      <c r="M40" s="123">
        <f t="shared" si="3"/>
        <v>0</v>
      </c>
      <c r="N40" s="77">
        <f t="shared" si="4"/>
        <v>1</v>
      </c>
      <c r="O40" s="106"/>
    </row>
    <row r="41" spans="2:15">
      <c r="B41" s="589"/>
      <c r="C41" s="163" t="s">
        <v>336</v>
      </c>
      <c r="D41" s="163">
        <v>951136</v>
      </c>
      <c r="E41" s="231" t="s">
        <v>650</v>
      </c>
      <c r="F41" s="163">
        <v>6.6779999999999999</v>
      </c>
      <c r="G41" s="163">
        <v>134.93600000000001</v>
      </c>
      <c r="H41" s="163">
        <f t="shared" si="1"/>
        <v>56.645600000000002</v>
      </c>
      <c r="I41" s="299">
        <v>6.6779999999999999</v>
      </c>
      <c r="J41" s="299">
        <v>99.495000000000005</v>
      </c>
      <c r="K41" s="106">
        <f t="shared" si="0"/>
        <v>0</v>
      </c>
      <c r="L41" s="106">
        <f t="shared" si="2"/>
        <v>35.441000000000003</v>
      </c>
      <c r="M41" s="106">
        <f t="shared" si="3"/>
        <v>35.441000000000003</v>
      </c>
      <c r="N41" s="77">
        <f t="shared" si="4"/>
        <v>0.74973519567274416</v>
      </c>
      <c r="O41" s="106"/>
    </row>
    <row r="42" spans="2:15">
      <c r="B42" s="589"/>
      <c r="C42" s="163" t="s">
        <v>384</v>
      </c>
      <c r="D42" s="163">
        <v>957939</v>
      </c>
      <c r="E42" s="231" t="s">
        <v>650</v>
      </c>
      <c r="F42" s="163">
        <v>0</v>
      </c>
      <c r="G42" s="163">
        <v>137.30500000000001</v>
      </c>
      <c r="H42" s="163">
        <f t="shared" si="1"/>
        <v>54.922000000000004</v>
      </c>
      <c r="I42" s="299">
        <v>0</v>
      </c>
      <c r="J42" s="299">
        <v>137.30500000000001</v>
      </c>
      <c r="K42" s="106">
        <f t="shared" ref="K42" si="25">F42-I42</f>
        <v>0</v>
      </c>
      <c r="L42" s="106">
        <f t="shared" ref="L42" si="26">G42-J42</f>
        <v>0</v>
      </c>
      <c r="M42" s="106">
        <f t="shared" ref="M42" si="27">K42+L42</f>
        <v>0</v>
      </c>
      <c r="N42" s="77">
        <f t="shared" ref="N42" si="28">(I42+J42)/(F42+G42)</f>
        <v>1</v>
      </c>
      <c r="O42" s="106"/>
    </row>
    <row r="43" spans="2:15">
      <c r="B43" s="589"/>
      <c r="C43" s="163" t="s">
        <v>385</v>
      </c>
      <c r="D43" s="163">
        <v>698133</v>
      </c>
      <c r="E43" s="231" t="s">
        <v>650</v>
      </c>
      <c r="F43" s="163">
        <v>100</v>
      </c>
      <c r="G43" s="163">
        <v>118.28400000000001</v>
      </c>
      <c r="H43" s="163">
        <f t="shared" si="1"/>
        <v>87.313600000000008</v>
      </c>
      <c r="I43" s="262">
        <v>73.233999999999995</v>
      </c>
      <c r="J43" s="262">
        <v>145.05000000000001</v>
      </c>
      <c r="K43" s="106">
        <f t="shared" si="0"/>
        <v>26.766000000000005</v>
      </c>
      <c r="L43" s="106">
        <f t="shared" si="2"/>
        <v>-26.766000000000005</v>
      </c>
      <c r="M43" s="106">
        <f t="shared" si="3"/>
        <v>0</v>
      </c>
      <c r="N43" s="77">
        <f t="shared" si="4"/>
        <v>1</v>
      </c>
      <c r="O43" s="106"/>
    </row>
    <row r="44" spans="2:15">
      <c r="B44" s="589"/>
      <c r="C44" s="163" t="s">
        <v>386</v>
      </c>
      <c r="D44" s="163">
        <v>955587</v>
      </c>
      <c r="E44" s="231" t="s">
        <v>650</v>
      </c>
      <c r="F44" s="163">
        <v>75</v>
      </c>
      <c r="G44" s="163">
        <v>75</v>
      </c>
      <c r="H44" s="163">
        <f t="shared" si="1"/>
        <v>60</v>
      </c>
      <c r="I44" s="299">
        <v>75</v>
      </c>
      <c r="J44" s="299">
        <v>75</v>
      </c>
      <c r="K44" s="106">
        <f t="shared" si="0"/>
        <v>0</v>
      </c>
      <c r="L44" s="106">
        <f t="shared" si="2"/>
        <v>0</v>
      </c>
      <c r="M44" s="106">
        <f t="shared" si="3"/>
        <v>0</v>
      </c>
      <c r="N44" s="77">
        <f t="shared" si="4"/>
        <v>1</v>
      </c>
      <c r="O44" s="106"/>
    </row>
    <row r="45" spans="2:15">
      <c r="B45" s="589"/>
      <c r="C45" s="163" t="s">
        <v>387</v>
      </c>
      <c r="D45" s="163">
        <v>11718</v>
      </c>
      <c r="E45" s="231" t="s">
        <v>650</v>
      </c>
      <c r="F45" s="163">
        <v>0</v>
      </c>
      <c r="G45" s="163">
        <v>300</v>
      </c>
      <c r="H45" s="163">
        <f t="shared" si="1"/>
        <v>120</v>
      </c>
      <c r="I45" s="299">
        <v>0</v>
      </c>
      <c r="J45" s="299">
        <v>0</v>
      </c>
      <c r="K45" s="106">
        <f t="shared" ref="K45" si="29">F45-I45</f>
        <v>0</v>
      </c>
      <c r="L45" s="106">
        <f t="shared" ref="L45" si="30">G45-J45</f>
        <v>300</v>
      </c>
      <c r="M45" s="106">
        <f t="shared" ref="M45" si="31">K45+L45</f>
        <v>300</v>
      </c>
      <c r="N45" s="77">
        <f t="shared" ref="N45" si="32">(I45+J45)/(F45+G45)</f>
        <v>0</v>
      </c>
      <c r="O45" s="106"/>
    </row>
    <row r="46" spans="2:15">
      <c r="B46" s="589"/>
      <c r="C46" s="163" t="s">
        <v>388</v>
      </c>
      <c r="D46" s="163">
        <v>969166</v>
      </c>
      <c r="E46" s="231" t="s">
        <v>650</v>
      </c>
      <c r="F46" s="163">
        <v>82.013999999999996</v>
      </c>
      <c r="G46" s="163">
        <v>129.96100000000001</v>
      </c>
      <c r="H46" s="163">
        <f t="shared" si="1"/>
        <v>84.79000000000002</v>
      </c>
      <c r="I46" s="299">
        <v>82.013999999999996</v>
      </c>
      <c r="J46" s="299">
        <v>129.96100000000001</v>
      </c>
      <c r="K46" s="106">
        <f t="shared" ref="K46:K150" si="33">F46-I46</f>
        <v>0</v>
      </c>
      <c r="L46" s="106">
        <f t="shared" si="2"/>
        <v>0</v>
      </c>
      <c r="M46" s="106">
        <f t="shared" si="3"/>
        <v>0</v>
      </c>
      <c r="N46" s="77">
        <f t="shared" si="4"/>
        <v>1</v>
      </c>
      <c r="O46" s="106"/>
    </row>
    <row r="47" spans="2:15">
      <c r="B47" s="589"/>
      <c r="C47" s="163" t="s">
        <v>389</v>
      </c>
      <c r="D47" s="163">
        <v>910367</v>
      </c>
      <c r="E47" s="231" t="s">
        <v>650</v>
      </c>
      <c r="F47" s="163">
        <v>39</v>
      </c>
      <c r="G47" s="163">
        <v>1.07</v>
      </c>
      <c r="H47" s="163">
        <f t="shared" si="1"/>
        <v>16.028000000000002</v>
      </c>
      <c r="I47" s="299">
        <v>39</v>
      </c>
      <c r="J47" s="299">
        <v>1.07</v>
      </c>
      <c r="K47" s="106">
        <f t="shared" si="33"/>
        <v>0</v>
      </c>
      <c r="L47" s="106">
        <f t="shared" si="2"/>
        <v>0</v>
      </c>
      <c r="M47" s="106">
        <f t="shared" si="3"/>
        <v>0</v>
      </c>
      <c r="N47" s="77">
        <f t="shared" si="4"/>
        <v>1</v>
      </c>
      <c r="O47" s="106"/>
    </row>
    <row r="48" spans="2:15">
      <c r="B48" s="589"/>
      <c r="C48" s="163" t="s">
        <v>390</v>
      </c>
      <c r="D48" s="163">
        <v>922515</v>
      </c>
      <c r="E48" s="231" t="s">
        <v>650</v>
      </c>
      <c r="F48" s="163">
        <v>10</v>
      </c>
      <c r="G48" s="163">
        <v>190</v>
      </c>
      <c r="H48" s="163">
        <f t="shared" si="1"/>
        <v>80</v>
      </c>
      <c r="I48" s="299">
        <v>10</v>
      </c>
      <c r="J48" s="299">
        <v>190</v>
      </c>
      <c r="K48" s="106">
        <f t="shared" si="33"/>
        <v>0</v>
      </c>
      <c r="L48" s="106">
        <f t="shared" si="2"/>
        <v>0</v>
      </c>
      <c r="M48" s="106">
        <f t="shared" si="3"/>
        <v>0</v>
      </c>
      <c r="N48" s="77">
        <f t="shared" si="4"/>
        <v>1</v>
      </c>
      <c r="O48" s="106"/>
    </row>
    <row r="49" spans="2:15">
      <c r="B49" s="589"/>
      <c r="C49" s="163" t="s">
        <v>391</v>
      </c>
      <c r="D49" s="163">
        <v>964249</v>
      </c>
      <c r="E49" s="231" t="s">
        <v>650</v>
      </c>
      <c r="F49" s="163">
        <v>0</v>
      </c>
      <c r="G49" s="163">
        <v>108.07</v>
      </c>
      <c r="H49" s="163">
        <f t="shared" si="1"/>
        <v>43.228000000000002</v>
      </c>
      <c r="I49" s="299">
        <v>0</v>
      </c>
      <c r="J49" s="299">
        <v>108.07</v>
      </c>
      <c r="K49" s="106">
        <f t="shared" si="33"/>
        <v>0</v>
      </c>
      <c r="L49" s="106">
        <f t="shared" si="2"/>
        <v>0</v>
      </c>
      <c r="M49" s="106">
        <f t="shared" si="3"/>
        <v>0</v>
      </c>
      <c r="N49" s="77">
        <f t="shared" si="4"/>
        <v>1</v>
      </c>
      <c r="O49" s="106"/>
    </row>
    <row r="50" spans="2:15">
      <c r="B50" s="589"/>
      <c r="C50" s="163" t="s">
        <v>280</v>
      </c>
      <c r="D50" s="163">
        <v>956044</v>
      </c>
      <c r="E50" s="231" t="s">
        <v>650</v>
      </c>
      <c r="F50" s="163">
        <v>1.0229999999999999</v>
      </c>
      <c r="G50" s="163">
        <v>115.687</v>
      </c>
      <c r="H50" s="163">
        <f t="shared" si="1"/>
        <v>46.683999999999997</v>
      </c>
      <c r="I50" s="299">
        <v>1.0229999999999999</v>
      </c>
      <c r="J50" s="299">
        <v>115.687</v>
      </c>
      <c r="K50" s="106">
        <f t="shared" ref="K50:K52" si="34">F50-I50</f>
        <v>0</v>
      </c>
      <c r="L50" s="106">
        <f t="shared" ref="L50:L52" si="35">G50-J50</f>
        <v>0</v>
      </c>
      <c r="M50" s="106">
        <f t="shared" ref="M50:M52" si="36">K50+L50</f>
        <v>0</v>
      </c>
      <c r="N50" s="77">
        <f t="shared" ref="N50:N52" si="37">(I50+J50)/(F50+G50)</f>
        <v>1</v>
      </c>
      <c r="O50" s="106"/>
    </row>
    <row r="51" spans="2:15">
      <c r="B51" s="589"/>
      <c r="C51" s="163" t="s">
        <v>392</v>
      </c>
      <c r="D51" s="163">
        <v>955517</v>
      </c>
      <c r="E51" s="231" t="s">
        <v>650</v>
      </c>
      <c r="F51" s="163">
        <v>3.6850000000000001</v>
      </c>
      <c r="G51" s="163">
        <v>0</v>
      </c>
      <c r="H51" s="163">
        <f t="shared" si="1"/>
        <v>1.4740000000000002</v>
      </c>
      <c r="I51" s="262">
        <v>3.6850000000000001</v>
      </c>
      <c r="J51" s="299">
        <v>0</v>
      </c>
      <c r="K51" s="123">
        <f t="shared" si="34"/>
        <v>0</v>
      </c>
      <c r="L51" s="106">
        <f t="shared" si="35"/>
        <v>0</v>
      </c>
      <c r="M51" s="123">
        <f t="shared" si="36"/>
        <v>0</v>
      </c>
      <c r="N51" s="77">
        <f t="shared" si="37"/>
        <v>1</v>
      </c>
      <c r="O51" s="106"/>
    </row>
    <row r="52" spans="2:15">
      <c r="B52" s="589"/>
      <c r="C52" s="163" t="s">
        <v>393</v>
      </c>
      <c r="D52" s="163">
        <v>962795</v>
      </c>
      <c r="E52" s="231" t="s">
        <v>650</v>
      </c>
      <c r="F52" s="163">
        <v>10</v>
      </c>
      <c r="G52" s="163">
        <v>449.80599999999998</v>
      </c>
      <c r="H52" s="163">
        <f t="shared" si="1"/>
        <v>183.92240000000001</v>
      </c>
      <c r="I52" s="299">
        <v>10</v>
      </c>
      <c r="J52" s="299">
        <v>449.80599999999998</v>
      </c>
      <c r="K52" s="106">
        <f t="shared" si="34"/>
        <v>0</v>
      </c>
      <c r="L52" s="106">
        <f t="shared" si="35"/>
        <v>0</v>
      </c>
      <c r="M52" s="106">
        <f t="shared" si="36"/>
        <v>0</v>
      </c>
      <c r="N52" s="77">
        <f t="shared" si="37"/>
        <v>1</v>
      </c>
      <c r="O52" s="106"/>
    </row>
    <row r="53" spans="2:15">
      <c r="B53" s="589"/>
      <c r="C53" s="163" t="s">
        <v>394</v>
      </c>
      <c r="D53" s="163">
        <v>958198</v>
      </c>
      <c r="E53" s="231" t="s">
        <v>650</v>
      </c>
      <c r="F53" s="163">
        <v>10</v>
      </c>
      <c r="G53" s="163">
        <v>190</v>
      </c>
      <c r="H53" s="163">
        <f t="shared" si="1"/>
        <v>80</v>
      </c>
      <c r="I53" s="299">
        <v>10</v>
      </c>
      <c r="J53" s="323">
        <v>178.61500000000001</v>
      </c>
      <c r="K53" s="106">
        <f t="shared" si="33"/>
        <v>0</v>
      </c>
      <c r="L53" s="106">
        <f t="shared" si="2"/>
        <v>11.384999999999991</v>
      </c>
      <c r="M53" s="106">
        <f t="shared" si="3"/>
        <v>11.384999999999991</v>
      </c>
      <c r="N53" s="77">
        <f t="shared" si="4"/>
        <v>0.943075</v>
      </c>
      <c r="O53" s="106"/>
    </row>
    <row r="54" spans="2:15">
      <c r="B54" s="589"/>
      <c r="C54" s="163" t="s">
        <v>395</v>
      </c>
      <c r="D54" s="163">
        <v>955486</v>
      </c>
      <c r="E54" s="231" t="s">
        <v>650</v>
      </c>
      <c r="F54" s="163">
        <v>5</v>
      </c>
      <c r="G54" s="163">
        <v>145</v>
      </c>
      <c r="H54" s="163">
        <f t="shared" si="1"/>
        <v>60</v>
      </c>
      <c r="I54" s="262">
        <v>5</v>
      </c>
      <c r="J54" s="262">
        <v>145</v>
      </c>
      <c r="K54" s="106">
        <f t="shared" ref="K54:K104" si="38">F54-I54</f>
        <v>0</v>
      </c>
      <c r="L54" s="106">
        <f t="shared" ref="L54:L104" si="39">G54-J54</f>
        <v>0</v>
      </c>
      <c r="M54" s="106">
        <f t="shared" ref="M54:M104" si="40">K54+L54</f>
        <v>0</v>
      </c>
      <c r="N54" s="77">
        <f t="shared" ref="N54:N104" si="41">(I54+J54)/(F54+G54)</f>
        <v>1</v>
      </c>
      <c r="O54" s="106"/>
    </row>
    <row r="55" spans="2:15">
      <c r="B55" s="589"/>
      <c r="C55" s="163" t="s">
        <v>396</v>
      </c>
      <c r="D55" s="163">
        <v>698168</v>
      </c>
      <c r="E55" s="231" t="s">
        <v>650</v>
      </c>
      <c r="F55" s="163">
        <v>0</v>
      </c>
      <c r="G55" s="163">
        <v>189</v>
      </c>
      <c r="H55" s="163">
        <f t="shared" si="1"/>
        <v>75.600000000000009</v>
      </c>
      <c r="I55" s="277">
        <v>0</v>
      </c>
      <c r="J55" s="323">
        <v>183.32</v>
      </c>
      <c r="K55" s="161">
        <f t="shared" si="38"/>
        <v>0</v>
      </c>
      <c r="L55" s="161">
        <f t="shared" si="39"/>
        <v>5.6800000000000068</v>
      </c>
      <c r="M55" s="161">
        <f t="shared" si="40"/>
        <v>5.6800000000000068</v>
      </c>
      <c r="N55" s="162">
        <f t="shared" si="41"/>
        <v>0.96994708994708989</v>
      </c>
      <c r="O55" s="161"/>
    </row>
    <row r="56" spans="2:15">
      <c r="B56" s="589"/>
      <c r="C56" s="163" t="s">
        <v>397</v>
      </c>
      <c r="D56" s="163">
        <v>698076</v>
      </c>
      <c r="E56" s="231" t="s">
        <v>650</v>
      </c>
      <c r="F56" s="163">
        <v>0</v>
      </c>
      <c r="G56" s="163">
        <v>61.529000000000003</v>
      </c>
      <c r="H56" s="163">
        <f t="shared" si="1"/>
        <v>24.611600000000003</v>
      </c>
      <c r="I56" s="299">
        <v>0</v>
      </c>
      <c r="J56" s="299">
        <v>0</v>
      </c>
      <c r="K56" s="161">
        <f t="shared" si="38"/>
        <v>0</v>
      </c>
      <c r="L56" s="161">
        <f t="shared" si="39"/>
        <v>61.529000000000003</v>
      </c>
      <c r="M56" s="161">
        <f t="shared" si="40"/>
        <v>61.529000000000003</v>
      </c>
      <c r="N56" s="162">
        <f t="shared" si="41"/>
        <v>0</v>
      </c>
      <c r="O56" s="161"/>
    </row>
    <row r="57" spans="2:15">
      <c r="B57" s="589"/>
      <c r="C57" s="163" t="s">
        <v>398</v>
      </c>
      <c r="D57" s="163">
        <v>958069</v>
      </c>
      <c r="E57" s="231" t="s">
        <v>650</v>
      </c>
      <c r="F57" s="163">
        <v>3</v>
      </c>
      <c r="G57" s="163">
        <v>0</v>
      </c>
      <c r="H57" s="163">
        <f t="shared" si="1"/>
        <v>1.2000000000000002</v>
      </c>
      <c r="I57" s="262">
        <v>3</v>
      </c>
      <c r="J57" s="299">
        <v>0</v>
      </c>
      <c r="K57" s="161">
        <f t="shared" si="38"/>
        <v>0</v>
      </c>
      <c r="L57" s="161">
        <f t="shared" si="39"/>
        <v>0</v>
      </c>
      <c r="M57" s="161">
        <f t="shared" si="40"/>
        <v>0</v>
      </c>
      <c r="N57" s="162">
        <f t="shared" si="41"/>
        <v>1</v>
      </c>
      <c r="O57" s="161"/>
    </row>
    <row r="58" spans="2:15">
      <c r="B58" s="589"/>
      <c r="C58" s="163" t="s">
        <v>399</v>
      </c>
      <c r="D58" s="163">
        <v>965019</v>
      </c>
      <c r="E58" s="231" t="s">
        <v>650</v>
      </c>
      <c r="F58" s="163">
        <v>6.0000000000000001E-3</v>
      </c>
      <c r="G58" s="163">
        <v>0</v>
      </c>
      <c r="H58" s="163">
        <f t="shared" si="1"/>
        <v>2.4000000000000002E-3</v>
      </c>
      <c r="I58" s="262">
        <v>6.0000000000000001E-3</v>
      </c>
      <c r="J58" s="299">
        <v>0</v>
      </c>
      <c r="K58" s="123">
        <f t="shared" si="38"/>
        <v>0</v>
      </c>
      <c r="L58" s="161">
        <f t="shared" si="39"/>
        <v>0</v>
      </c>
      <c r="M58" s="123">
        <f t="shared" si="40"/>
        <v>0</v>
      </c>
      <c r="N58" s="162">
        <f t="shared" si="41"/>
        <v>1</v>
      </c>
      <c r="O58" s="161"/>
    </row>
    <row r="59" spans="2:15">
      <c r="B59" s="589"/>
      <c r="C59" s="163" t="s">
        <v>400</v>
      </c>
      <c r="D59" s="163">
        <v>968938</v>
      </c>
      <c r="E59" s="231" t="s">
        <v>650</v>
      </c>
      <c r="F59" s="163">
        <v>2.0369999999999999</v>
      </c>
      <c r="G59" s="163">
        <v>56.311</v>
      </c>
      <c r="H59" s="163">
        <f t="shared" si="1"/>
        <v>23.339200000000002</v>
      </c>
      <c r="I59" s="299">
        <v>2.0369999999999999</v>
      </c>
      <c r="J59" s="299">
        <v>56.311</v>
      </c>
      <c r="K59" s="161">
        <f t="shared" si="38"/>
        <v>0</v>
      </c>
      <c r="L59" s="161">
        <f t="shared" si="39"/>
        <v>0</v>
      </c>
      <c r="M59" s="161">
        <f t="shared" si="40"/>
        <v>0</v>
      </c>
      <c r="N59" s="162">
        <f t="shared" si="41"/>
        <v>1</v>
      </c>
      <c r="O59" s="161"/>
    </row>
    <row r="60" spans="2:15">
      <c r="B60" s="589"/>
      <c r="C60" s="163" t="s">
        <v>401</v>
      </c>
      <c r="D60" s="163">
        <v>969290</v>
      </c>
      <c r="E60" s="231" t="s">
        <v>650</v>
      </c>
      <c r="F60" s="163">
        <v>1.2150000000000001</v>
      </c>
      <c r="G60" s="163">
        <v>0</v>
      </c>
      <c r="H60" s="163">
        <f t="shared" si="1"/>
        <v>0.48600000000000004</v>
      </c>
      <c r="I60" s="299">
        <v>1.2150000000000001</v>
      </c>
      <c r="J60" s="299">
        <v>0</v>
      </c>
      <c r="K60" s="123">
        <f t="shared" si="38"/>
        <v>0</v>
      </c>
      <c r="L60" s="161">
        <f t="shared" si="39"/>
        <v>0</v>
      </c>
      <c r="M60" s="161">
        <f t="shared" si="40"/>
        <v>0</v>
      </c>
      <c r="N60" s="162">
        <f t="shared" si="41"/>
        <v>1</v>
      </c>
      <c r="O60" s="161"/>
    </row>
    <row r="61" spans="2:15">
      <c r="B61" s="589"/>
      <c r="C61" s="163" t="s">
        <v>402</v>
      </c>
      <c r="D61" s="163">
        <v>951916</v>
      </c>
      <c r="E61" s="231" t="s">
        <v>650</v>
      </c>
      <c r="F61" s="163">
        <v>0</v>
      </c>
      <c r="G61" s="163">
        <v>84.944999999999993</v>
      </c>
      <c r="H61" s="163">
        <f t="shared" si="1"/>
        <v>33.978000000000002</v>
      </c>
      <c r="I61" s="342">
        <v>34.610999999999997</v>
      </c>
      <c r="J61" s="342">
        <v>1.583</v>
      </c>
      <c r="K61" s="161">
        <f t="shared" si="38"/>
        <v>-34.610999999999997</v>
      </c>
      <c r="L61" s="161">
        <f t="shared" si="39"/>
        <v>83.361999999999995</v>
      </c>
      <c r="M61" s="161">
        <f t="shared" si="40"/>
        <v>48.750999999999998</v>
      </c>
      <c r="N61" s="162">
        <f t="shared" si="41"/>
        <v>0.42608746836188122</v>
      </c>
      <c r="O61" s="161"/>
    </row>
    <row r="62" spans="2:15">
      <c r="B62" s="589"/>
      <c r="C62" s="163" t="s">
        <v>403</v>
      </c>
      <c r="D62" s="163">
        <v>953964</v>
      </c>
      <c r="E62" s="231" t="s">
        <v>650</v>
      </c>
      <c r="F62" s="163">
        <v>43.976999999999997</v>
      </c>
      <c r="G62" s="163">
        <v>3.0859999999999999</v>
      </c>
      <c r="H62" s="163">
        <f t="shared" si="1"/>
        <v>18.825199999999999</v>
      </c>
      <c r="I62" s="262">
        <v>43.976999999999997</v>
      </c>
      <c r="J62" s="262">
        <v>3.0859999999999999</v>
      </c>
      <c r="K62" s="123">
        <f t="shared" si="38"/>
        <v>0</v>
      </c>
      <c r="L62" s="123">
        <f t="shared" si="39"/>
        <v>0</v>
      </c>
      <c r="M62" s="123">
        <f t="shared" si="40"/>
        <v>0</v>
      </c>
      <c r="N62" s="162">
        <f t="shared" si="41"/>
        <v>1</v>
      </c>
      <c r="O62" s="161"/>
    </row>
    <row r="63" spans="2:15">
      <c r="B63" s="589"/>
      <c r="C63" s="163" t="s">
        <v>404</v>
      </c>
      <c r="D63" s="163">
        <v>967906</v>
      </c>
      <c r="E63" s="231" t="s">
        <v>650</v>
      </c>
      <c r="F63" s="163">
        <v>0</v>
      </c>
      <c r="G63" s="163">
        <v>0.57099999999999995</v>
      </c>
      <c r="H63" s="163">
        <f t="shared" si="1"/>
        <v>0.22839999999999999</v>
      </c>
      <c r="I63" s="299">
        <v>0</v>
      </c>
      <c r="J63" s="262">
        <v>0.57099999999999995</v>
      </c>
      <c r="K63" s="161">
        <f t="shared" si="38"/>
        <v>0</v>
      </c>
      <c r="L63" s="123">
        <f t="shared" si="39"/>
        <v>0</v>
      </c>
      <c r="M63" s="123">
        <f t="shared" si="40"/>
        <v>0</v>
      </c>
      <c r="N63" s="162">
        <f t="shared" si="41"/>
        <v>1</v>
      </c>
      <c r="O63" s="161"/>
    </row>
    <row r="64" spans="2:15">
      <c r="B64" s="589"/>
      <c r="C64" s="163" t="s">
        <v>405</v>
      </c>
      <c r="D64" s="163">
        <v>959954</v>
      </c>
      <c r="E64" s="231" t="s">
        <v>650</v>
      </c>
      <c r="F64" s="163">
        <v>31</v>
      </c>
      <c r="G64" s="163">
        <v>200.542</v>
      </c>
      <c r="H64" s="163">
        <f t="shared" si="1"/>
        <v>92.616800000000012</v>
      </c>
      <c r="I64" s="299">
        <v>31</v>
      </c>
      <c r="J64" s="299">
        <v>200.542</v>
      </c>
      <c r="K64" s="161">
        <f t="shared" si="38"/>
        <v>0</v>
      </c>
      <c r="L64" s="161">
        <f t="shared" si="39"/>
        <v>0</v>
      </c>
      <c r="M64" s="161">
        <f t="shared" si="40"/>
        <v>0</v>
      </c>
      <c r="N64" s="162">
        <f t="shared" si="41"/>
        <v>1</v>
      </c>
      <c r="O64" s="161"/>
    </row>
    <row r="65" spans="2:15">
      <c r="B65" s="589"/>
      <c r="C65" s="163" t="s">
        <v>406</v>
      </c>
      <c r="D65" s="163">
        <v>924718</v>
      </c>
      <c r="E65" s="231" t="s">
        <v>650</v>
      </c>
      <c r="F65" s="163">
        <v>0</v>
      </c>
      <c r="G65" s="163">
        <v>211.76</v>
      </c>
      <c r="H65" s="163">
        <f t="shared" si="1"/>
        <v>84.704000000000008</v>
      </c>
      <c r="I65" s="299">
        <v>0</v>
      </c>
      <c r="J65" s="299">
        <v>211.76</v>
      </c>
      <c r="K65" s="161">
        <f t="shared" si="38"/>
        <v>0</v>
      </c>
      <c r="L65" s="161">
        <f t="shared" si="39"/>
        <v>0</v>
      </c>
      <c r="M65" s="161">
        <f t="shared" si="40"/>
        <v>0</v>
      </c>
      <c r="N65" s="162">
        <f t="shared" si="41"/>
        <v>1</v>
      </c>
      <c r="O65" s="161"/>
    </row>
    <row r="66" spans="2:15">
      <c r="B66" s="589"/>
      <c r="C66" s="163" t="s">
        <v>407</v>
      </c>
      <c r="D66" s="163">
        <v>967469</v>
      </c>
      <c r="E66" s="231" t="s">
        <v>650</v>
      </c>
      <c r="F66" s="163">
        <v>0</v>
      </c>
      <c r="G66" s="163">
        <v>189.83099999999999</v>
      </c>
      <c r="H66" s="163">
        <f t="shared" si="1"/>
        <v>75.932400000000001</v>
      </c>
      <c r="I66" s="299">
        <v>0</v>
      </c>
      <c r="J66" s="299">
        <v>189.83099999999999</v>
      </c>
      <c r="K66" s="161">
        <f t="shared" si="38"/>
        <v>0</v>
      </c>
      <c r="L66" s="161">
        <f t="shared" si="39"/>
        <v>0</v>
      </c>
      <c r="M66" s="161">
        <f t="shared" si="40"/>
        <v>0</v>
      </c>
      <c r="N66" s="162">
        <f t="shared" si="41"/>
        <v>1</v>
      </c>
      <c r="O66" s="161"/>
    </row>
    <row r="67" spans="2:15">
      <c r="B67" s="589"/>
      <c r="C67" s="163" t="s">
        <v>408</v>
      </c>
      <c r="D67" s="163">
        <v>965002</v>
      </c>
      <c r="E67" s="231" t="s">
        <v>650</v>
      </c>
      <c r="F67" s="163">
        <v>0</v>
      </c>
      <c r="G67" s="163">
        <v>31.125</v>
      </c>
      <c r="H67" s="163">
        <f t="shared" ref="H67:H130" si="42">((F67+G67)*0.4)</f>
        <v>12.450000000000001</v>
      </c>
      <c r="I67" s="299">
        <v>0</v>
      </c>
      <c r="J67" s="299">
        <v>31.125</v>
      </c>
      <c r="K67" s="161">
        <f t="shared" si="38"/>
        <v>0</v>
      </c>
      <c r="L67" s="161">
        <f t="shared" si="39"/>
        <v>0</v>
      </c>
      <c r="M67" s="161">
        <f t="shared" si="40"/>
        <v>0</v>
      </c>
      <c r="N67" s="162">
        <f t="shared" si="41"/>
        <v>1</v>
      </c>
      <c r="O67" s="161"/>
    </row>
    <row r="68" spans="2:15">
      <c r="B68" s="589"/>
      <c r="C68" s="163" t="s">
        <v>409</v>
      </c>
      <c r="D68" s="163">
        <v>964409</v>
      </c>
      <c r="E68" s="231" t="s">
        <v>650</v>
      </c>
      <c r="F68" s="163">
        <v>6.3550000000000004</v>
      </c>
      <c r="G68" s="163">
        <v>39.996000000000002</v>
      </c>
      <c r="H68" s="163">
        <f t="shared" si="42"/>
        <v>18.540400000000002</v>
      </c>
      <c r="I68" s="299">
        <v>6.3550000000000004</v>
      </c>
      <c r="J68" s="299">
        <v>39.996000000000002</v>
      </c>
      <c r="K68" s="161">
        <f t="shared" si="38"/>
        <v>0</v>
      </c>
      <c r="L68" s="161">
        <f t="shared" si="39"/>
        <v>0</v>
      </c>
      <c r="M68" s="161">
        <f t="shared" si="40"/>
        <v>0</v>
      </c>
      <c r="N68" s="162">
        <f t="shared" si="41"/>
        <v>1</v>
      </c>
      <c r="O68" s="161"/>
    </row>
    <row r="69" spans="2:15">
      <c r="B69" s="589"/>
      <c r="C69" s="163" t="s">
        <v>348</v>
      </c>
      <c r="D69" s="163">
        <v>952004</v>
      </c>
      <c r="E69" s="231" t="s">
        <v>650</v>
      </c>
      <c r="F69" s="163">
        <v>20</v>
      </c>
      <c r="G69" s="163">
        <v>60</v>
      </c>
      <c r="H69" s="163">
        <f t="shared" si="42"/>
        <v>32</v>
      </c>
      <c r="I69" s="299">
        <v>20</v>
      </c>
      <c r="J69" s="299">
        <v>60</v>
      </c>
      <c r="K69" s="161">
        <f t="shared" si="38"/>
        <v>0</v>
      </c>
      <c r="L69" s="161">
        <f t="shared" si="39"/>
        <v>0</v>
      </c>
      <c r="M69" s="161">
        <f t="shared" si="40"/>
        <v>0</v>
      </c>
      <c r="N69" s="162">
        <f t="shared" si="41"/>
        <v>1</v>
      </c>
      <c r="O69" s="161"/>
    </row>
    <row r="70" spans="2:15">
      <c r="B70" s="589"/>
      <c r="C70" s="163" t="s">
        <v>410</v>
      </c>
      <c r="D70" s="163">
        <v>31292</v>
      </c>
      <c r="E70" s="231" t="s">
        <v>650</v>
      </c>
      <c r="F70" s="163">
        <v>0</v>
      </c>
      <c r="G70" s="163">
        <v>50</v>
      </c>
      <c r="H70" s="163">
        <f t="shared" si="42"/>
        <v>20</v>
      </c>
      <c r="I70" s="299">
        <v>0</v>
      </c>
      <c r="J70" s="299">
        <v>50</v>
      </c>
      <c r="K70" s="161">
        <f t="shared" si="38"/>
        <v>0</v>
      </c>
      <c r="L70" s="161">
        <f t="shared" si="39"/>
        <v>0</v>
      </c>
      <c r="M70" s="161">
        <f t="shared" si="40"/>
        <v>0</v>
      </c>
      <c r="N70" s="162">
        <f t="shared" si="41"/>
        <v>1</v>
      </c>
      <c r="O70" s="161"/>
    </row>
    <row r="71" spans="2:15">
      <c r="B71" s="589"/>
      <c r="C71" s="163" t="s">
        <v>411</v>
      </c>
      <c r="D71" s="163">
        <v>697538</v>
      </c>
      <c r="E71" s="231" t="s">
        <v>650</v>
      </c>
      <c r="F71" s="163">
        <v>0</v>
      </c>
      <c r="G71" s="163">
        <v>80</v>
      </c>
      <c r="H71" s="163">
        <f t="shared" si="42"/>
        <v>32</v>
      </c>
      <c r="I71" s="299">
        <v>0</v>
      </c>
      <c r="J71" s="299">
        <v>80</v>
      </c>
      <c r="K71" s="161">
        <f t="shared" si="38"/>
        <v>0</v>
      </c>
      <c r="L71" s="161">
        <f t="shared" si="39"/>
        <v>0</v>
      </c>
      <c r="M71" s="161">
        <f t="shared" si="40"/>
        <v>0</v>
      </c>
      <c r="N71" s="162">
        <f t="shared" si="41"/>
        <v>1</v>
      </c>
      <c r="O71" s="161"/>
    </row>
    <row r="72" spans="2:15">
      <c r="B72" s="589"/>
      <c r="C72" s="163" t="s">
        <v>412</v>
      </c>
      <c r="D72" s="163">
        <v>968726</v>
      </c>
      <c r="E72" s="231" t="s">
        <v>650</v>
      </c>
      <c r="F72" s="163">
        <v>3.8370000000000002</v>
      </c>
      <c r="G72" s="163">
        <v>71.492999999999995</v>
      </c>
      <c r="H72" s="163">
        <f t="shared" si="42"/>
        <v>30.132000000000001</v>
      </c>
      <c r="I72" s="262">
        <v>3.8370000000000002</v>
      </c>
      <c r="J72" s="262">
        <v>71.492999999999995</v>
      </c>
      <c r="K72" s="123">
        <f t="shared" si="38"/>
        <v>0</v>
      </c>
      <c r="L72" s="123">
        <f t="shared" si="39"/>
        <v>0</v>
      </c>
      <c r="M72" s="123">
        <f t="shared" si="40"/>
        <v>0</v>
      </c>
      <c r="N72" s="162">
        <f t="shared" si="41"/>
        <v>1</v>
      </c>
      <c r="O72" s="161"/>
    </row>
    <row r="73" spans="2:15">
      <c r="B73" s="589"/>
      <c r="C73" s="163" t="s">
        <v>413</v>
      </c>
      <c r="D73" s="163">
        <v>698454</v>
      </c>
      <c r="E73" s="231" t="s">
        <v>650</v>
      </c>
      <c r="F73" s="163">
        <v>0</v>
      </c>
      <c r="G73" s="163">
        <v>50</v>
      </c>
      <c r="H73" s="163">
        <f t="shared" si="42"/>
        <v>20</v>
      </c>
      <c r="I73" s="299">
        <v>0</v>
      </c>
      <c r="J73" s="262">
        <v>38.451000000000001</v>
      </c>
      <c r="K73" s="161">
        <f t="shared" si="38"/>
        <v>0</v>
      </c>
      <c r="L73" s="161">
        <f t="shared" si="39"/>
        <v>11.548999999999999</v>
      </c>
      <c r="M73" s="161">
        <f t="shared" si="40"/>
        <v>11.548999999999999</v>
      </c>
      <c r="N73" s="162">
        <f t="shared" si="41"/>
        <v>0.76902000000000004</v>
      </c>
      <c r="O73" s="161"/>
    </row>
    <row r="74" spans="2:15">
      <c r="B74" s="589"/>
      <c r="C74" s="163" t="s">
        <v>414</v>
      </c>
      <c r="D74" s="163">
        <v>963843</v>
      </c>
      <c r="E74" s="231" t="s">
        <v>650</v>
      </c>
      <c r="F74" s="163">
        <v>0</v>
      </c>
      <c r="G74" s="163">
        <v>76.966999999999999</v>
      </c>
      <c r="H74" s="163">
        <f t="shared" si="42"/>
        <v>30.786799999999999</v>
      </c>
      <c r="I74" s="299">
        <v>0</v>
      </c>
      <c r="J74" s="299">
        <v>76.966999999999999</v>
      </c>
      <c r="K74" s="161">
        <f t="shared" si="38"/>
        <v>0</v>
      </c>
      <c r="L74" s="161">
        <f t="shared" si="39"/>
        <v>0</v>
      </c>
      <c r="M74" s="161">
        <f t="shared" si="40"/>
        <v>0</v>
      </c>
      <c r="N74" s="162">
        <f t="shared" si="41"/>
        <v>1</v>
      </c>
      <c r="O74" s="161"/>
    </row>
    <row r="75" spans="2:15">
      <c r="B75" s="589"/>
      <c r="C75" s="163" t="s">
        <v>415</v>
      </c>
      <c r="D75" s="163">
        <v>958085</v>
      </c>
      <c r="E75" s="231" t="s">
        <v>650</v>
      </c>
      <c r="F75" s="163">
        <v>0</v>
      </c>
      <c r="G75" s="163">
        <v>4.2699999999999996</v>
      </c>
      <c r="H75" s="163">
        <f t="shared" si="42"/>
        <v>1.708</v>
      </c>
      <c r="I75" s="299">
        <v>0</v>
      </c>
      <c r="J75" s="299">
        <v>4.2699999999999996</v>
      </c>
      <c r="K75" s="161">
        <f t="shared" si="38"/>
        <v>0</v>
      </c>
      <c r="L75" s="161">
        <f t="shared" si="39"/>
        <v>0</v>
      </c>
      <c r="M75" s="161">
        <f t="shared" si="40"/>
        <v>0</v>
      </c>
      <c r="N75" s="162">
        <f t="shared" si="41"/>
        <v>1</v>
      </c>
      <c r="O75" s="161"/>
    </row>
    <row r="76" spans="2:15">
      <c r="B76" s="589"/>
      <c r="C76" s="163" t="s">
        <v>416</v>
      </c>
      <c r="D76" s="163">
        <v>950995</v>
      </c>
      <c r="E76" s="231" t="s">
        <v>650</v>
      </c>
      <c r="F76" s="163">
        <v>15.102</v>
      </c>
      <c r="G76" s="163">
        <v>0</v>
      </c>
      <c r="H76" s="163">
        <f t="shared" si="42"/>
        <v>6.0408000000000008</v>
      </c>
      <c r="I76" s="299">
        <v>15.102</v>
      </c>
      <c r="J76" s="299">
        <v>0</v>
      </c>
      <c r="K76" s="161">
        <f t="shared" si="38"/>
        <v>0</v>
      </c>
      <c r="L76" s="161">
        <f t="shared" si="39"/>
        <v>0</v>
      </c>
      <c r="M76" s="161">
        <f t="shared" si="40"/>
        <v>0</v>
      </c>
      <c r="N76" s="162">
        <f t="shared" si="41"/>
        <v>1</v>
      </c>
      <c r="O76" s="161"/>
    </row>
    <row r="77" spans="2:15">
      <c r="B77" s="589"/>
      <c r="C77" s="163" t="s">
        <v>417</v>
      </c>
      <c r="D77" s="163">
        <v>954972</v>
      </c>
      <c r="E77" s="231" t="s">
        <v>650</v>
      </c>
      <c r="F77" s="163">
        <v>12.515000000000001</v>
      </c>
      <c r="G77" s="163">
        <v>0</v>
      </c>
      <c r="H77" s="163">
        <f t="shared" si="42"/>
        <v>5.0060000000000002</v>
      </c>
      <c r="I77" s="262">
        <v>7.0179999999999998</v>
      </c>
      <c r="J77" s="299">
        <v>0</v>
      </c>
      <c r="K77" s="161">
        <f t="shared" si="38"/>
        <v>5.4970000000000008</v>
      </c>
      <c r="L77" s="161">
        <f t="shared" si="39"/>
        <v>0</v>
      </c>
      <c r="M77" s="161">
        <f t="shared" si="40"/>
        <v>5.4970000000000008</v>
      </c>
      <c r="N77" s="162">
        <f t="shared" si="41"/>
        <v>0.56076707950459448</v>
      </c>
      <c r="O77" s="161"/>
    </row>
    <row r="78" spans="2:15">
      <c r="B78" s="589"/>
      <c r="C78" s="163" t="s">
        <v>418</v>
      </c>
      <c r="D78" s="163">
        <v>965073</v>
      </c>
      <c r="E78" s="231" t="s">
        <v>650</v>
      </c>
      <c r="F78" s="163">
        <v>0</v>
      </c>
      <c r="G78" s="163">
        <v>276.8</v>
      </c>
      <c r="H78" s="163">
        <f t="shared" si="42"/>
        <v>110.72000000000001</v>
      </c>
      <c r="I78" s="299">
        <v>0</v>
      </c>
      <c r="J78" s="299">
        <v>276.8</v>
      </c>
      <c r="K78" s="161">
        <f t="shared" si="38"/>
        <v>0</v>
      </c>
      <c r="L78" s="161">
        <f t="shared" si="39"/>
        <v>0</v>
      </c>
      <c r="M78" s="161">
        <f t="shared" si="40"/>
        <v>0</v>
      </c>
      <c r="N78" s="162">
        <f t="shared" si="41"/>
        <v>1</v>
      </c>
      <c r="O78" s="161"/>
    </row>
    <row r="79" spans="2:15">
      <c r="B79" s="589"/>
      <c r="C79" s="163" t="s">
        <v>419</v>
      </c>
      <c r="D79" s="163">
        <v>950991</v>
      </c>
      <c r="E79" s="231" t="s">
        <v>650</v>
      </c>
      <c r="F79" s="163">
        <v>72.269000000000005</v>
      </c>
      <c r="G79" s="163">
        <v>105.58</v>
      </c>
      <c r="H79" s="163">
        <f t="shared" si="42"/>
        <v>71.139600000000002</v>
      </c>
      <c r="I79" s="262">
        <v>72.269000000000005</v>
      </c>
      <c r="J79" s="262">
        <v>105.58</v>
      </c>
      <c r="K79" s="161">
        <f t="shared" si="38"/>
        <v>0</v>
      </c>
      <c r="L79" s="123">
        <f t="shared" si="39"/>
        <v>0</v>
      </c>
      <c r="M79" s="123">
        <f t="shared" si="40"/>
        <v>0</v>
      </c>
      <c r="N79" s="162">
        <f t="shared" si="41"/>
        <v>1</v>
      </c>
      <c r="O79" s="161"/>
    </row>
    <row r="80" spans="2:15">
      <c r="B80" s="589"/>
      <c r="C80" s="163" t="s">
        <v>420</v>
      </c>
      <c r="D80" s="163">
        <v>958573</v>
      </c>
      <c r="E80" s="231" t="s">
        <v>650</v>
      </c>
      <c r="F80" s="163">
        <v>0</v>
      </c>
      <c r="G80" s="163">
        <v>155.22999999999999</v>
      </c>
      <c r="H80" s="163">
        <f t="shared" si="42"/>
        <v>62.091999999999999</v>
      </c>
      <c r="I80" s="299">
        <v>0</v>
      </c>
      <c r="J80" s="299">
        <v>148.20400000000001</v>
      </c>
      <c r="K80" s="161">
        <f t="shared" si="38"/>
        <v>0</v>
      </c>
      <c r="L80" s="161">
        <f t="shared" si="39"/>
        <v>7.025999999999982</v>
      </c>
      <c r="M80" s="161">
        <f t="shared" si="40"/>
        <v>7.025999999999982</v>
      </c>
      <c r="N80" s="162">
        <f t="shared" si="41"/>
        <v>0.95473813051600864</v>
      </c>
      <c r="O80" s="161"/>
    </row>
    <row r="81" spans="2:15">
      <c r="B81" s="589"/>
      <c r="C81" s="163" t="s">
        <v>421</v>
      </c>
      <c r="D81" s="163">
        <v>952296</v>
      </c>
      <c r="E81" s="231" t="s">
        <v>650</v>
      </c>
      <c r="F81" s="163">
        <v>0</v>
      </c>
      <c r="G81" s="163">
        <v>200</v>
      </c>
      <c r="H81" s="163">
        <f t="shared" si="42"/>
        <v>80</v>
      </c>
      <c r="I81" s="299">
        <v>0</v>
      </c>
      <c r="J81" s="299">
        <v>200</v>
      </c>
      <c r="K81" s="161">
        <f t="shared" si="38"/>
        <v>0</v>
      </c>
      <c r="L81" s="161">
        <f t="shared" si="39"/>
        <v>0</v>
      </c>
      <c r="M81" s="161">
        <f t="shared" si="40"/>
        <v>0</v>
      </c>
      <c r="N81" s="162">
        <f t="shared" si="41"/>
        <v>1</v>
      </c>
      <c r="O81" s="161"/>
    </row>
    <row r="82" spans="2:15">
      <c r="B82" s="589"/>
      <c r="C82" s="163" t="s">
        <v>343</v>
      </c>
      <c r="D82" s="163">
        <v>968532</v>
      </c>
      <c r="E82" s="231" t="s">
        <v>650</v>
      </c>
      <c r="F82" s="163">
        <v>0</v>
      </c>
      <c r="G82" s="163">
        <v>66.167000000000002</v>
      </c>
      <c r="H82" s="163">
        <f t="shared" si="42"/>
        <v>26.466800000000003</v>
      </c>
      <c r="I82" s="299">
        <v>0</v>
      </c>
      <c r="J82" s="299">
        <v>66.167000000000002</v>
      </c>
      <c r="K82" s="161">
        <f t="shared" si="38"/>
        <v>0</v>
      </c>
      <c r="L82" s="161">
        <f t="shared" si="39"/>
        <v>0</v>
      </c>
      <c r="M82" s="161">
        <f t="shared" si="40"/>
        <v>0</v>
      </c>
      <c r="N82" s="162">
        <f t="shared" si="41"/>
        <v>1</v>
      </c>
      <c r="O82" s="161"/>
    </row>
    <row r="83" spans="2:15">
      <c r="B83" s="589"/>
      <c r="C83" s="163" t="s">
        <v>422</v>
      </c>
      <c r="D83" s="163">
        <v>963197</v>
      </c>
      <c r="E83" s="231" t="s">
        <v>650</v>
      </c>
      <c r="F83" s="163">
        <v>0</v>
      </c>
      <c r="G83" s="163">
        <v>85.447000000000003</v>
      </c>
      <c r="H83" s="163">
        <f t="shared" si="42"/>
        <v>34.178800000000003</v>
      </c>
      <c r="I83" s="299">
        <v>0</v>
      </c>
      <c r="J83" s="299">
        <v>85.447000000000003</v>
      </c>
      <c r="K83" s="161">
        <f t="shared" si="38"/>
        <v>0</v>
      </c>
      <c r="L83" s="161">
        <f t="shared" si="39"/>
        <v>0</v>
      </c>
      <c r="M83" s="161">
        <f t="shared" si="40"/>
        <v>0</v>
      </c>
      <c r="N83" s="162">
        <f t="shared" si="41"/>
        <v>1</v>
      </c>
      <c r="O83" s="161"/>
    </row>
    <row r="84" spans="2:15">
      <c r="B84" s="589"/>
      <c r="C84" s="163" t="s">
        <v>423</v>
      </c>
      <c r="D84" s="163">
        <v>964261</v>
      </c>
      <c r="E84" s="231" t="s">
        <v>650</v>
      </c>
      <c r="F84" s="163">
        <v>1</v>
      </c>
      <c r="G84" s="163">
        <v>99</v>
      </c>
      <c r="H84" s="163">
        <f t="shared" si="42"/>
        <v>40</v>
      </c>
      <c r="I84" s="299">
        <v>1</v>
      </c>
      <c r="J84" s="299">
        <v>99</v>
      </c>
      <c r="K84" s="161">
        <f t="shared" si="38"/>
        <v>0</v>
      </c>
      <c r="L84" s="161">
        <f t="shared" si="39"/>
        <v>0</v>
      </c>
      <c r="M84" s="161">
        <f t="shared" si="40"/>
        <v>0</v>
      </c>
      <c r="N84" s="162">
        <f t="shared" si="41"/>
        <v>1</v>
      </c>
      <c r="O84" s="161"/>
    </row>
    <row r="85" spans="2:15" s="11" customFormat="1">
      <c r="B85" s="589"/>
      <c r="C85" s="163" t="s">
        <v>424</v>
      </c>
      <c r="D85" s="163">
        <v>955448</v>
      </c>
      <c r="E85" s="231" t="s">
        <v>650</v>
      </c>
      <c r="F85" s="163">
        <v>0</v>
      </c>
      <c r="G85" s="163">
        <v>128.68299999999999</v>
      </c>
      <c r="H85" s="163">
        <f t="shared" si="42"/>
        <v>51.473199999999999</v>
      </c>
      <c r="I85" s="39">
        <v>0</v>
      </c>
      <c r="J85" s="39">
        <v>0</v>
      </c>
      <c r="K85" s="161">
        <f t="shared" si="38"/>
        <v>0</v>
      </c>
      <c r="L85" s="161">
        <f t="shared" si="39"/>
        <v>128.68299999999999</v>
      </c>
      <c r="M85" s="161">
        <f t="shared" si="40"/>
        <v>128.68299999999999</v>
      </c>
      <c r="N85" s="162">
        <f t="shared" si="41"/>
        <v>0</v>
      </c>
      <c r="O85" s="1"/>
    </row>
    <row r="86" spans="2:15">
      <c r="B86" s="589"/>
      <c r="C86" s="163" t="s">
        <v>425</v>
      </c>
      <c r="D86" s="163">
        <v>951038</v>
      </c>
      <c r="E86" s="231" t="s">
        <v>650</v>
      </c>
      <c r="F86" s="163">
        <v>7.5449999999999999</v>
      </c>
      <c r="G86" s="163">
        <v>45.075000000000003</v>
      </c>
      <c r="H86" s="163">
        <f t="shared" si="42"/>
        <v>21.048000000000002</v>
      </c>
      <c r="I86" s="262">
        <v>7.5449999999999999</v>
      </c>
      <c r="J86" s="262">
        <v>45.075000000000003</v>
      </c>
      <c r="K86" s="123">
        <f t="shared" si="38"/>
        <v>0</v>
      </c>
      <c r="L86" s="123">
        <f t="shared" si="39"/>
        <v>0</v>
      </c>
      <c r="M86" s="123">
        <f t="shared" si="40"/>
        <v>0</v>
      </c>
      <c r="N86" s="162">
        <f t="shared" si="41"/>
        <v>1</v>
      </c>
      <c r="O86" s="161"/>
    </row>
    <row r="87" spans="2:15">
      <c r="B87" s="589"/>
      <c r="C87" s="163" t="s">
        <v>426</v>
      </c>
      <c r="D87" s="163">
        <v>964240</v>
      </c>
      <c r="E87" s="231" t="s">
        <v>650</v>
      </c>
      <c r="F87" s="163">
        <v>4.1000000000000002E-2</v>
      </c>
      <c r="G87" s="163">
        <v>0</v>
      </c>
      <c r="H87" s="163">
        <f t="shared" si="42"/>
        <v>1.6400000000000001E-2</v>
      </c>
      <c r="I87" s="262">
        <v>4.1000000000000002E-2</v>
      </c>
      <c r="J87" s="299">
        <v>0</v>
      </c>
      <c r="K87" s="123">
        <f t="shared" si="38"/>
        <v>0</v>
      </c>
      <c r="L87" s="161">
        <f t="shared" si="39"/>
        <v>0</v>
      </c>
      <c r="M87" s="123">
        <f t="shared" si="40"/>
        <v>0</v>
      </c>
      <c r="N87" s="162">
        <f t="shared" si="41"/>
        <v>1</v>
      </c>
      <c r="O87" s="161"/>
    </row>
    <row r="88" spans="2:15">
      <c r="B88" s="589"/>
      <c r="C88" s="163" t="s">
        <v>427</v>
      </c>
      <c r="D88" s="163">
        <v>966577</v>
      </c>
      <c r="E88" s="231" t="s">
        <v>650</v>
      </c>
      <c r="F88" s="163">
        <v>0</v>
      </c>
      <c r="G88" s="163">
        <v>110</v>
      </c>
      <c r="H88" s="163">
        <f t="shared" si="42"/>
        <v>44</v>
      </c>
      <c r="I88" s="299">
        <v>0</v>
      </c>
      <c r="J88" s="299">
        <v>110</v>
      </c>
      <c r="K88" s="161">
        <f t="shared" si="38"/>
        <v>0</v>
      </c>
      <c r="L88" s="161">
        <f t="shared" si="39"/>
        <v>0</v>
      </c>
      <c r="M88" s="161">
        <f t="shared" si="40"/>
        <v>0</v>
      </c>
      <c r="N88" s="162">
        <f t="shared" si="41"/>
        <v>1</v>
      </c>
      <c r="O88" s="161"/>
    </row>
    <row r="89" spans="2:15">
      <c r="B89" s="589"/>
      <c r="C89" s="163" t="s">
        <v>428</v>
      </c>
      <c r="D89" s="163">
        <v>959982</v>
      </c>
      <c r="E89" s="231" t="s">
        <v>650</v>
      </c>
      <c r="F89" s="163">
        <v>0</v>
      </c>
      <c r="G89" s="163">
        <v>132.715</v>
      </c>
      <c r="H89" s="163">
        <f t="shared" si="42"/>
        <v>53.086000000000006</v>
      </c>
      <c r="I89" s="299">
        <v>0</v>
      </c>
      <c r="J89" s="299">
        <v>132.715</v>
      </c>
      <c r="K89" s="161">
        <f t="shared" si="38"/>
        <v>0</v>
      </c>
      <c r="L89" s="161">
        <f t="shared" si="39"/>
        <v>0</v>
      </c>
      <c r="M89" s="161">
        <f t="shared" si="40"/>
        <v>0</v>
      </c>
      <c r="N89" s="162">
        <f t="shared" si="41"/>
        <v>1</v>
      </c>
      <c r="O89" s="161"/>
    </row>
    <row r="90" spans="2:15">
      <c r="B90" s="589"/>
      <c r="C90" s="163" t="s">
        <v>429</v>
      </c>
      <c r="D90" s="163">
        <v>968290</v>
      </c>
      <c r="E90" s="231" t="s">
        <v>650</v>
      </c>
      <c r="F90" s="163">
        <v>3</v>
      </c>
      <c r="G90" s="163">
        <v>0</v>
      </c>
      <c r="H90" s="163">
        <f t="shared" si="42"/>
        <v>1.2000000000000002</v>
      </c>
      <c r="I90" s="262">
        <v>3</v>
      </c>
      <c r="J90" s="299">
        <v>0</v>
      </c>
      <c r="K90" s="161">
        <f t="shared" si="38"/>
        <v>0</v>
      </c>
      <c r="L90" s="161">
        <f t="shared" si="39"/>
        <v>0</v>
      </c>
      <c r="M90" s="161">
        <f t="shared" si="40"/>
        <v>0</v>
      </c>
      <c r="N90" s="162">
        <f t="shared" si="41"/>
        <v>1</v>
      </c>
      <c r="O90" s="161"/>
    </row>
    <row r="91" spans="2:15">
      <c r="B91" s="589"/>
      <c r="C91" s="163" t="s">
        <v>430</v>
      </c>
      <c r="D91" s="163">
        <v>967435</v>
      </c>
      <c r="E91" s="231" t="s">
        <v>650</v>
      </c>
      <c r="F91" s="163">
        <v>0</v>
      </c>
      <c r="G91" s="163">
        <v>173.292</v>
      </c>
      <c r="H91" s="163">
        <f t="shared" si="42"/>
        <v>69.316800000000001</v>
      </c>
      <c r="I91" s="299">
        <v>0</v>
      </c>
      <c r="J91" s="299">
        <v>173.292</v>
      </c>
      <c r="K91" s="161">
        <f t="shared" si="38"/>
        <v>0</v>
      </c>
      <c r="L91" s="161">
        <f t="shared" si="39"/>
        <v>0</v>
      </c>
      <c r="M91" s="161">
        <f t="shared" si="40"/>
        <v>0</v>
      </c>
      <c r="N91" s="162">
        <f t="shared" si="41"/>
        <v>1</v>
      </c>
      <c r="O91" s="161"/>
    </row>
    <row r="92" spans="2:15">
      <c r="B92" s="589"/>
      <c r="C92" s="163" t="s">
        <v>431</v>
      </c>
      <c r="D92" s="163">
        <v>953084</v>
      </c>
      <c r="E92" s="231" t="s">
        <v>650</v>
      </c>
      <c r="F92" s="163">
        <v>0</v>
      </c>
      <c r="G92" s="163">
        <v>9.3719999999999999</v>
      </c>
      <c r="H92" s="163">
        <f t="shared" si="42"/>
        <v>3.7488000000000001</v>
      </c>
      <c r="I92" s="299">
        <v>0</v>
      </c>
      <c r="J92" s="299">
        <v>9.3719999999999999</v>
      </c>
      <c r="K92" s="161">
        <f t="shared" si="38"/>
        <v>0</v>
      </c>
      <c r="L92" s="161">
        <f t="shared" si="39"/>
        <v>0</v>
      </c>
      <c r="M92" s="161">
        <f t="shared" si="40"/>
        <v>0</v>
      </c>
      <c r="N92" s="162">
        <f t="shared" si="41"/>
        <v>1</v>
      </c>
      <c r="O92" s="161"/>
    </row>
    <row r="93" spans="2:15">
      <c r="B93" s="589"/>
      <c r="C93" s="163" t="s">
        <v>432</v>
      </c>
      <c r="D93" s="163">
        <v>954793</v>
      </c>
      <c r="E93" s="231" t="s">
        <v>650</v>
      </c>
      <c r="F93" s="163">
        <v>0</v>
      </c>
      <c r="G93" s="163">
        <v>125.97799999999999</v>
      </c>
      <c r="H93" s="163">
        <f t="shared" si="42"/>
        <v>50.391199999999998</v>
      </c>
      <c r="I93" s="299">
        <v>0</v>
      </c>
      <c r="J93" s="299">
        <v>125.97799999999999</v>
      </c>
      <c r="K93" s="161">
        <f t="shared" si="38"/>
        <v>0</v>
      </c>
      <c r="L93" s="161">
        <f t="shared" si="39"/>
        <v>0</v>
      </c>
      <c r="M93" s="161">
        <f t="shared" si="40"/>
        <v>0</v>
      </c>
      <c r="N93" s="162">
        <f t="shared" si="41"/>
        <v>1</v>
      </c>
      <c r="O93" s="161"/>
    </row>
    <row r="94" spans="2:15">
      <c r="B94" s="589"/>
      <c r="C94" s="163" t="s">
        <v>433</v>
      </c>
      <c r="D94" s="163">
        <v>968579</v>
      </c>
      <c r="E94" s="231" t="s">
        <v>650</v>
      </c>
      <c r="F94" s="163">
        <v>106.331</v>
      </c>
      <c r="G94" s="163">
        <v>15.019</v>
      </c>
      <c r="H94" s="163">
        <f t="shared" si="42"/>
        <v>48.540000000000006</v>
      </c>
      <c r="I94" s="262">
        <v>85.228999999999999</v>
      </c>
      <c r="J94" s="262">
        <v>36.121000000000002</v>
      </c>
      <c r="K94" s="161">
        <f t="shared" si="38"/>
        <v>21.102000000000004</v>
      </c>
      <c r="L94" s="161">
        <f t="shared" si="39"/>
        <v>-21.102000000000004</v>
      </c>
      <c r="M94" s="161">
        <f t="shared" si="40"/>
        <v>0</v>
      </c>
      <c r="N94" s="162">
        <f t="shared" si="41"/>
        <v>0.99999999999999989</v>
      </c>
      <c r="O94" s="161"/>
    </row>
    <row r="95" spans="2:15">
      <c r="B95" s="589"/>
      <c r="C95" s="163" t="s">
        <v>434</v>
      </c>
      <c r="D95" s="163">
        <v>697625</v>
      </c>
      <c r="E95" s="231" t="s">
        <v>650</v>
      </c>
      <c r="F95" s="163">
        <v>0</v>
      </c>
      <c r="G95" s="163">
        <v>4.5</v>
      </c>
      <c r="H95" s="163">
        <f t="shared" si="42"/>
        <v>1.8</v>
      </c>
      <c r="I95" s="299">
        <v>0</v>
      </c>
      <c r="J95" s="299">
        <v>4.5</v>
      </c>
      <c r="K95" s="161">
        <f t="shared" si="38"/>
        <v>0</v>
      </c>
      <c r="L95" s="161">
        <f t="shared" si="39"/>
        <v>0</v>
      </c>
      <c r="M95" s="161">
        <f t="shared" si="40"/>
        <v>0</v>
      </c>
      <c r="N95" s="162">
        <f t="shared" si="41"/>
        <v>1</v>
      </c>
      <c r="O95" s="161"/>
    </row>
    <row r="96" spans="2:15">
      <c r="B96" s="589"/>
      <c r="C96" s="163" t="s">
        <v>435</v>
      </c>
      <c r="D96" s="163">
        <v>697391</v>
      </c>
      <c r="E96" s="231" t="s">
        <v>650</v>
      </c>
      <c r="F96" s="163">
        <v>0</v>
      </c>
      <c r="G96" s="163">
        <v>107.35899999999999</v>
      </c>
      <c r="H96" s="163">
        <f t="shared" si="42"/>
        <v>42.943600000000004</v>
      </c>
      <c r="I96" s="299">
        <v>0</v>
      </c>
      <c r="J96" s="262">
        <v>107.35899999999999</v>
      </c>
      <c r="K96" s="161">
        <f t="shared" si="38"/>
        <v>0</v>
      </c>
      <c r="L96" s="123">
        <f t="shared" si="39"/>
        <v>0</v>
      </c>
      <c r="M96" s="123">
        <f t="shared" si="40"/>
        <v>0</v>
      </c>
      <c r="N96" s="162">
        <f t="shared" si="41"/>
        <v>1</v>
      </c>
      <c r="O96" s="161"/>
    </row>
    <row r="97" spans="2:15">
      <c r="B97" s="589"/>
      <c r="C97" s="163" t="s">
        <v>436</v>
      </c>
      <c r="D97" s="163">
        <v>697914</v>
      </c>
      <c r="E97" s="231" t="s">
        <v>650</v>
      </c>
      <c r="F97" s="163">
        <v>0</v>
      </c>
      <c r="G97" s="163">
        <v>70</v>
      </c>
      <c r="H97" s="163">
        <f t="shared" si="42"/>
        <v>28</v>
      </c>
      <c r="I97" s="299">
        <v>0</v>
      </c>
      <c r="J97" s="299">
        <v>70</v>
      </c>
      <c r="K97" s="161">
        <f t="shared" si="38"/>
        <v>0</v>
      </c>
      <c r="L97" s="161">
        <f t="shared" si="39"/>
        <v>0</v>
      </c>
      <c r="M97" s="161">
        <f t="shared" si="40"/>
        <v>0</v>
      </c>
      <c r="N97" s="162">
        <f t="shared" si="41"/>
        <v>1</v>
      </c>
      <c r="O97" s="161"/>
    </row>
    <row r="98" spans="2:15">
      <c r="B98" s="589"/>
      <c r="C98" s="163" t="s">
        <v>437</v>
      </c>
      <c r="D98" s="163">
        <v>966093</v>
      </c>
      <c r="E98" s="231" t="s">
        <v>650</v>
      </c>
      <c r="F98" s="163">
        <v>5</v>
      </c>
      <c r="G98" s="163">
        <v>45</v>
      </c>
      <c r="H98" s="163">
        <f t="shared" si="42"/>
        <v>20</v>
      </c>
      <c r="I98" s="262">
        <v>5</v>
      </c>
      <c r="J98" s="262">
        <v>45</v>
      </c>
      <c r="K98" s="161">
        <f t="shared" si="38"/>
        <v>0</v>
      </c>
      <c r="L98" s="161">
        <f t="shared" si="39"/>
        <v>0</v>
      </c>
      <c r="M98" s="161">
        <f t="shared" si="40"/>
        <v>0</v>
      </c>
      <c r="N98" s="162">
        <f t="shared" si="41"/>
        <v>1</v>
      </c>
      <c r="O98" s="161"/>
    </row>
    <row r="99" spans="2:15">
      <c r="B99" s="589"/>
      <c r="C99" s="163" t="s">
        <v>438</v>
      </c>
      <c r="D99" s="163">
        <v>923170</v>
      </c>
      <c r="E99" s="231" t="s">
        <v>650</v>
      </c>
      <c r="F99" s="163">
        <v>15</v>
      </c>
      <c r="G99" s="163">
        <v>120</v>
      </c>
      <c r="H99" s="163">
        <f t="shared" si="42"/>
        <v>54</v>
      </c>
      <c r="I99" s="299">
        <v>15</v>
      </c>
      <c r="J99" s="323">
        <v>119.128</v>
      </c>
      <c r="K99" s="161">
        <f t="shared" si="38"/>
        <v>0</v>
      </c>
      <c r="L99" s="161">
        <f t="shared" si="39"/>
        <v>0.87199999999999989</v>
      </c>
      <c r="M99" s="161">
        <f t="shared" si="40"/>
        <v>0.87199999999999989</v>
      </c>
      <c r="N99" s="162">
        <f t="shared" si="41"/>
        <v>0.99354074074074061</v>
      </c>
      <c r="O99" s="161"/>
    </row>
    <row r="100" spans="2:15">
      <c r="B100" s="589"/>
      <c r="C100" s="163" t="s">
        <v>346</v>
      </c>
      <c r="D100" s="163">
        <v>968281</v>
      </c>
      <c r="E100" s="231" t="s">
        <v>650</v>
      </c>
      <c r="F100" s="163">
        <v>1</v>
      </c>
      <c r="G100" s="163">
        <v>40</v>
      </c>
      <c r="H100" s="163">
        <f t="shared" si="42"/>
        <v>16.400000000000002</v>
      </c>
      <c r="I100" s="262">
        <v>1</v>
      </c>
      <c r="J100" s="262">
        <v>40</v>
      </c>
      <c r="K100" s="161">
        <f t="shared" si="38"/>
        <v>0</v>
      </c>
      <c r="L100" s="161">
        <f t="shared" si="39"/>
        <v>0</v>
      </c>
      <c r="M100" s="161">
        <f t="shared" si="40"/>
        <v>0</v>
      </c>
      <c r="N100" s="162">
        <f t="shared" si="41"/>
        <v>1</v>
      </c>
      <c r="O100" s="161"/>
    </row>
    <row r="101" spans="2:15">
      <c r="B101" s="589"/>
      <c r="C101" s="163" t="s">
        <v>439</v>
      </c>
      <c r="D101" s="163">
        <v>953641</v>
      </c>
      <c r="E101" s="231" t="s">
        <v>650</v>
      </c>
      <c r="F101" s="163">
        <v>0</v>
      </c>
      <c r="G101" s="163">
        <v>3.1E-2</v>
      </c>
      <c r="H101" s="163">
        <f t="shared" si="42"/>
        <v>1.2400000000000001E-2</v>
      </c>
      <c r="I101" s="299">
        <v>0</v>
      </c>
      <c r="J101" s="299">
        <v>3.1E-2</v>
      </c>
      <c r="K101" s="161">
        <f t="shared" si="38"/>
        <v>0</v>
      </c>
      <c r="L101" s="161">
        <f t="shared" si="39"/>
        <v>0</v>
      </c>
      <c r="M101" s="161">
        <f t="shared" si="40"/>
        <v>0</v>
      </c>
      <c r="N101" s="162">
        <f t="shared" si="41"/>
        <v>1</v>
      </c>
      <c r="O101" s="161"/>
    </row>
    <row r="102" spans="2:15">
      <c r="B102" s="589"/>
      <c r="C102" s="163" t="s">
        <v>440</v>
      </c>
      <c r="D102" s="163">
        <v>967659</v>
      </c>
      <c r="E102" s="231" t="s">
        <v>650</v>
      </c>
      <c r="F102" s="163">
        <v>8.1419999999999995</v>
      </c>
      <c r="G102" s="163">
        <v>0</v>
      </c>
      <c r="H102" s="163">
        <f t="shared" si="42"/>
        <v>3.2568000000000001</v>
      </c>
      <c r="I102" s="262">
        <v>8.1419999999999995</v>
      </c>
      <c r="J102" s="299">
        <v>0</v>
      </c>
      <c r="K102" s="123">
        <f t="shared" si="38"/>
        <v>0</v>
      </c>
      <c r="L102" s="161">
        <f t="shared" si="39"/>
        <v>0</v>
      </c>
      <c r="M102" s="123">
        <f t="shared" si="40"/>
        <v>0</v>
      </c>
      <c r="N102" s="162">
        <f t="shared" si="41"/>
        <v>1</v>
      </c>
      <c r="O102" s="161"/>
    </row>
    <row r="103" spans="2:15">
      <c r="B103" s="589"/>
      <c r="C103" s="163" t="s">
        <v>441</v>
      </c>
      <c r="D103" s="163">
        <v>968710</v>
      </c>
      <c r="E103" s="231" t="s">
        <v>650</v>
      </c>
      <c r="F103" s="163">
        <v>0</v>
      </c>
      <c r="G103" s="163">
        <v>54.08</v>
      </c>
      <c r="H103" s="163">
        <f t="shared" si="42"/>
        <v>21.632000000000001</v>
      </c>
      <c r="I103" s="299">
        <v>0</v>
      </c>
      <c r="J103" s="299">
        <v>54.08</v>
      </c>
      <c r="K103" s="161">
        <f t="shared" si="38"/>
        <v>0</v>
      </c>
      <c r="L103" s="161">
        <f t="shared" si="39"/>
        <v>0</v>
      </c>
      <c r="M103" s="161">
        <f t="shared" si="40"/>
        <v>0</v>
      </c>
      <c r="N103" s="162">
        <f t="shared" si="41"/>
        <v>1</v>
      </c>
      <c r="O103" s="161"/>
    </row>
    <row r="104" spans="2:15">
      <c r="B104" s="589"/>
      <c r="C104" s="163" t="s">
        <v>442</v>
      </c>
      <c r="D104" s="163">
        <v>952321</v>
      </c>
      <c r="E104" s="231" t="s">
        <v>650</v>
      </c>
      <c r="F104" s="163">
        <v>0.84</v>
      </c>
      <c r="G104" s="163">
        <v>0</v>
      </c>
      <c r="H104" s="163">
        <f t="shared" si="42"/>
        <v>0.33600000000000002</v>
      </c>
      <c r="I104" s="262">
        <v>0.84</v>
      </c>
      <c r="J104" s="299">
        <v>0</v>
      </c>
      <c r="K104" s="123">
        <f t="shared" si="38"/>
        <v>0</v>
      </c>
      <c r="L104" s="161">
        <f t="shared" si="39"/>
        <v>0</v>
      </c>
      <c r="M104" s="123">
        <f t="shared" si="40"/>
        <v>0</v>
      </c>
      <c r="N104" s="162">
        <f t="shared" si="41"/>
        <v>1</v>
      </c>
      <c r="O104" s="161"/>
    </row>
    <row r="105" spans="2:15">
      <c r="B105" s="589"/>
      <c r="C105" s="163" t="s">
        <v>443</v>
      </c>
      <c r="D105" s="163">
        <v>967393</v>
      </c>
      <c r="E105" s="231" t="s">
        <v>650</v>
      </c>
      <c r="F105" s="163">
        <v>0</v>
      </c>
      <c r="G105" s="163">
        <v>38.311</v>
      </c>
      <c r="H105" s="163">
        <f t="shared" si="42"/>
        <v>15.324400000000001</v>
      </c>
      <c r="I105" s="299">
        <v>0</v>
      </c>
      <c r="J105" s="299">
        <v>38.311</v>
      </c>
      <c r="K105" s="161">
        <f t="shared" ref="K105" si="43">F105-I105</f>
        <v>0</v>
      </c>
      <c r="L105" s="161">
        <f t="shared" ref="L105" si="44">G105-J105</f>
        <v>0</v>
      </c>
      <c r="M105" s="161">
        <f t="shared" ref="M105" si="45">K105+L105</f>
        <v>0</v>
      </c>
      <c r="N105" s="162">
        <f t="shared" ref="N105" si="46">(I105+J105)/(F105+G105)</f>
        <v>1</v>
      </c>
      <c r="O105" s="161"/>
    </row>
    <row r="106" spans="2:15">
      <c r="B106" s="589"/>
      <c r="C106" s="163" t="s">
        <v>444</v>
      </c>
      <c r="D106" s="163">
        <v>955440</v>
      </c>
      <c r="E106" s="231" t="s">
        <v>650</v>
      </c>
      <c r="F106" s="163">
        <v>0.42699999999999999</v>
      </c>
      <c r="G106" s="163">
        <v>0</v>
      </c>
      <c r="H106" s="163">
        <f t="shared" si="42"/>
        <v>0.17080000000000001</v>
      </c>
      <c r="I106" s="323">
        <v>0.42699999999999999</v>
      </c>
      <c r="J106" s="299">
        <v>0</v>
      </c>
      <c r="K106" s="106">
        <f t="shared" si="33"/>
        <v>0</v>
      </c>
      <c r="L106" s="106">
        <f t="shared" si="2"/>
        <v>0</v>
      </c>
      <c r="M106" s="106">
        <f t="shared" si="3"/>
        <v>0</v>
      </c>
      <c r="N106" s="77">
        <f t="shared" si="4"/>
        <v>1</v>
      </c>
      <c r="O106" s="106"/>
    </row>
    <row r="107" spans="2:15">
      <c r="B107" s="589"/>
      <c r="C107" s="163" t="s">
        <v>445</v>
      </c>
      <c r="D107" s="163">
        <v>959986</v>
      </c>
      <c r="E107" s="231" t="s">
        <v>650</v>
      </c>
      <c r="F107" s="163">
        <v>0</v>
      </c>
      <c r="G107" s="163">
        <v>289</v>
      </c>
      <c r="H107" s="163">
        <f t="shared" si="42"/>
        <v>115.60000000000001</v>
      </c>
      <c r="I107" s="299">
        <v>0</v>
      </c>
      <c r="J107" s="299">
        <v>289</v>
      </c>
      <c r="K107" s="106">
        <f t="shared" si="33"/>
        <v>0</v>
      </c>
      <c r="L107" s="106">
        <f t="shared" si="2"/>
        <v>0</v>
      </c>
      <c r="M107" s="106">
        <f t="shared" si="3"/>
        <v>0</v>
      </c>
      <c r="N107" s="77">
        <f t="shared" si="4"/>
        <v>1</v>
      </c>
      <c r="O107" s="106"/>
    </row>
    <row r="108" spans="2:15">
      <c r="B108" s="589"/>
      <c r="C108" s="163" t="s">
        <v>446</v>
      </c>
      <c r="D108" s="163">
        <v>922513</v>
      </c>
      <c r="E108" s="231" t="s">
        <v>650</v>
      </c>
      <c r="F108" s="163">
        <v>1</v>
      </c>
      <c r="G108" s="163">
        <v>151.31</v>
      </c>
      <c r="H108" s="163">
        <f t="shared" si="42"/>
        <v>60.924000000000007</v>
      </c>
      <c r="I108" s="299">
        <v>1</v>
      </c>
      <c r="J108" s="299">
        <v>1.881</v>
      </c>
      <c r="K108" s="106">
        <f t="shared" ref="K108" si="47">F108-I108</f>
        <v>0</v>
      </c>
      <c r="L108" s="106">
        <f t="shared" ref="L108" si="48">G108-J108</f>
        <v>149.429</v>
      </c>
      <c r="M108" s="106">
        <f t="shared" ref="M108" si="49">K108+L108</f>
        <v>149.429</v>
      </c>
      <c r="N108" s="77">
        <f t="shared" ref="N108" si="50">(I108+J108)/(F108+G108)</f>
        <v>1.8915369969141883E-2</v>
      </c>
      <c r="O108" s="106"/>
    </row>
    <row r="109" spans="2:15">
      <c r="B109" s="589"/>
      <c r="C109" s="163" t="s">
        <v>447</v>
      </c>
      <c r="D109" s="163">
        <v>962102</v>
      </c>
      <c r="E109" s="231" t="s">
        <v>650</v>
      </c>
      <c r="F109" s="163">
        <v>0</v>
      </c>
      <c r="G109" s="163">
        <v>146.60499999999999</v>
      </c>
      <c r="H109" s="163">
        <f t="shared" si="42"/>
        <v>58.641999999999996</v>
      </c>
      <c r="I109" s="299">
        <v>0</v>
      </c>
      <c r="J109" s="299">
        <v>146.60499999999999</v>
      </c>
      <c r="K109" s="106">
        <f t="shared" si="33"/>
        <v>0</v>
      </c>
      <c r="L109" s="106">
        <f t="shared" si="2"/>
        <v>0</v>
      </c>
      <c r="M109" s="106">
        <f t="shared" si="3"/>
        <v>0</v>
      </c>
      <c r="N109" s="77">
        <f t="shared" si="4"/>
        <v>1</v>
      </c>
      <c r="O109" s="106"/>
    </row>
    <row r="110" spans="2:15">
      <c r="B110" s="589"/>
      <c r="C110" s="163" t="s">
        <v>448</v>
      </c>
      <c r="D110" s="163">
        <v>966475</v>
      </c>
      <c r="E110" s="231" t="s">
        <v>650</v>
      </c>
      <c r="F110" s="163">
        <v>1</v>
      </c>
      <c r="G110" s="163">
        <v>88.707999999999998</v>
      </c>
      <c r="H110" s="163">
        <f t="shared" si="42"/>
        <v>35.883200000000002</v>
      </c>
      <c r="I110" s="299">
        <v>1</v>
      </c>
      <c r="J110" s="299">
        <v>88.707999999999998</v>
      </c>
      <c r="K110" s="106">
        <f t="shared" si="33"/>
        <v>0</v>
      </c>
      <c r="L110" s="106">
        <f t="shared" si="2"/>
        <v>0</v>
      </c>
      <c r="M110" s="106">
        <f t="shared" si="3"/>
        <v>0</v>
      </c>
      <c r="N110" s="77">
        <f t="shared" si="4"/>
        <v>1</v>
      </c>
      <c r="O110" s="106"/>
    </row>
    <row r="111" spans="2:15">
      <c r="B111" s="589"/>
      <c r="C111" s="163" t="s">
        <v>449</v>
      </c>
      <c r="D111" s="163">
        <v>963702</v>
      </c>
      <c r="E111" s="231" t="s">
        <v>650</v>
      </c>
      <c r="F111" s="163">
        <v>0</v>
      </c>
      <c r="G111" s="163">
        <v>59.981999999999999</v>
      </c>
      <c r="H111" s="163">
        <f t="shared" si="42"/>
        <v>23.992800000000003</v>
      </c>
      <c r="I111" s="299">
        <v>0</v>
      </c>
      <c r="J111" s="299">
        <v>59.981999999999999</v>
      </c>
      <c r="K111" s="106">
        <f t="shared" ref="K111" si="51">F111-I111</f>
        <v>0</v>
      </c>
      <c r="L111" s="106">
        <f t="shared" ref="L111" si="52">G111-J111</f>
        <v>0</v>
      </c>
      <c r="M111" s="106">
        <f t="shared" ref="M111" si="53">K111+L111</f>
        <v>0</v>
      </c>
      <c r="N111" s="77">
        <f t="shared" ref="N111" si="54">(I111+J111)/(F111+G111)</f>
        <v>1</v>
      </c>
      <c r="O111" s="106"/>
    </row>
    <row r="112" spans="2:15">
      <c r="B112" s="589"/>
      <c r="C112" s="163" t="s">
        <v>450</v>
      </c>
      <c r="D112" s="163">
        <v>968675</v>
      </c>
      <c r="E112" s="231" t="s">
        <v>650</v>
      </c>
      <c r="F112" s="163">
        <v>0</v>
      </c>
      <c r="G112" s="163">
        <v>101</v>
      </c>
      <c r="H112" s="163">
        <f t="shared" si="42"/>
        <v>40.400000000000006</v>
      </c>
      <c r="I112" s="299">
        <v>0</v>
      </c>
      <c r="J112" s="299">
        <v>0</v>
      </c>
      <c r="K112" s="106">
        <f t="shared" si="33"/>
        <v>0</v>
      </c>
      <c r="L112" s="106">
        <f t="shared" si="2"/>
        <v>101</v>
      </c>
      <c r="M112" s="106">
        <f t="shared" si="3"/>
        <v>101</v>
      </c>
      <c r="N112" s="77">
        <f t="shared" si="4"/>
        <v>0</v>
      </c>
      <c r="O112" s="106"/>
    </row>
    <row r="113" spans="2:15">
      <c r="B113" s="589"/>
      <c r="C113" s="163" t="s">
        <v>451</v>
      </c>
      <c r="D113" s="163">
        <v>697611</v>
      </c>
      <c r="E113" s="231" t="s">
        <v>650</v>
      </c>
      <c r="F113" s="163">
        <v>0</v>
      </c>
      <c r="G113" s="163">
        <v>92.45</v>
      </c>
      <c r="H113" s="163">
        <f t="shared" si="42"/>
        <v>36.980000000000004</v>
      </c>
      <c r="I113" s="299">
        <v>5</v>
      </c>
      <c r="J113" s="299">
        <v>92.45</v>
      </c>
      <c r="K113" s="106">
        <f t="shared" ref="K113" si="55">F113-I113</f>
        <v>-5</v>
      </c>
      <c r="L113" s="106">
        <f t="shared" ref="L113" si="56">G113-J113</f>
        <v>0</v>
      </c>
      <c r="M113" s="106">
        <f t="shared" ref="M113" si="57">K113+L113</f>
        <v>-5</v>
      </c>
      <c r="N113" s="77">
        <f t="shared" ref="N113" si="58">(I113+J113)/(F113+G113)</f>
        <v>1.0540832882639264</v>
      </c>
      <c r="O113" s="106"/>
    </row>
    <row r="114" spans="2:15">
      <c r="B114" s="589"/>
      <c r="C114" s="163" t="s">
        <v>452</v>
      </c>
      <c r="D114" s="163">
        <v>966858</v>
      </c>
      <c r="E114" s="231" t="s">
        <v>650</v>
      </c>
      <c r="F114" s="163">
        <v>10</v>
      </c>
      <c r="G114" s="163">
        <v>133.77199999999999</v>
      </c>
      <c r="H114" s="163">
        <f t="shared" si="42"/>
        <v>57.508800000000001</v>
      </c>
      <c r="I114" s="299">
        <v>10</v>
      </c>
      <c r="J114" s="299">
        <v>133.77199999999999</v>
      </c>
      <c r="K114" s="106">
        <f t="shared" si="33"/>
        <v>0</v>
      </c>
      <c r="L114" s="106">
        <f t="shared" si="2"/>
        <v>0</v>
      </c>
      <c r="M114" s="106">
        <f t="shared" si="3"/>
        <v>0</v>
      </c>
      <c r="N114" s="77">
        <f t="shared" si="4"/>
        <v>1</v>
      </c>
      <c r="O114" s="106"/>
    </row>
    <row r="115" spans="2:15">
      <c r="B115" s="589"/>
      <c r="C115" s="163" t="s">
        <v>453</v>
      </c>
      <c r="D115" s="163">
        <v>956608</v>
      </c>
      <c r="E115" s="231" t="s">
        <v>650</v>
      </c>
      <c r="F115" s="163">
        <v>5</v>
      </c>
      <c r="G115" s="163">
        <v>120</v>
      </c>
      <c r="H115" s="163">
        <f t="shared" si="42"/>
        <v>50</v>
      </c>
      <c r="I115" s="299">
        <v>5</v>
      </c>
      <c r="J115" s="299">
        <v>120</v>
      </c>
      <c r="K115" s="106">
        <f t="shared" si="33"/>
        <v>0</v>
      </c>
      <c r="L115" s="106">
        <f t="shared" si="2"/>
        <v>0</v>
      </c>
      <c r="M115" s="106">
        <f t="shared" si="3"/>
        <v>0</v>
      </c>
      <c r="N115" s="77">
        <f t="shared" si="4"/>
        <v>1</v>
      </c>
      <c r="O115" s="106"/>
    </row>
    <row r="116" spans="2:15">
      <c r="B116" s="589"/>
      <c r="C116" s="163" t="s">
        <v>454</v>
      </c>
      <c r="D116" s="163">
        <v>922483</v>
      </c>
      <c r="E116" s="231" t="s">
        <v>650</v>
      </c>
      <c r="F116" s="163">
        <v>63.975000000000001</v>
      </c>
      <c r="G116" s="163">
        <v>45.052999999999997</v>
      </c>
      <c r="H116" s="163">
        <f t="shared" si="42"/>
        <v>43.611199999999997</v>
      </c>
      <c r="I116" s="299">
        <v>63.975000000000001</v>
      </c>
      <c r="J116" s="299">
        <v>45.052999999999997</v>
      </c>
      <c r="K116" s="106">
        <f t="shared" si="33"/>
        <v>0</v>
      </c>
      <c r="L116" s="106">
        <f t="shared" si="2"/>
        <v>0</v>
      </c>
      <c r="M116" s="106">
        <f t="shared" si="3"/>
        <v>0</v>
      </c>
      <c r="N116" s="77">
        <f t="shared" si="4"/>
        <v>1</v>
      </c>
      <c r="O116" s="106"/>
    </row>
    <row r="117" spans="2:15">
      <c r="B117" s="589"/>
      <c r="C117" s="163" t="s">
        <v>455</v>
      </c>
      <c r="D117" s="163">
        <v>968946</v>
      </c>
      <c r="E117" s="231" t="s">
        <v>650</v>
      </c>
      <c r="F117" s="163">
        <v>1.5049999999999999</v>
      </c>
      <c r="G117" s="163">
        <v>0</v>
      </c>
      <c r="H117" s="163">
        <f t="shared" si="42"/>
        <v>0.60199999999999998</v>
      </c>
      <c r="I117" s="299">
        <v>0</v>
      </c>
      <c r="J117" s="299">
        <v>0</v>
      </c>
      <c r="K117" s="106">
        <f t="shared" ref="K117:K119" si="59">F117-I117</f>
        <v>1.5049999999999999</v>
      </c>
      <c r="L117" s="106">
        <f t="shared" ref="L117:L119" si="60">G117-J117</f>
        <v>0</v>
      </c>
      <c r="M117" s="106">
        <f t="shared" ref="M117:M119" si="61">K117+L117</f>
        <v>1.5049999999999999</v>
      </c>
      <c r="N117" s="77">
        <f t="shared" ref="N117:N119" si="62">(I117+J117)/(F117+G117)</f>
        <v>0</v>
      </c>
      <c r="O117" s="106"/>
    </row>
    <row r="118" spans="2:15">
      <c r="B118" s="589"/>
      <c r="C118" s="163" t="s">
        <v>456</v>
      </c>
      <c r="D118" s="163">
        <v>962160</v>
      </c>
      <c r="E118" s="231" t="s">
        <v>650</v>
      </c>
      <c r="F118" s="163">
        <v>91.11</v>
      </c>
      <c r="G118" s="163">
        <v>0</v>
      </c>
      <c r="H118" s="163">
        <f t="shared" si="42"/>
        <v>36.444000000000003</v>
      </c>
      <c r="I118" s="299">
        <v>0</v>
      </c>
      <c r="J118" s="299">
        <v>0</v>
      </c>
      <c r="K118" s="106">
        <f t="shared" si="59"/>
        <v>91.11</v>
      </c>
      <c r="L118" s="106">
        <f t="shared" si="60"/>
        <v>0</v>
      </c>
      <c r="M118" s="106">
        <f t="shared" si="61"/>
        <v>91.11</v>
      </c>
      <c r="N118" s="77">
        <f t="shared" si="62"/>
        <v>0</v>
      </c>
      <c r="O118" s="106"/>
    </row>
    <row r="119" spans="2:15">
      <c r="B119" s="589"/>
      <c r="C119" s="163" t="s">
        <v>457</v>
      </c>
      <c r="D119" s="163">
        <v>968147</v>
      </c>
      <c r="E119" s="231" t="s">
        <v>650</v>
      </c>
      <c r="F119" s="163">
        <v>1.7000000000000001E-2</v>
      </c>
      <c r="G119" s="163">
        <v>0</v>
      </c>
      <c r="H119" s="163">
        <f t="shared" si="42"/>
        <v>6.8000000000000005E-3</v>
      </c>
      <c r="I119" s="262">
        <v>1.7000000000000001E-2</v>
      </c>
      <c r="J119" s="299">
        <v>0</v>
      </c>
      <c r="K119" s="123">
        <f t="shared" si="59"/>
        <v>0</v>
      </c>
      <c r="L119" s="106">
        <f t="shared" si="60"/>
        <v>0</v>
      </c>
      <c r="M119" s="123">
        <f t="shared" si="61"/>
        <v>0</v>
      </c>
      <c r="N119" s="77">
        <f t="shared" si="62"/>
        <v>1</v>
      </c>
      <c r="O119" s="106"/>
    </row>
    <row r="120" spans="2:15">
      <c r="B120" s="589"/>
      <c r="C120" s="163" t="s">
        <v>458</v>
      </c>
      <c r="D120" s="163">
        <v>923000</v>
      </c>
      <c r="E120" s="231" t="s">
        <v>650</v>
      </c>
      <c r="F120" s="163">
        <v>0</v>
      </c>
      <c r="G120" s="163">
        <v>110</v>
      </c>
      <c r="H120" s="163">
        <f t="shared" si="42"/>
        <v>44</v>
      </c>
      <c r="I120" s="299">
        <v>23.907</v>
      </c>
      <c r="J120" s="323">
        <v>4.694</v>
      </c>
      <c r="K120" s="106">
        <f t="shared" si="33"/>
        <v>-23.907</v>
      </c>
      <c r="L120" s="106">
        <f t="shared" si="2"/>
        <v>105.306</v>
      </c>
      <c r="M120" s="106">
        <f t="shared" si="3"/>
        <v>81.399000000000001</v>
      </c>
      <c r="N120" s="77">
        <f t="shared" si="4"/>
        <v>0.26000909090909091</v>
      </c>
      <c r="O120" s="106"/>
    </row>
    <row r="121" spans="2:15">
      <c r="B121" s="589"/>
      <c r="C121" s="163" t="s">
        <v>459</v>
      </c>
      <c r="D121" s="163">
        <v>697261</v>
      </c>
      <c r="E121" s="231" t="s">
        <v>650</v>
      </c>
      <c r="F121" s="163">
        <v>24.433</v>
      </c>
      <c r="G121" s="163">
        <v>68.947000000000003</v>
      </c>
      <c r="H121" s="163">
        <f t="shared" si="42"/>
        <v>37.351999999999997</v>
      </c>
      <c r="I121" s="262">
        <v>24.433</v>
      </c>
      <c r="J121" s="262">
        <v>68.947000000000003</v>
      </c>
      <c r="K121" s="123">
        <f t="shared" si="33"/>
        <v>0</v>
      </c>
      <c r="L121" s="123">
        <f t="shared" si="2"/>
        <v>0</v>
      </c>
      <c r="M121" s="123">
        <f t="shared" si="3"/>
        <v>0</v>
      </c>
      <c r="N121" s="77">
        <f t="shared" si="4"/>
        <v>1</v>
      </c>
      <c r="O121" s="106"/>
    </row>
    <row r="122" spans="2:15">
      <c r="B122" s="589"/>
      <c r="C122" s="163" t="s">
        <v>460</v>
      </c>
      <c r="D122" s="163">
        <v>966763</v>
      </c>
      <c r="E122" s="231" t="s">
        <v>650</v>
      </c>
      <c r="F122" s="163">
        <v>31.463999999999999</v>
      </c>
      <c r="G122" s="163">
        <v>0</v>
      </c>
      <c r="H122" s="163">
        <f t="shared" si="42"/>
        <v>12.585599999999999</v>
      </c>
      <c r="I122" s="262">
        <v>31.463999999999999</v>
      </c>
      <c r="J122" s="299">
        <v>0</v>
      </c>
      <c r="K122" s="123">
        <f t="shared" si="33"/>
        <v>0</v>
      </c>
      <c r="L122" s="106">
        <f t="shared" si="2"/>
        <v>0</v>
      </c>
      <c r="M122" s="123">
        <f t="shared" si="3"/>
        <v>0</v>
      </c>
      <c r="N122" s="77">
        <f t="shared" si="4"/>
        <v>1</v>
      </c>
      <c r="O122" s="106"/>
    </row>
    <row r="123" spans="2:15">
      <c r="B123" s="589"/>
      <c r="C123" s="163" t="s">
        <v>461</v>
      </c>
      <c r="D123" s="163">
        <v>953992</v>
      </c>
      <c r="E123" s="231" t="s">
        <v>650</v>
      </c>
      <c r="F123" s="163">
        <v>0</v>
      </c>
      <c r="G123" s="163">
        <v>1.82</v>
      </c>
      <c r="H123" s="163">
        <f t="shared" si="42"/>
        <v>0.72800000000000009</v>
      </c>
      <c r="I123" s="299">
        <v>0</v>
      </c>
      <c r="J123" s="299">
        <v>1.82</v>
      </c>
      <c r="K123" s="106">
        <f t="shared" si="33"/>
        <v>0</v>
      </c>
      <c r="L123" s="106">
        <f t="shared" si="2"/>
        <v>0</v>
      </c>
      <c r="M123" s="106">
        <f t="shared" si="3"/>
        <v>0</v>
      </c>
      <c r="N123" s="77">
        <f t="shared" si="4"/>
        <v>1</v>
      </c>
      <c r="O123" s="106"/>
    </row>
    <row r="124" spans="2:15">
      <c r="B124" s="589"/>
      <c r="C124" s="163" t="s">
        <v>462</v>
      </c>
      <c r="D124" s="163">
        <v>955404</v>
      </c>
      <c r="E124" s="231" t="s">
        <v>650</v>
      </c>
      <c r="F124" s="163">
        <v>0</v>
      </c>
      <c r="G124" s="163">
        <v>199.99299999999999</v>
      </c>
      <c r="H124" s="163">
        <f t="shared" si="42"/>
        <v>79.997200000000007</v>
      </c>
      <c r="I124" s="299">
        <v>79.997</v>
      </c>
      <c r="J124" s="323">
        <v>103.961</v>
      </c>
      <c r="K124" s="106">
        <f t="shared" si="33"/>
        <v>-79.997</v>
      </c>
      <c r="L124" s="106">
        <f t="shared" si="2"/>
        <v>96.031999999999996</v>
      </c>
      <c r="M124" s="106">
        <f t="shared" si="3"/>
        <v>16.034999999999997</v>
      </c>
      <c r="N124" s="77">
        <f t="shared" si="4"/>
        <v>0.9198221937767822</v>
      </c>
      <c r="O124" s="106"/>
    </row>
    <row r="125" spans="2:15">
      <c r="B125" s="589"/>
      <c r="C125" s="163" t="s">
        <v>463</v>
      </c>
      <c r="D125" s="163">
        <v>902733</v>
      </c>
      <c r="E125" s="231" t="s">
        <v>650</v>
      </c>
      <c r="F125" s="163">
        <v>5</v>
      </c>
      <c r="G125" s="163">
        <v>120</v>
      </c>
      <c r="H125" s="163">
        <f t="shared" si="42"/>
        <v>50</v>
      </c>
      <c r="I125" s="299">
        <v>5</v>
      </c>
      <c r="J125" s="299">
        <v>120</v>
      </c>
      <c r="K125" s="106">
        <f t="shared" si="33"/>
        <v>0</v>
      </c>
      <c r="L125" s="106">
        <f t="shared" si="2"/>
        <v>0</v>
      </c>
      <c r="M125" s="106">
        <f t="shared" si="3"/>
        <v>0</v>
      </c>
      <c r="N125" s="77">
        <f t="shared" si="4"/>
        <v>1</v>
      </c>
      <c r="O125" s="106"/>
    </row>
    <row r="126" spans="2:15">
      <c r="B126" s="589"/>
      <c r="C126" s="163" t="s">
        <v>464</v>
      </c>
      <c r="D126" s="163">
        <v>968727</v>
      </c>
      <c r="E126" s="231" t="s">
        <v>650</v>
      </c>
      <c r="F126" s="163">
        <v>0</v>
      </c>
      <c r="G126" s="163">
        <v>127.295</v>
      </c>
      <c r="H126" s="163">
        <f t="shared" si="42"/>
        <v>50.918000000000006</v>
      </c>
      <c r="I126" s="299">
        <v>0</v>
      </c>
      <c r="J126" s="299">
        <v>127.295</v>
      </c>
      <c r="K126" s="106">
        <f t="shared" ref="K126" si="63">F126-I126</f>
        <v>0</v>
      </c>
      <c r="L126" s="106">
        <f t="shared" ref="L126" si="64">G126-J126</f>
        <v>0</v>
      </c>
      <c r="M126" s="106">
        <f t="shared" ref="M126" si="65">K126+L126</f>
        <v>0</v>
      </c>
      <c r="N126" s="77">
        <f t="shared" ref="N126" si="66">(I126+J126)/(F126+G126)</f>
        <v>1</v>
      </c>
      <c r="O126" s="106"/>
    </row>
    <row r="127" spans="2:15">
      <c r="B127" s="589"/>
      <c r="C127" s="163" t="s">
        <v>465</v>
      </c>
      <c r="D127" s="163">
        <v>962853</v>
      </c>
      <c r="E127" s="231" t="s">
        <v>650</v>
      </c>
      <c r="F127" s="163">
        <v>1</v>
      </c>
      <c r="G127" s="163">
        <v>137</v>
      </c>
      <c r="H127" s="163">
        <f t="shared" si="42"/>
        <v>55.2</v>
      </c>
      <c r="I127" s="299">
        <v>1</v>
      </c>
      <c r="J127" s="299">
        <v>137</v>
      </c>
      <c r="K127" s="106">
        <f t="shared" si="33"/>
        <v>0</v>
      </c>
      <c r="L127" s="106">
        <f t="shared" si="2"/>
        <v>0</v>
      </c>
      <c r="M127" s="106">
        <f t="shared" si="3"/>
        <v>0</v>
      </c>
      <c r="N127" s="77">
        <f t="shared" si="4"/>
        <v>1</v>
      </c>
      <c r="O127" s="106"/>
    </row>
    <row r="128" spans="2:15">
      <c r="B128" s="589"/>
      <c r="C128" s="163" t="s">
        <v>466</v>
      </c>
      <c r="D128" s="163">
        <v>962641</v>
      </c>
      <c r="E128" s="231" t="s">
        <v>650</v>
      </c>
      <c r="F128" s="163">
        <v>0</v>
      </c>
      <c r="G128" s="163">
        <v>22.85</v>
      </c>
      <c r="H128" s="163">
        <f t="shared" si="42"/>
        <v>9.14</v>
      </c>
      <c r="I128" s="299">
        <v>0</v>
      </c>
      <c r="J128" s="299">
        <v>22.85</v>
      </c>
      <c r="K128" s="106">
        <f t="shared" si="33"/>
        <v>0</v>
      </c>
      <c r="L128" s="106">
        <f t="shared" si="2"/>
        <v>0</v>
      </c>
      <c r="M128" s="106">
        <f t="shared" si="3"/>
        <v>0</v>
      </c>
      <c r="N128" s="77">
        <f t="shared" si="4"/>
        <v>1</v>
      </c>
      <c r="O128" s="106"/>
    </row>
    <row r="129" spans="2:15">
      <c r="B129" s="589"/>
      <c r="C129" s="163" t="s">
        <v>467</v>
      </c>
      <c r="D129" s="163">
        <v>959987</v>
      </c>
      <c r="E129" s="231" t="s">
        <v>650</v>
      </c>
      <c r="F129" s="163">
        <v>0</v>
      </c>
      <c r="G129" s="163">
        <v>146.636</v>
      </c>
      <c r="H129" s="163">
        <f t="shared" si="42"/>
        <v>58.654400000000003</v>
      </c>
      <c r="I129" s="299">
        <v>0</v>
      </c>
      <c r="J129" s="299">
        <v>146.636</v>
      </c>
      <c r="K129" s="106">
        <f t="shared" ref="K129" si="67">F129-I129</f>
        <v>0</v>
      </c>
      <c r="L129" s="106">
        <f t="shared" ref="L129" si="68">G129-J129</f>
        <v>0</v>
      </c>
      <c r="M129" s="106">
        <f t="shared" ref="M129" si="69">K129+L129</f>
        <v>0</v>
      </c>
      <c r="N129" s="77">
        <f t="shared" ref="N129" si="70">(I129+J129)/(F129+G129)</f>
        <v>1</v>
      </c>
      <c r="O129" s="106"/>
    </row>
    <row r="130" spans="2:15">
      <c r="B130" s="589"/>
      <c r="C130" s="163" t="s">
        <v>468</v>
      </c>
      <c r="D130" s="163">
        <v>956727</v>
      </c>
      <c r="E130" s="231" t="s">
        <v>650</v>
      </c>
      <c r="F130" s="163">
        <v>0.2</v>
      </c>
      <c r="G130" s="163">
        <v>100</v>
      </c>
      <c r="H130" s="163">
        <f t="shared" si="42"/>
        <v>40.080000000000005</v>
      </c>
      <c r="I130" s="262">
        <v>0.2</v>
      </c>
      <c r="J130" s="262">
        <v>100</v>
      </c>
      <c r="K130" s="123">
        <f t="shared" si="33"/>
        <v>0</v>
      </c>
      <c r="L130" s="106">
        <f t="shared" si="2"/>
        <v>0</v>
      </c>
      <c r="M130" s="106">
        <f t="shared" si="3"/>
        <v>0</v>
      </c>
      <c r="N130" s="77">
        <f t="shared" si="4"/>
        <v>1</v>
      </c>
      <c r="O130" s="106"/>
    </row>
    <row r="131" spans="2:15">
      <c r="B131" s="589"/>
      <c r="C131" s="163" t="s">
        <v>469</v>
      </c>
      <c r="D131" s="163">
        <v>969602</v>
      </c>
      <c r="E131" s="231" t="s">
        <v>650</v>
      </c>
      <c r="F131" s="163">
        <v>0</v>
      </c>
      <c r="G131" s="163">
        <v>134.11500000000001</v>
      </c>
      <c r="H131" s="163">
        <f t="shared" ref="H131:H157" si="71">((F131+G131)*0.4)</f>
        <v>53.646000000000008</v>
      </c>
      <c r="I131" s="299">
        <v>0</v>
      </c>
      <c r="J131" s="299">
        <v>134.11500000000001</v>
      </c>
      <c r="K131" s="106">
        <f t="shared" ref="K131:K132" si="72">F131-I131</f>
        <v>0</v>
      </c>
      <c r="L131" s="106">
        <f t="shared" ref="L131:L132" si="73">G131-J131</f>
        <v>0</v>
      </c>
      <c r="M131" s="106">
        <f t="shared" ref="M131:M132" si="74">K131+L131</f>
        <v>0</v>
      </c>
      <c r="N131" s="77">
        <f t="shared" ref="N131:N132" si="75">(I131+J131)/(F131+G131)</f>
        <v>1</v>
      </c>
      <c r="O131" s="106"/>
    </row>
    <row r="132" spans="2:15">
      <c r="B132" s="589"/>
      <c r="C132" s="163" t="s">
        <v>470</v>
      </c>
      <c r="D132" s="163">
        <v>959366</v>
      </c>
      <c r="E132" s="231" t="s">
        <v>650</v>
      </c>
      <c r="F132" s="163">
        <v>0</v>
      </c>
      <c r="G132" s="163">
        <v>103.81399999999999</v>
      </c>
      <c r="H132" s="163">
        <f t="shared" si="71"/>
        <v>41.525599999999997</v>
      </c>
      <c r="I132" s="299">
        <v>0</v>
      </c>
      <c r="J132" s="299">
        <v>103.81399999999999</v>
      </c>
      <c r="K132" s="106">
        <f t="shared" si="72"/>
        <v>0</v>
      </c>
      <c r="L132" s="106">
        <f t="shared" si="73"/>
        <v>0</v>
      </c>
      <c r="M132" s="106">
        <f t="shared" si="74"/>
        <v>0</v>
      </c>
      <c r="N132" s="77">
        <f t="shared" si="75"/>
        <v>1</v>
      </c>
      <c r="O132" s="106"/>
    </row>
    <row r="133" spans="2:15">
      <c r="B133" s="589"/>
      <c r="C133" s="163" t="s">
        <v>471</v>
      </c>
      <c r="D133" s="163">
        <v>960959</v>
      </c>
      <c r="E133" s="231" t="s">
        <v>650</v>
      </c>
      <c r="F133" s="163">
        <v>0</v>
      </c>
      <c r="G133" s="163">
        <v>110</v>
      </c>
      <c r="H133" s="163">
        <f t="shared" si="71"/>
        <v>44</v>
      </c>
      <c r="I133" s="299">
        <v>0</v>
      </c>
      <c r="J133" s="299">
        <v>110</v>
      </c>
      <c r="K133" s="106">
        <f t="shared" si="33"/>
        <v>0</v>
      </c>
      <c r="L133" s="106">
        <f t="shared" si="2"/>
        <v>0</v>
      </c>
      <c r="M133" s="106">
        <f t="shared" si="3"/>
        <v>0</v>
      </c>
      <c r="N133" s="77">
        <f t="shared" si="4"/>
        <v>1</v>
      </c>
      <c r="O133" s="106"/>
    </row>
    <row r="134" spans="2:15">
      <c r="B134" s="589"/>
      <c r="C134" s="163" t="s">
        <v>472</v>
      </c>
      <c r="D134" s="163">
        <v>964441</v>
      </c>
      <c r="E134" s="231" t="s">
        <v>650</v>
      </c>
      <c r="F134" s="163">
        <v>0</v>
      </c>
      <c r="G134" s="163">
        <v>60.25</v>
      </c>
      <c r="H134" s="163">
        <f t="shared" si="71"/>
        <v>24.1</v>
      </c>
      <c r="I134" s="299">
        <v>0</v>
      </c>
      <c r="J134" s="299">
        <v>60.25</v>
      </c>
      <c r="K134" s="106">
        <f t="shared" ref="K134:K135" si="76">F134-I134</f>
        <v>0</v>
      </c>
      <c r="L134" s="106">
        <f t="shared" ref="L134:L135" si="77">G134-J134</f>
        <v>0</v>
      </c>
      <c r="M134" s="106">
        <f t="shared" ref="M134:M135" si="78">K134+L134</f>
        <v>0</v>
      </c>
      <c r="N134" s="77">
        <f t="shared" ref="N134:N135" si="79">(I134+J134)/(F134+G134)</f>
        <v>1</v>
      </c>
      <c r="O134" s="106"/>
    </row>
    <row r="135" spans="2:15">
      <c r="B135" s="589"/>
      <c r="C135" s="163" t="s">
        <v>473</v>
      </c>
      <c r="D135" s="163">
        <v>967596</v>
      </c>
      <c r="E135" s="231" t="s">
        <v>650</v>
      </c>
      <c r="F135" s="163">
        <v>1.054</v>
      </c>
      <c r="G135" s="163">
        <v>2.6920000000000002</v>
      </c>
      <c r="H135" s="163">
        <f t="shared" si="71"/>
        <v>1.4984000000000002</v>
      </c>
      <c r="I135" s="299">
        <v>1.054</v>
      </c>
      <c r="J135" s="299">
        <v>2.6920000000000002</v>
      </c>
      <c r="K135" s="106">
        <f t="shared" si="76"/>
        <v>0</v>
      </c>
      <c r="L135" s="106">
        <f t="shared" si="77"/>
        <v>0</v>
      </c>
      <c r="M135" s="106">
        <f t="shared" si="78"/>
        <v>0</v>
      </c>
      <c r="N135" s="77">
        <f t="shared" si="79"/>
        <v>1</v>
      </c>
      <c r="O135" s="106"/>
    </row>
    <row r="136" spans="2:15">
      <c r="B136" s="589"/>
      <c r="C136" s="163" t="s">
        <v>474</v>
      </c>
      <c r="D136" s="163">
        <v>969257</v>
      </c>
      <c r="E136" s="231" t="s">
        <v>650</v>
      </c>
      <c r="F136" s="163">
        <v>0</v>
      </c>
      <c r="G136" s="163">
        <v>104.76900000000001</v>
      </c>
      <c r="H136" s="163">
        <f t="shared" si="71"/>
        <v>41.907600000000002</v>
      </c>
      <c r="I136" s="299">
        <v>0</v>
      </c>
      <c r="J136" s="299">
        <v>104.76900000000001</v>
      </c>
      <c r="K136" s="106">
        <f t="shared" si="33"/>
        <v>0</v>
      </c>
      <c r="L136" s="106">
        <f t="shared" si="2"/>
        <v>0</v>
      </c>
      <c r="M136" s="106">
        <f t="shared" si="3"/>
        <v>0</v>
      </c>
      <c r="N136" s="77">
        <f t="shared" si="4"/>
        <v>1</v>
      </c>
      <c r="O136" s="106"/>
    </row>
    <row r="137" spans="2:15">
      <c r="B137" s="589"/>
      <c r="C137" s="163" t="s">
        <v>475</v>
      </c>
      <c r="D137" s="163">
        <v>956244</v>
      </c>
      <c r="E137" s="231" t="s">
        <v>650</v>
      </c>
      <c r="F137" s="163">
        <v>17</v>
      </c>
      <c r="G137" s="163">
        <v>213</v>
      </c>
      <c r="H137" s="163">
        <f t="shared" si="71"/>
        <v>92</v>
      </c>
      <c r="I137" s="299">
        <v>17</v>
      </c>
      <c r="J137" s="323">
        <v>134.197</v>
      </c>
      <c r="K137" s="106">
        <f t="shared" si="33"/>
        <v>0</v>
      </c>
      <c r="L137" s="106">
        <f t="shared" si="2"/>
        <v>78.802999999999997</v>
      </c>
      <c r="M137" s="106">
        <f t="shared" si="3"/>
        <v>78.802999999999997</v>
      </c>
      <c r="N137" s="77">
        <f t="shared" si="4"/>
        <v>0.65737826086956519</v>
      </c>
      <c r="O137" s="106"/>
    </row>
    <row r="138" spans="2:15">
      <c r="B138" s="589"/>
      <c r="C138" s="163" t="s">
        <v>476</v>
      </c>
      <c r="D138" s="163">
        <v>960658</v>
      </c>
      <c r="E138" s="231" t="s">
        <v>650</v>
      </c>
      <c r="F138" s="163">
        <v>0</v>
      </c>
      <c r="G138" s="163">
        <v>50</v>
      </c>
      <c r="H138" s="163">
        <f t="shared" si="71"/>
        <v>20</v>
      </c>
      <c r="I138" s="299">
        <v>0</v>
      </c>
      <c r="J138" s="299">
        <v>50</v>
      </c>
      <c r="K138" s="106">
        <f t="shared" si="33"/>
        <v>0</v>
      </c>
      <c r="L138" s="106">
        <f t="shared" si="2"/>
        <v>0</v>
      </c>
      <c r="M138" s="106">
        <f t="shared" si="3"/>
        <v>0</v>
      </c>
      <c r="N138" s="77">
        <f t="shared" si="4"/>
        <v>1</v>
      </c>
      <c r="O138" s="106"/>
    </row>
    <row r="139" spans="2:15">
      <c r="B139" s="589"/>
      <c r="C139" s="163" t="s">
        <v>477</v>
      </c>
      <c r="D139" s="163">
        <v>968132</v>
      </c>
      <c r="E139" s="231" t="s">
        <v>650</v>
      </c>
      <c r="F139" s="163">
        <v>0</v>
      </c>
      <c r="G139" s="163">
        <v>114.78400000000001</v>
      </c>
      <c r="H139" s="163">
        <f t="shared" si="71"/>
        <v>45.913600000000002</v>
      </c>
      <c r="I139" s="299">
        <v>0</v>
      </c>
      <c r="J139" s="299">
        <v>114.78400000000001</v>
      </c>
      <c r="K139" s="106">
        <f t="shared" ref="K139" si="80">F139-I139</f>
        <v>0</v>
      </c>
      <c r="L139" s="106">
        <f t="shared" ref="L139" si="81">G139-J139</f>
        <v>0</v>
      </c>
      <c r="M139" s="106">
        <f t="shared" ref="M139" si="82">K139+L139</f>
        <v>0</v>
      </c>
      <c r="N139" s="77">
        <f t="shared" ref="N139" si="83">(I139+J139)/(F139+G139)</f>
        <v>1</v>
      </c>
      <c r="O139" s="106"/>
    </row>
    <row r="140" spans="2:15">
      <c r="B140" s="589"/>
      <c r="C140" s="163" t="s">
        <v>478</v>
      </c>
      <c r="D140" s="163">
        <v>968681</v>
      </c>
      <c r="E140" s="231" t="s">
        <v>650</v>
      </c>
      <c r="F140" s="163">
        <v>5</v>
      </c>
      <c r="G140" s="163">
        <v>115</v>
      </c>
      <c r="H140" s="163">
        <f t="shared" si="71"/>
        <v>48</v>
      </c>
      <c r="I140" s="299">
        <v>5</v>
      </c>
      <c r="J140" s="299">
        <v>115</v>
      </c>
      <c r="K140" s="106">
        <f t="shared" si="33"/>
        <v>0</v>
      </c>
      <c r="L140" s="106">
        <f t="shared" si="2"/>
        <v>0</v>
      </c>
      <c r="M140" s="106">
        <f t="shared" si="3"/>
        <v>0</v>
      </c>
      <c r="N140" s="77">
        <f t="shared" si="4"/>
        <v>1</v>
      </c>
      <c r="O140" s="106"/>
    </row>
    <row r="141" spans="2:15">
      <c r="B141" s="589"/>
      <c r="C141" s="163" t="s">
        <v>479</v>
      </c>
      <c r="D141" s="163">
        <v>697487</v>
      </c>
      <c r="E141" s="231" t="s">
        <v>650</v>
      </c>
      <c r="F141" s="163">
        <v>29.827999999999999</v>
      </c>
      <c r="G141" s="163">
        <v>0</v>
      </c>
      <c r="H141" s="163">
        <f t="shared" si="71"/>
        <v>11.9312</v>
      </c>
      <c r="I141" s="262">
        <v>29.827999999999999</v>
      </c>
      <c r="J141" s="299">
        <v>0</v>
      </c>
      <c r="K141" s="123">
        <f t="shared" si="33"/>
        <v>0</v>
      </c>
      <c r="L141" s="106">
        <f t="shared" si="2"/>
        <v>0</v>
      </c>
      <c r="M141" s="123">
        <f t="shared" si="3"/>
        <v>0</v>
      </c>
      <c r="N141" s="77">
        <f t="shared" si="4"/>
        <v>1</v>
      </c>
      <c r="O141" s="106"/>
    </row>
    <row r="142" spans="2:15">
      <c r="B142" s="589"/>
      <c r="C142" s="163" t="s">
        <v>480</v>
      </c>
      <c r="D142" s="163">
        <v>953883</v>
      </c>
      <c r="E142" s="231" t="s">
        <v>650</v>
      </c>
      <c r="F142" s="163">
        <v>0</v>
      </c>
      <c r="G142" s="163">
        <v>122.5</v>
      </c>
      <c r="H142" s="163">
        <f t="shared" si="71"/>
        <v>49</v>
      </c>
      <c r="I142" s="299">
        <v>0</v>
      </c>
      <c r="J142" s="299">
        <v>122.5</v>
      </c>
      <c r="K142" s="106">
        <f t="shared" si="33"/>
        <v>0</v>
      </c>
      <c r="L142" s="106">
        <f t="shared" si="2"/>
        <v>0</v>
      </c>
      <c r="M142" s="106">
        <f t="shared" si="3"/>
        <v>0</v>
      </c>
      <c r="N142" s="77">
        <f t="shared" si="4"/>
        <v>1</v>
      </c>
      <c r="O142" s="106"/>
    </row>
    <row r="143" spans="2:15">
      <c r="B143" s="589"/>
      <c r="C143" s="163" t="s">
        <v>481</v>
      </c>
      <c r="D143" s="163">
        <v>961377</v>
      </c>
      <c r="E143" s="231" t="s">
        <v>650</v>
      </c>
      <c r="F143" s="163">
        <v>1</v>
      </c>
      <c r="G143" s="163">
        <v>0</v>
      </c>
      <c r="H143" s="163">
        <f t="shared" si="71"/>
        <v>0.4</v>
      </c>
      <c r="I143" s="299">
        <v>0</v>
      </c>
      <c r="J143" s="299">
        <v>0</v>
      </c>
      <c r="K143" s="106">
        <f t="shared" ref="K143:K145" si="84">F143-I143</f>
        <v>1</v>
      </c>
      <c r="L143" s="106">
        <f t="shared" ref="L143:L145" si="85">G143-J143</f>
        <v>0</v>
      </c>
      <c r="M143" s="106">
        <f t="shared" ref="M143:M145" si="86">K143+L143</f>
        <v>1</v>
      </c>
      <c r="N143" s="77">
        <f t="shared" ref="N143:N145" si="87">(I143+J143)/(F143+G143)</f>
        <v>0</v>
      </c>
      <c r="O143" s="106"/>
    </row>
    <row r="144" spans="2:15">
      <c r="B144" s="589"/>
      <c r="C144" s="163" t="s">
        <v>482</v>
      </c>
      <c r="D144" s="163">
        <v>910836</v>
      </c>
      <c r="E144" s="231" t="s">
        <v>650</v>
      </c>
      <c r="F144" s="163">
        <v>0</v>
      </c>
      <c r="G144" s="163">
        <v>8.4659999999999993</v>
      </c>
      <c r="H144" s="163">
        <f t="shared" si="71"/>
        <v>3.3864000000000001</v>
      </c>
      <c r="I144" s="299">
        <v>0</v>
      </c>
      <c r="J144" s="299">
        <v>8.4659999999999993</v>
      </c>
      <c r="K144" s="106">
        <f t="shared" si="84"/>
        <v>0</v>
      </c>
      <c r="L144" s="106">
        <f t="shared" si="85"/>
        <v>0</v>
      </c>
      <c r="M144" s="106">
        <f t="shared" si="86"/>
        <v>0</v>
      </c>
      <c r="N144" s="77">
        <f t="shared" si="87"/>
        <v>1</v>
      </c>
      <c r="O144" s="106"/>
    </row>
    <row r="145" spans="2:15">
      <c r="B145" s="589"/>
      <c r="C145" s="163" t="s">
        <v>483</v>
      </c>
      <c r="D145" s="163">
        <v>966129</v>
      </c>
      <c r="E145" s="231" t="s">
        <v>650</v>
      </c>
      <c r="F145" s="163">
        <v>0</v>
      </c>
      <c r="G145" s="163">
        <v>190.423</v>
      </c>
      <c r="H145" s="163">
        <f t="shared" si="71"/>
        <v>76.169200000000004</v>
      </c>
      <c r="I145" s="299">
        <v>0</v>
      </c>
      <c r="J145" s="323">
        <v>39.511000000000003</v>
      </c>
      <c r="K145" s="106">
        <f t="shared" si="84"/>
        <v>0</v>
      </c>
      <c r="L145" s="106">
        <f t="shared" si="85"/>
        <v>150.91200000000001</v>
      </c>
      <c r="M145" s="106">
        <f t="shared" si="86"/>
        <v>150.91200000000001</v>
      </c>
      <c r="N145" s="77">
        <f t="shared" si="87"/>
        <v>0.20749069177567836</v>
      </c>
      <c r="O145" s="106"/>
    </row>
    <row r="146" spans="2:15">
      <c r="B146" s="589"/>
      <c r="C146" s="163" t="s">
        <v>484</v>
      </c>
      <c r="D146" s="163">
        <v>969525</v>
      </c>
      <c r="E146" s="231" t="s">
        <v>650</v>
      </c>
      <c r="F146" s="163">
        <v>0</v>
      </c>
      <c r="G146" s="163">
        <v>251.363</v>
      </c>
      <c r="H146" s="163">
        <f t="shared" si="71"/>
        <v>100.54520000000001</v>
      </c>
      <c r="I146" s="299">
        <v>0</v>
      </c>
      <c r="J146" s="299">
        <v>251.363</v>
      </c>
      <c r="K146" s="106">
        <f t="shared" si="33"/>
        <v>0</v>
      </c>
      <c r="L146" s="106">
        <f t="shared" si="2"/>
        <v>0</v>
      </c>
      <c r="M146" s="106">
        <f t="shared" si="3"/>
        <v>0</v>
      </c>
      <c r="N146" s="77">
        <f t="shared" si="4"/>
        <v>1</v>
      </c>
      <c r="O146" s="106"/>
    </row>
    <row r="147" spans="2:15">
      <c r="B147" s="589"/>
      <c r="C147" s="163" t="s">
        <v>485</v>
      </c>
      <c r="D147" s="163">
        <v>952345</v>
      </c>
      <c r="E147" s="231" t="s">
        <v>650</v>
      </c>
      <c r="F147" s="163">
        <v>0</v>
      </c>
      <c r="G147" s="163">
        <v>0.86899999999999999</v>
      </c>
      <c r="H147" s="163">
        <f t="shared" si="71"/>
        <v>0.34760000000000002</v>
      </c>
      <c r="I147" s="299">
        <v>0</v>
      </c>
      <c r="J147" s="262">
        <v>0.86899999999999999</v>
      </c>
      <c r="K147" s="106">
        <f t="shared" ref="K147" si="88">F147-I147</f>
        <v>0</v>
      </c>
      <c r="L147" s="123">
        <f t="shared" ref="L147" si="89">G147-J147</f>
        <v>0</v>
      </c>
      <c r="M147" s="123">
        <f t="shared" ref="M147" si="90">K147+L147</f>
        <v>0</v>
      </c>
      <c r="N147" s="77">
        <f t="shared" ref="N147" si="91">(I147+J147)/(F147+G147)</f>
        <v>1</v>
      </c>
      <c r="O147" s="106"/>
    </row>
    <row r="148" spans="2:15">
      <c r="B148" s="589"/>
      <c r="C148" s="163" t="s">
        <v>486</v>
      </c>
      <c r="D148" s="163">
        <v>968520</v>
      </c>
      <c r="E148" s="231" t="s">
        <v>650</v>
      </c>
      <c r="F148" s="163">
        <v>0</v>
      </c>
      <c r="G148" s="163">
        <v>193.505</v>
      </c>
      <c r="H148" s="163">
        <f t="shared" si="71"/>
        <v>77.402000000000001</v>
      </c>
      <c r="I148" s="299">
        <v>0</v>
      </c>
      <c r="J148" s="299">
        <v>193.505</v>
      </c>
      <c r="K148" s="106">
        <f t="shared" si="33"/>
        <v>0</v>
      </c>
      <c r="L148" s="106">
        <f t="shared" si="2"/>
        <v>0</v>
      </c>
      <c r="M148" s="106">
        <f t="shared" si="3"/>
        <v>0</v>
      </c>
      <c r="N148" s="77">
        <f t="shared" si="4"/>
        <v>1</v>
      </c>
      <c r="O148" s="106"/>
    </row>
    <row r="149" spans="2:15">
      <c r="B149" s="589"/>
      <c r="C149" s="163" t="s">
        <v>487</v>
      </c>
      <c r="D149" s="163">
        <v>962103</v>
      </c>
      <c r="E149" s="231" t="s">
        <v>650</v>
      </c>
      <c r="F149" s="163">
        <v>13.13</v>
      </c>
      <c r="G149" s="163">
        <v>0</v>
      </c>
      <c r="H149" s="163">
        <f t="shared" si="71"/>
        <v>5.2520000000000007</v>
      </c>
      <c r="I149" s="262">
        <v>13.13</v>
      </c>
      <c r="J149" s="299">
        <v>0</v>
      </c>
      <c r="K149" s="123">
        <f t="shared" si="33"/>
        <v>0</v>
      </c>
      <c r="L149" s="106">
        <f t="shared" si="2"/>
        <v>0</v>
      </c>
      <c r="M149" s="123">
        <f t="shared" si="3"/>
        <v>0</v>
      </c>
      <c r="N149" s="77">
        <f t="shared" si="4"/>
        <v>1</v>
      </c>
      <c r="O149" s="106"/>
    </row>
    <row r="150" spans="2:15">
      <c r="B150" s="589"/>
      <c r="C150" s="163" t="s">
        <v>488</v>
      </c>
      <c r="D150" s="163">
        <v>969061</v>
      </c>
      <c r="E150" s="231" t="s">
        <v>650</v>
      </c>
      <c r="F150" s="163">
        <v>10</v>
      </c>
      <c r="G150" s="163">
        <v>160</v>
      </c>
      <c r="H150" s="163">
        <f t="shared" si="71"/>
        <v>68</v>
      </c>
      <c r="I150" s="299">
        <v>10</v>
      </c>
      <c r="J150" s="299">
        <v>160</v>
      </c>
      <c r="K150" s="106">
        <f t="shared" si="33"/>
        <v>0</v>
      </c>
      <c r="L150" s="106">
        <f t="shared" si="2"/>
        <v>0</v>
      </c>
      <c r="M150" s="106">
        <f t="shared" si="3"/>
        <v>0</v>
      </c>
      <c r="N150" s="77">
        <f t="shared" si="4"/>
        <v>1</v>
      </c>
      <c r="O150" s="106"/>
    </row>
    <row r="151" spans="2:15">
      <c r="B151" s="589"/>
      <c r="C151" s="163" t="s">
        <v>489</v>
      </c>
      <c r="D151" s="163">
        <v>966410</v>
      </c>
      <c r="E151" s="231" t="s">
        <v>650</v>
      </c>
      <c r="F151" s="163">
        <v>4.5540000000000003</v>
      </c>
      <c r="G151" s="163">
        <v>34.088999999999999</v>
      </c>
      <c r="H151" s="163">
        <f t="shared" si="71"/>
        <v>15.4572</v>
      </c>
      <c r="I151" s="299">
        <v>4.5540000000000003</v>
      </c>
      <c r="J151" s="299">
        <v>34.088999999999999</v>
      </c>
      <c r="K151" s="106">
        <f t="shared" ref="K151:K158" si="92">F151-I151</f>
        <v>0</v>
      </c>
      <c r="L151" s="106">
        <f t="shared" si="2"/>
        <v>0</v>
      </c>
      <c r="M151" s="106">
        <f t="shared" si="3"/>
        <v>0</v>
      </c>
      <c r="N151" s="77">
        <f t="shared" si="4"/>
        <v>1</v>
      </c>
      <c r="O151" s="106"/>
    </row>
    <row r="152" spans="2:15">
      <c r="B152" s="589"/>
      <c r="C152" s="163" t="s">
        <v>490</v>
      </c>
      <c r="D152" s="163">
        <v>698337</v>
      </c>
      <c r="E152" s="231" t="s">
        <v>650</v>
      </c>
      <c r="F152" s="163">
        <v>0</v>
      </c>
      <c r="G152" s="163">
        <v>50</v>
      </c>
      <c r="H152" s="163">
        <f t="shared" si="71"/>
        <v>20</v>
      </c>
      <c r="I152" s="299">
        <v>0</v>
      </c>
      <c r="J152" s="262">
        <v>50</v>
      </c>
      <c r="K152" s="106">
        <f t="shared" si="92"/>
        <v>0</v>
      </c>
      <c r="L152" s="106">
        <f t="shared" ref="L152:L158" si="93">G152-J152</f>
        <v>0</v>
      </c>
      <c r="M152" s="106">
        <f t="shared" ref="M152:M158" si="94">K152+L152</f>
        <v>0</v>
      </c>
      <c r="N152" s="77">
        <f t="shared" ref="N152:N158" si="95">(I152+J152)/(F152+G152)</f>
        <v>1</v>
      </c>
      <c r="O152" s="106"/>
    </row>
    <row r="153" spans="2:15">
      <c r="B153" s="589"/>
      <c r="C153" s="163" t="s">
        <v>491</v>
      </c>
      <c r="D153" s="163">
        <v>926065</v>
      </c>
      <c r="E153" s="231" t="s">
        <v>650</v>
      </c>
      <c r="F153" s="163">
        <v>72.465000000000003</v>
      </c>
      <c r="G153" s="163">
        <v>104.06699999999999</v>
      </c>
      <c r="H153" s="163">
        <f t="shared" si="71"/>
        <v>70.612799999999993</v>
      </c>
      <c r="I153" s="299">
        <v>72.465000000000003</v>
      </c>
      <c r="J153" s="299">
        <v>104.06699999999999</v>
      </c>
      <c r="K153" s="106">
        <f>F153-I153</f>
        <v>0</v>
      </c>
      <c r="L153" s="106">
        <f>G153-J153</f>
        <v>0</v>
      </c>
      <c r="M153" s="106">
        <f>K153+L153</f>
        <v>0</v>
      </c>
      <c r="N153" s="77">
        <f>(I153+J153)/(F153+G153)</f>
        <v>1</v>
      </c>
      <c r="O153" s="106"/>
    </row>
    <row r="154" spans="2:15">
      <c r="B154" s="589"/>
      <c r="C154" s="163" t="s">
        <v>492</v>
      </c>
      <c r="D154" s="163">
        <v>968588</v>
      </c>
      <c r="E154" s="231" t="s">
        <v>650</v>
      </c>
      <c r="F154" s="163">
        <v>15</v>
      </c>
      <c r="G154" s="163">
        <v>120</v>
      </c>
      <c r="H154" s="163">
        <f t="shared" si="71"/>
        <v>54</v>
      </c>
      <c r="I154" s="299">
        <v>15</v>
      </c>
      <c r="J154" s="299">
        <v>120</v>
      </c>
      <c r="K154" s="106">
        <f>F154-I154</f>
        <v>0</v>
      </c>
      <c r="L154" s="106">
        <f>G154-J154</f>
        <v>0</v>
      </c>
      <c r="M154" s="106">
        <f>K154+L154</f>
        <v>0</v>
      </c>
      <c r="N154" s="77">
        <f>(I154+J154)/(F154+G154)</f>
        <v>1</v>
      </c>
      <c r="O154" s="106"/>
    </row>
    <row r="155" spans="2:15">
      <c r="B155" s="589"/>
      <c r="C155" s="163" t="s">
        <v>493</v>
      </c>
      <c r="D155" s="163">
        <v>950918</v>
      </c>
      <c r="E155" s="231" t="s">
        <v>650</v>
      </c>
      <c r="F155" s="163">
        <v>105.11199999999999</v>
      </c>
      <c r="G155" s="163">
        <v>77.694000000000003</v>
      </c>
      <c r="H155" s="163">
        <f t="shared" si="71"/>
        <v>73.122399999999999</v>
      </c>
      <c r="I155" s="299">
        <v>105.11199999999999</v>
      </c>
      <c r="J155" s="299">
        <v>77.694000000000003</v>
      </c>
      <c r="K155" s="106">
        <f t="shared" si="92"/>
        <v>0</v>
      </c>
      <c r="L155" s="106">
        <f t="shared" si="93"/>
        <v>0</v>
      </c>
      <c r="M155" s="106">
        <f t="shared" si="94"/>
        <v>0</v>
      </c>
      <c r="N155" s="77">
        <f t="shared" si="95"/>
        <v>1</v>
      </c>
      <c r="O155" s="106"/>
    </row>
    <row r="156" spans="2:15">
      <c r="B156" s="589"/>
      <c r="C156" s="163" t="s">
        <v>494</v>
      </c>
      <c r="D156" s="163">
        <v>960054</v>
      </c>
      <c r="E156" s="231" t="s">
        <v>650</v>
      </c>
      <c r="F156" s="163">
        <v>0</v>
      </c>
      <c r="G156" s="163">
        <v>20.48</v>
      </c>
      <c r="H156" s="163">
        <f t="shared" si="71"/>
        <v>8.1920000000000002</v>
      </c>
      <c r="I156" s="299">
        <v>0</v>
      </c>
      <c r="J156" s="262">
        <v>20.48</v>
      </c>
      <c r="K156" s="106">
        <f t="shared" ref="K156" si="96">F156-I156</f>
        <v>0</v>
      </c>
      <c r="L156" s="123">
        <f t="shared" ref="L156" si="97">G156-J156</f>
        <v>0</v>
      </c>
      <c r="M156" s="123">
        <f t="shared" ref="M156" si="98">K156+L156</f>
        <v>0</v>
      </c>
      <c r="N156" s="77">
        <f t="shared" ref="N156" si="99">(I156+J156)/(F156+G156)</f>
        <v>1</v>
      </c>
      <c r="O156" s="106"/>
    </row>
    <row r="157" spans="2:15">
      <c r="B157" s="589"/>
      <c r="C157" s="163" t="s">
        <v>495</v>
      </c>
      <c r="D157" s="163">
        <v>963890</v>
      </c>
      <c r="E157" s="231" t="s">
        <v>650</v>
      </c>
      <c r="F157" s="163">
        <v>0</v>
      </c>
      <c r="G157" s="163">
        <v>26.288</v>
      </c>
      <c r="H157" s="163">
        <f t="shared" si="71"/>
        <v>10.5152</v>
      </c>
      <c r="I157" s="299">
        <v>0</v>
      </c>
      <c r="J157" s="299">
        <v>0</v>
      </c>
      <c r="K157" s="106">
        <f t="shared" si="92"/>
        <v>0</v>
      </c>
      <c r="L157" s="106">
        <f t="shared" si="93"/>
        <v>26.288</v>
      </c>
      <c r="M157" s="106">
        <f t="shared" si="94"/>
        <v>26.288</v>
      </c>
      <c r="N157" s="77">
        <f t="shared" si="95"/>
        <v>0</v>
      </c>
      <c r="O157" s="106"/>
    </row>
    <row r="158" spans="2:15">
      <c r="B158" s="589"/>
      <c r="C158" s="163" t="s">
        <v>496</v>
      </c>
      <c r="D158" s="163">
        <v>953884</v>
      </c>
      <c r="E158" s="231" t="s">
        <v>650</v>
      </c>
      <c r="F158" s="163">
        <v>10</v>
      </c>
      <c r="G158" s="163">
        <v>110</v>
      </c>
      <c r="H158" s="163">
        <f>((F158+G158)*0.4)</f>
        <v>48</v>
      </c>
      <c r="I158" s="299">
        <v>10</v>
      </c>
      <c r="J158" s="299">
        <v>110</v>
      </c>
      <c r="K158" s="106">
        <f t="shared" si="92"/>
        <v>0</v>
      </c>
      <c r="L158" s="106">
        <f t="shared" si="93"/>
        <v>0</v>
      </c>
      <c r="M158" s="106">
        <f t="shared" si="94"/>
        <v>0</v>
      </c>
      <c r="N158" s="77">
        <f t="shared" si="95"/>
        <v>1</v>
      </c>
      <c r="O158" s="106"/>
    </row>
    <row r="159" spans="2:15">
      <c r="B159" s="590" t="s">
        <v>285</v>
      </c>
      <c r="C159" s="105" t="s">
        <v>498</v>
      </c>
      <c r="D159" s="87">
        <v>969106</v>
      </c>
      <c r="E159" s="231" t="s">
        <v>650</v>
      </c>
      <c r="F159" s="573">
        <v>74.290999999999997</v>
      </c>
      <c r="G159" s="573">
        <v>452.77800000000002</v>
      </c>
      <c r="H159" s="573">
        <f>((F159+G159)*0.4)</f>
        <v>210.82759999999999</v>
      </c>
      <c r="I159" s="105">
        <v>74.290999999999997</v>
      </c>
      <c r="J159" s="105">
        <v>452.77800000000002</v>
      </c>
      <c r="K159" s="554">
        <f>F159-(I159+I160)</f>
        <v>0</v>
      </c>
      <c r="L159" s="554">
        <f>G159-(J159+J160)</f>
        <v>0</v>
      </c>
      <c r="M159" s="562">
        <f>K159+L159</f>
        <v>0</v>
      </c>
      <c r="N159" s="564">
        <f>((I159+I160)+(J159+J160))/(F159+G159)</f>
        <v>1</v>
      </c>
      <c r="O159" s="106"/>
    </row>
    <row r="160" spans="2:15">
      <c r="B160" s="591"/>
      <c r="C160" s="105" t="s">
        <v>499</v>
      </c>
      <c r="D160" s="105">
        <v>968160</v>
      </c>
      <c r="E160" s="231" t="s">
        <v>650</v>
      </c>
      <c r="F160" s="574"/>
      <c r="G160" s="574"/>
      <c r="H160" s="574"/>
      <c r="I160" s="105"/>
      <c r="J160" s="105"/>
      <c r="K160" s="555"/>
      <c r="L160" s="555"/>
      <c r="M160" s="563"/>
      <c r="N160" s="565"/>
      <c r="O160" s="106"/>
    </row>
    <row r="161" spans="2:15">
      <c r="B161" s="591"/>
      <c r="C161" s="105" t="s">
        <v>500</v>
      </c>
      <c r="D161" s="105">
        <v>966875</v>
      </c>
      <c r="E161" s="231" t="s">
        <v>650</v>
      </c>
      <c r="F161" s="573">
        <v>415</v>
      </c>
      <c r="G161" s="573">
        <v>1144.9000000000001</v>
      </c>
      <c r="H161" s="573">
        <f>((F161+G161)*0.4)</f>
        <v>623.96</v>
      </c>
      <c r="I161" s="300">
        <v>415</v>
      </c>
      <c r="J161" s="300">
        <v>1144.9000000000001</v>
      </c>
      <c r="K161" s="554">
        <f>F161-(I161+I162)</f>
        <v>0</v>
      </c>
      <c r="L161" s="554">
        <f>G161-(J161+J162)</f>
        <v>0</v>
      </c>
      <c r="M161" s="562">
        <f>K161+L161</f>
        <v>0</v>
      </c>
      <c r="N161" s="564">
        <f>((I161+I162)+(J161+J162))/(F161+G161)</f>
        <v>1</v>
      </c>
      <c r="O161" s="106"/>
    </row>
    <row r="162" spans="2:15">
      <c r="B162" s="591"/>
      <c r="C162" s="105" t="s">
        <v>490</v>
      </c>
      <c r="D162" s="105">
        <v>958905</v>
      </c>
      <c r="E162" s="231" t="s">
        <v>650</v>
      </c>
      <c r="F162" s="575"/>
      <c r="G162" s="575"/>
      <c r="H162" s="575"/>
      <c r="I162" s="104"/>
      <c r="J162" s="105"/>
      <c r="K162" s="555"/>
      <c r="L162" s="555"/>
      <c r="M162" s="563"/>
      <c r="N162" s="565"/>
      <c r="O162" s="106"/>
    </row>
    <row r="163" spans="2:15">
      <c r="B163" s="591"/>
      <c r="C163" s="105" t="s">
        <v>356</v>
      </c>
      <c r="D163" s="105">
        <v>966146</v>
      </c>
      <c r="E163" s="231" t="s">
        <v>650</v>
      </c>
      <c r="F163" s="588">
        <v>1E-3</v>
      </c>
      <c r="G163" s="588">
        <v>1E-3</v>
      </c>
      <c r="H163" s="588">
        <f>((F163+G163)*0.4)</f>
        <v>8.0000000000000004E-4</v>
      </c>
      <c r="I163" s="105">
        <v>1E-3</v>
      </c>
      <c r="J163" s="105">
        <v>1E-3</v>
      </c>
      <c r="K163" s="554">
        <f>F163-(I163+I164)</f>
        <v>0</v>
      </c>
      <c r="L163" s="554">
        <f>G163-(J163+J164)</f>
        <v>0</v>
      </c>
      <c r="M163" s="562">
        <f>K163+L163</f>
        <v>0</v>
      </c>
      <c r="N163" s="564">
        <f>((I163+I164)+(J163+J164))/(F163+G163)</f>
        <v>1</v>
      </c>
      <c r="O163" s="106"/>
    </row>
    <row r="164" spans="2:15">
      <c r="B164" s="591"/>
      <c r="C164" s="105" t="s">
        <v>501</v>
      </c>
      <c r="D164" s="87">
        <v>959370</v>
      </c>
      <c r="E164" s="231" t="s">
        <v>650</v>
      </c>
      <c r="F164" s="588"/>
      <c r="G164" s="588"/>
      <c r="H164" s="588"/>
      <c r="I164" s="105"/>
      <c r="J164" s="105"/>
      <c r="K164" s="555"/>
      <c r="L164" s="555"/>
      <c r="M164" s="563"/>
      <c r="N164" s="565"/>
      <c r="O164" s="106"/>
    </row>
    <row r="165" spans="2:15">
      <c r="B165" s="591"/>
      <c r="C165" s="105" t="s">
        <v>339</v>
      </c>
      <c r="D165" s="105">
        <v>923199</v>
      </c>
      <c r="E165" s="231" t="s">
        <v>650</v>
      </c>
      <c r="F165" s="588">
        <v>10</v>
      </c>
      <c r="G165" s="588">
        <v>1084</v>
      </c>
      <c r="H165" s="588">
        <f>((F165+G165)*0.4)</f>
        <v>437.6</v>
      </c>
      <c r="I165" s="300">
        <v>10</v>
      </c>
      <c r="J165" s="325">
        <v>851.428</v>
      </c>
      <c r="K165" s="554">
        <f>F165-(I165+I166)</f>
        <v>0</v>
      </c>
      <c r="L165" s="554">
        <f>G165-(J165+J166)</f>
        <v>232.572</v>
      </c>
      <c r="M165" s="562">
        <f>K165+L165</f>
        <v>232.572</v>
      </c>
      <c r="N165" s="564">
        <f>((I165+I166)+(J165+J166))/(F165+G165)</f>
        <v>0.78741133455210233</v>
      </c>
      <c r="O165" s="106"/>
    </row>
    <row r="166" spans="2:15">
      <c r="B166" s="591"/>
      <c r="C166" s="105" t="s">
        <v>340</v>
      </c>
      <c r="D166" s="105">
        <v>964068</v>
      </c>
      <c r="E166" s="231" t="s">
        <v>650</v>
      </c>
      <c r="F166" s="588"/>
      <c r="G166" s="588"/>
      <c r="H166" s="588"/>
      <c r="I166" s="105"/>
      <c r="J166" s="105"/>
      <c r="K166" s="555"/>
      <c r="L166" s="555"/>
      <c r="M166" s="563"/>
      <c r="N166" s="565"/>
      <c r="O166" s="106"/>
    </row>
    <row r="167" spans="2:15">
      <c r="B167" s="591"/>
      <c r="C167" s="134" t="s">
        <v>502</v>
      </c>
      <c r="D167" s="134">
        <v>967342</v>
      </c>
      <c r="E167" s="231" t="s">
        <v>650</v>
      </c>
      <c r="F167" s="588">
        <v>839.17700000000002</v>
      </c>
      <c r="G167" s="588">
        <v>3.0000000000000001E-3</v>
      </c>
      <c r="H167" s="588">
        <f>((F167+G167)*0.4)</f>
        <v>335.67200000000003</v>
      </c>
      <c r="I167" s="300">
        <v>839.17700000000002</v>
      </c>
      <c r="J167" s="300">
        <v>3.0000000000000001E-3</v>
      </c>
      <c r="K167" s="554">
        <f>F167-(I167+I168)</f>
        <v>0</v>
      </c>
      <c r="L167" s="554">
        <f>G167-(J167+J168)</f>
        <v>0</v>
      </c>
      <c r="M167" s="562">
        <f>K167+L167</f>
        <v>0</v>
      </c>
      <c r="N167" s="564">
        <f>((I167+I168)+(J167+J168))/(F167+G167)</f>
        <v>1</v>
      </c>
      <c r="O167" s="106"/>
    </row>
    <row r="168" spans="2:15">
      <c r="B168" s="591"/>
      <c r="C168" s="134" t="s">
        <v>503</v>
      </c>
      <c r="D168" s="134">
        <v>967281</v>
      </c>
      <c r="E168" s="231" t="s">
        <v>650</v>
      </c>
      <c r="F168" s="588"/>
      <c r="G168" s="588"/>
      <c r="H168" s="588"/>
      <c r="I168" s="105"/>
      <c r="J168" s="105"/>
      <c r="K168" s="555"/>
      <c r="L168" s="555"/>
      <c r="M168" s="563"/>
      <c r="N168" s="565"/>
      <c r="O168" s="106"/>
    </row>
    <row r="169" spans="2:15">
      <c r="B169" s="591"/>
      <c r="C169" s="134" t="s">
        <v>504</v>
      </c>
      <c r="D169" s="134">
        <v>922996</v>
      </c>
      <c r="E169" s="231" t="s">
        <v>650</v>
      </c>
      <c r="F169" s="588">
        <v>6.3620000000000001</v>
      </c>
      <c r="G169" s="588">
        <v>645</v>
      </c>
      <c r="H169" s="588">
        <f>((F169+G169)*0.4)</f>
        <v>260.54480000000001</v>
      </c>
      <c r="I169" s="299">
        <v>6.3620000000000001</v>
      </c>
      <c r="J169" s="299">
        <v>645</v>
      </c>
      <c r="K169" s="559">
        <f>F169-(I169+I170+I171+I172)</f>
        <v>0</v>
      </c>
      <c r="L169" s="559">
        <f>G169-(J169+J170+J171+J172)</f>
        <v>0</v>
      </c>
      <c r="M169" s="559">
        <f>K169+L169</f>
        <v>0</v>
      </c>
      <c r="N169" s="587">
        <f>((I169+I170+I171+I172)+(J169+J170+J171+J172))/(F169+G169)</f>
        <v>1</v>
      </c>
      <c r="O169" s="106"/>
    </row>
    <row r="170" spans="2:15">
      <c r="B170" s="591"/>
      <c r="C170" s="134" t="s">
        <v>505</v>
      </c>
      <c r="D170" s="134">
        <v>969526</v>
      </c>
      <c r="E170" s="231" t="s">
        <v>650</v>
      </c>
      <c r="F170" s="588"/>
      <c r="G170" s="588"/>
      <c r="H170" s="588"/>
      <c r="I170" s="135"/>
      <c r="J170" s="135"/>
      <c r="K170" s="559"/>
      <c r="L170" s="559"/>
      <c r="M170" s="559"/>
      <c r="N170" s="587"/>
      <c r="O170" s="106"/>
    </row>
    <row r="171" spans="2:15">
      <c r="B171" s="591"/>
      <c r="C171" s="134" t="s">
        <v>506</v>
      </c>
      <c r="D171" s="134">
        <v>968922</v>
      </c>
      <c r="E171" s="231" t="s">
        <v>650</v>
      </c>
      <c r="F171" s="588"/>
      <c r="G171" s="588"/>
      <c r="H171" s="588"/>
      <c r="I171" s="135"/>
      <c r="J171" s="135"/>
      <c r="K171" s="559"/>
      <c r="L171" s="559"/>
      <c r="M171" s="559"/>
      <c r="N171" s="587"/>
      <c r="O171" s="106"/>
    </row>
    <row r="172" spans="2:15">
      <c r="B172" s="591"/>
      <c r="C172" s="134" t="s">
        <v>507</v>
      </c>
      <c r="D172" s="134">
        <v>926655</v>
      </c>
      <c r="E172" s="231" t="s">
        <v>650</v>
      </c>
      <c r="F172" s="588"/>
      <c r="G172" s="588"/>
      <c r="H172" s="588"/>
      <c r="I172" s="135"/>
      <c r="J172" s="135"/>
      <c r="K172" s="559"/>
      <c r="L172" s="559"/>
      <c r="M172" s="559"/>
      <c r="N172" s="587"/>
      <c r="O172" s="106"/>
    </row>
    <row r="173" spans="2:15">
      <c r="B173" s="591"/>
      <c r="C173" s="134" t="s">
        <v>508</v>
      </c>
      <c r="D173" s="134">
        <v>697362</v>
      </c>
      <c r="E173" s="231" t="s">
        <v>650</v>
      </c>
      <c r="F173" s="588">
        <v>12.045999999999999</v>
      </c>
      <c r="G173" s="588">
        <v>20.984000000000002</v>
      </c>
      <c r="H173" s="588">
        <f>((F173+G173)*0.4)</f>
        <v>13.212000000000002</v>
      </c>
      <c r="I173" s="299">
        <v>12.045999999999999</v>
      </c>
      <c r="J173" s="135">
        <v>20.98</v>
      </c>
      <c r="K173" s="559">
        <f>F173-(I173+I174+I175)</f>
        <v>0</v>
      </c>
      <c r="L173" s="559">
        <f>G173-(J173+J174+J175)</f>
        <v>4.0000000000013358E-3</v>
      </c>
      <c r="M173" s="559">
        <f>K173+L173</f>
        <v>4.0000000000013358E-3</v>
      </c>
      <c r="N173" s="587">
        <f>((I173+I174+I175)+(J173+J174+J175))/(F173+G173)</f>
        <v>0.99987889797154084</v>
      </c>
      <c r="O173" s="106"/>
    </row>
    <row r="174" spans="2:15">
      <c r="B174" s="591"/>
      <c r="C174" s="134" t="s">
        <v>509</v>
      </c>
      <c r="D174" s="134">
        <v>967851</v>
      </c>
      <c r="E174" s="231" t="s">
        <v>650</v>
      </c>
      <c r="F174" s="588"/>
      <c r="G174" s="588"/>
      <c r="H174" s="588"/>
      <c r="I174" s="135"/>
      <c r="J174" s="135"/>
      <c r="K174" s="559"/>
      <c r="L174" s="559"/>
      <c r="M174" s="559"/>
      <c r="N174" s="587"/>
      <c r="O174" s="106"/>
    </row>
    <row r="175" spans="2:15">
      <c r="B175" s="591"/>
      <c r="C175" s="134" t="s">
        <v>510</v>
      </c>
      <c r="D175" s="134">
        <v>951498</v>
      </c>
      <c r="E175" s="231" t="s">
        <v>650</v>
      </c>
      <c r="F175" s="588"/>
      <c r="G175" s="588"/>
      <c r="H175" s="588"/>
      <c r="I175" s="135"/>
      <c r="J175" s="135"/>
      <c r="K175" s="559"/>
      <c r="L175" s="559"/>
      <c r="M175" s="559"/>
      <c r="N175" s="587"/>
      <c r="O175" s="106"/>
    </row>
    <row r="176" spans="2:15">
      <c r="B176" s="591"/>
      <c r="C176" s="134" t="s">
        <v>511</v>
      </c>
      <c r="D176" s="134">
        <v>953756</v>
      </c>
      <c r="E176" s="231" t="s">
        <v>650</v>
      </c>
      <c r="F176" s="588">
        <v>15</v>
      </c>
      <c r="G176" s="588">
        <v>120</v>
      </c>
      <c r="H176" s="588">
        <f>((F176+G176)*0.4)</f>
        <v>54</v>
      </c>
      <c r="I176" s="299">
        <v>15</v>
      </c>
      <c r="J176" s="299">
        <v>120</v>
      </c>
      <c r="K176" s="559">
        <f>F176-(I176+I177)</f>
        <v>0</v>
      </c>
      <c r="L176" s="559">
        <f>G176-(J176+J177)</f>
        <v>0</v>
      </c>
      <c r="M176" s="559">
        <f>K176+L176</f>
        <v>0</v>
      </c>
      <c r="N176" s="564">
        <f>((I176+I177)+(J176+J177))/(F176+G176)</f>
        <v>1</v>
      </c>
      <c r="O176" s="106"/>
    </row>
    <row r="177" spans="2:15">
      <c r="B177" s="591"/>
      <c r="C177" s="131" t="s">
        <v>512</v>
      </c>
      <c r="D177" s="131">
        <v>697300</v>
      </c>
      <c r="E177" s="231" t="s">
        <v>650</v>
      </c>
      <c r="F177" s="588"/>
      <c r="G177" s="588"/>
      <c r="H177" s="588"/>
      <c r="I177" s="105"/>
      <c r="J177" s="105"/>
      <c r="K177" s="559"/>
      <c r="L177" s="559"/>
      <c r="M177" s="559"/>
      <c r="N177" s="565"/>
      <c r="O177" s="106"/>
    </row>
    <row r="178" spans="2:15">
      <c r="B178" s="591"/>
      <c r="C178" s="131" t="s">
        <v>513</v>
      </c>
      <c r="D178" s="131">
        <v>965098</v>
      </c>
      <c r="E178" s="231" t="s">
        <v>650</v>
      </c>
      <c r="F178" s="588">
        <v>12.981</v>
      </c>
      <c r="G178" s="588">
        <v>146.309</v>
      </c>
      <c r="H178" s="588">
        <f>((F178+G178)*0.4)</f>
        <v>63.716000000000001</v>
      </c>
      <c r="I178" s="300">
        <v>12.981</v>
      </c>
      <c r="J178" s="300">
        <v>146.309</v>
      </c>
      <c r="K178" s="559">
        <f>F178-(I178+I179)</f>
        <v>0</v>
      </c>
      <c r="L178" s="559">
        <f>G178-(J178+J179)</f>
        <v>0</v>
      </c>
      <c r="M178" s="559">
        <f>K178+L178</f>
        <v>0</v>
      </c>
      <c r="N178" s="564">
        <f>((I178+I179)+(J178+J179))/(F178+G178)</f>
        <v>1</v>
      </c>
      <c r="O178" s="106"/>
    </row>
    <row r="179" spans="2:15">
      <c r="B179" s="591"/>
      <c r="C179" s="131" t="s">
        <v>514</v>
      </c>
      <c r="D179" s="131">
        <v>968712</v>
      </c>
      <c r="E179" s="231" t="s">
        <v>650</v>
      </c>
      <c r="F179" s="588"/>
      <c r="G179" s="588"/>
      <c r="H179" s="588"/>
      <c r="I179" s="105"/>
      <c r="J179" s="105"/>
      <c r="K179" s="559"/>
      <c r="L179" s="559"/>
      <c r="M179" s="559"/>
      <c r="N179" s="565"/>
      <c r="O179" s="106"/>
    </row>
    <row r="180" spans="2:15">
      <c r="B180" s="591"/>
      <c r="C180" s="131" t="s">
        <v>515</v>
      </c>
      <c r="D180" s="131">
        <v>31015</v>
      </c>
      <c r="E180" s="231" t="s">
        <v>650</v>
      </c>
      <c r="F180" s="588">
        <v>642.05700000000002</v>
      </c>
      <c r="G180" s="588">
        <v>16</v>
      </c>
      <c r="H180" s="588">
        <f>((F180+G180)*0.4)</f>
        <v>263.22280000000001</v>
      </c>
      <c r="I180" s="300">
        <v>16</v>
      </c>
      <c r="J180" s="300">
        <v>642</v>
      </c>
      <c r="K180" s="559">
        <f>F180-(I180+I181+I182)</f>
        <v>626.05700000000002</v>
      </c>
      <c r="L180" s="559">
        <f>G180-(J180+J181+J182)</f>
        <v>-626</v>
      </c>
      <c r="M180" s="559">
        <f>K180+L180</f>
        <v>5.7000000000016371E-2</v>
      </c>
      <c r="N180" s="564">
        <f>((I180+I181+I182)+(J180+J181+J182))/(F180+G180)</f>
        <v>0.9999133813636204</v>
      </c>
      <c r="O180" s="106"/>
    </row>
    <row r="181" spans="2:15">
      <c r="B181" s="591"/>
      <c r="C181" s="131" t="s">
        <v>400</v>
      </c>
      <c r="D181" s="131">
        <v>968938</v>
      </c>
      <c r="E181" s="231" t="s">
        <v>650</v>
      </c>
      <c r="F181" s="588"/>
      <c r="G181" s="588"/>
      <c r="H181" s="588"/>
      <c r="I181" s="105"/>
      <c r="J181" s="105"/>
      <c r="K181" s="559"/>
      <c r="L181" s="559"/>
      <c r="M181" s="559"/>
      <c r="N181" s="584"/>
      <c r="O181" s="106"/>
    </row>
    <row r="182" spans="2:15">
      <c r="B182" s="591"/>
      <c r="C182" s="131" t="s">
        <v>489</v>
      </c>
      <c r="D182" s="131">
        <v>966410</v>
      </c>
      <c r="E182" s="231" t="s">
        <v>650</v>
      </c>
      <c r="F182" s="588"/>
      <c r="G182" s="588"/>
      <c r="H182" s="588"/>
      <c r="I182" s="105"/>
      <c r="J182" s="105"/>
      <c r="K182" s="559"/>
      <c r="L182" s="559"/>
      <c r="M182" s="559"/>
      <c r="N182" s="585"/>
      <c r="O182" s="106"/>
    </row>
    <row r="183" spans="2:15">
      <c r="B183" s="591"/>
      <c r="C183" s="131" t="s">
        <v>516</v>
      </c>
      <c r="D183" s="131">
        <v>926064</v>
      </c>
      <c r="E183" s="231" t="s">
        <v>650</v>
      </c>
      <c r="F183" s="588">
        <v>450</v>
      </c>
      <c r="G183" s="588">
        <v>550</v>
      </c>
      <c r="H183" s="588">
        <f>((F183+G183)*0.4)</f>
        <v>400</v>
      </c>
      <c r="I183" s="105"/>
      <c r="J183" s="105"/>
      <c r="K183" s="559">
        <f>F183-(I183+I184)</f>
        <v>450</v>
      </c>
      <c r="L183" s="559">
        <f>G183-(J183+J184)</f>
        <v>550</v>
      </c>
      <c r="M183" s="559">
        <f>K183+L183</f>
        <v>1000</v>
      </c>
      <c r="N183" s="564">
        <f>((I183+I184)+(J183+J184))/(F183+G183)</f>
        <v>0</v>
      </c>
      <c r="O183" s="106"/>
    </row>
    <row r="184" spans="2:15">
      <c r="B184" s="591"/>
      <c r="C184" s="131" t="s">
        <v>517</v>
      </c>
      <c r="D184" s="131">
        <v>913373</v>
      </c>
      <c r="E184" s="231" t="s">
        <v>650</v>
      </c>
      <c r="F184" s="588"/>
      <c r="G184" s="588"/>
      <c r="H184" s="588"/>
      <c r="I184" s="105"/>
      <c r="J184" s="105"/>
      <c r="K184" s="559"/>
      <c r="L184" s="559"/>
      <c r="M184" s="559"/>
      <c r="N184" s="565"/>
      <c r="O184" s="106"/>
    </row>
    <row r="185" spans="2:15">
      <c r="B185" s="591"/>
      <c r="C185" s="131" t="s">
        <v>518</v>
      </c>
      <c r="D185" s="131">
        <v>952052</v>
      </c>
      <c r="E185" s="231" t="s">
        <v>650</v>
      </c>
      <c r="F185" s="588">
        <v>5</v>
      </c>
      <c r="G185" s="588">
        <v>145</v>
      </c>
      <c r="H185" s="588">
        <f>((F185+G185)*0.4)</f>
        <v>60</v>
      </c>
      <c r="I185" s="300">
        <v>5</v>
      </c>
      <c r="J185" s="300">
        <v>145</v>
      </c>
      <c r="K185" s="559">
        <f>F185-(I185+I186)</f>
        <v>0</v>
      </c>
      <c r="L185" s="559">
        <f>G185-(J185+J186)</f>
        <v>0</v>
      </c>
      <c r="M185" s="559">
        <f>K185+L185</f>
        <v>0</v>
      </c>
      <c r="N185" s="564">
        <f>((I185+I186)+(J185+J186))/(F185+G185)</f>
        <v>1</v>
      </c>
      <c r="O185" s="106"/>
    </row>
    <row r="186" spans="2:15">
      <c r="B186" s="591"/>
      <c r="C186" s="131" t="s">
        <v>519</v>
      </c>
      <c r="D186" s="131">
        <v>697900</v>
      </c>
      <c r="E186" s="231" t="s">
        <v>650</v>
      </c>
      <c r="F186" s="588"/>
      <c r="G186" s="588"/>
      <c r="H186" s="588"/>
      <c r="I186" s="105"/>
      <c r="J186" s="105"/>
      <c r="K186" s="559"/>
      <c r="L186" s="559"/>
      <c r="M186" s="559"/>
      <c r="N186" s="565"/>
      <c r="O186" s="106"/>
    </row>
    <row r="187" spans="2:15">
      <c r="B187" s="591"/>
      <c r="C187" s="131" t="s">
        <v>520</v>
      </c>
      <c r="D187" s="131">
        <v>697864</v>
      </c>
      <c r="E187" s="231" t="s">
        <v>650</v>
      </c>
      <c r="F187" s="588">
        <v>10</v>
      </c>
      <c r="G187" s="588">
        <v>310</v>
      </c>
      <c r="H187" s="588">
        <f>((F187+G187)*0.4)</f>
        <v>128</v>
      </c>
      <c r="I187" s="105"/>
      <c r="J187" s="105"/>
      <c r="K187" s="583">
        <f>F187-(I187+I188+I189)</f>
        <v>10</v>
      </c>
      <c r="L187" s="583">
        <f>G187-(J187+J188+J189)</f>
        <v>310</v>
      </c>
      <c r="M187" s="583">
        <f>K187+L187</f>
        <v>320</v>
      </c>
      <c r="N187" s="564">
        <f>((I187+I188+I189)+(J187+J188+J189))/(F187+G187)</f>
        <v>0</v>
      </c>
      <c r="O187" s="106"/>
    </row>
    <row r="188" spans="2:15">
      <c r="B188" s="591"/>
      <c r="C188" s="131" t="s">
        <v>521</v>
      </c>
      <c r="D188" s="131">
        <v>968817</v>
      </c>
      <c r="E188" s="231" t="s">
        <v>650</v>
      </c>
      <c r="F188" s="588"/>
      <c r="G188" s="588"/>
      <c r="H188" s="588"/>
      <c r="I188" s="105"/>
      <c r="J188" s="105"/>
      <c r="K188" s="583"/>
      <c r="L188" s="583"/>
      <c r="M188" s="583"/>
      <c r="N188" s="584"/>
      <c r="O188" s="106"/>
    </row>
    <row r="189" spans="2:15">
      <c r="B189" s="591"/>
      <c r="C189" s="131" t="s">
        <v>522</v>
      </c>
      <c r="D189" s="131">
        <v>697885</v>
      </c>
      <c r="E189" s="231" t="s">
        <v>650</v>
      </c>
      <c r="F189" s="588"/>
      <c r="G189" s="588"/>
      <c r="H189" s="588"/>
      <c r="I189" s="105"/>
      <c r="J189" s="105"/>
      <c r="K189" s="583"/>
      <c r="L189" s="583"/>
      <c r="M189" s="583"/>
      <c r="N189" s="585"/>
      <c r="O189" s="106"/>
    </row>
    <row r="190" spans="2:15">
      <c r="B190" s="591"/>
      <c r="C190" s="131" t="s">
        <v>362</v>
      </c>
      <c r="D190" s="131">
        <v>952452</v>
      </c>
      <c r="E190" s="231" t="s">
        <v>650</v>
      </c>
      <c r="F190" s="588">
        <v>294.71499999999997</v>
      </c>
      <c r="G190" s="588">
        <v>10</v>
      </c>
      <c r="H190" s="588">
        <f>((F190+G190)*0.4)</f>
        <v>121.886</v>
      </c>
      <c r="I190" s="300">
        <v>294.71499999999997</v>
      </c>
      <c r="J190" s="300">
        <v>10</v>
      </c>
      <c r="K190" s="559">
        <f>F190-(I190+I191)</f>
        <v>0</v>
      </c>
      <c r="L190" s="559">
        <f>G190-(J190+J191)</f>
        <v>0</v>
      </c>
      <c r="M190" s="559">
        <f>K190+L190</f>
        <v>0</v>
      </c>
      <c r="N190" s="564">
        <f>((I190+I191)+(J190+J191))/(F190+G190)</f>
        <v>1</v>
      </c>
      <c r="O190" s="106"/>
    </row>
    <row r="191" spans="2:15">
      <c r="B191" s="591"/>
      <c r="C191" s="134" t="s">
        <v>357</v>
      </c>
      <c r="D191" s="134">
        <v>30822</v>
      </c>
      <c r="E191" s="231" t="s">
        <v>650</v>
      </c>
      <c r="F191" s="588"/>
      <c r="G191" s="588"/>
      <c r="H191" s="588"/>
      <c r="I191" s="105"/>
      <c r="J191" s="105"/>
      <c r="K191" s="559"/>
      <c r="L191" s="559"/>
      <c r="M191" s="559"/>
      <c r="N191" s="565"/>
      <c r="O191" s="106"/>
    </row>
    <row r="192" spans="2:15">
      <c r="B192" s="591"/>
      <c r="C192" s="134" t="s">
        <v>501</v>
      </c>
      <c r="D192" s="134">
        <v>959370</v>
      </c>
      <c r="E192" s="231" t="s">
        <v>650</v>
      </c>
      <c r="F192" s="588">
        <v>34.880000000000003</v>
      </c>
      <c r="G192" s="588">
        <v>301.77999999999997</v>
      </c>
      <c r="H192" s="588">
        <f>((F192+G192)*0.4)</f>
        <v>134.66399999999999</v>
      </c>
      <c r="I192" s="300">
        <v>34.880000000000003</v>
      </c>
      <c r="J192" s="300">
        <v>301.77999999999997</v>
      </c>
      <c r="K192" s="559">
        <f>F192-(I192+I193)</f>
        <v>0</v>
      </c>
      <c r="L192" s="559">
        <f>G192-(J192+J193)</f>
        <v>0</v>
      </c>
      <c r="M192" s="559">
        <f>K192+L192</f>
        <v>0</v>
      </c>
      <c r="N192" s="564">
        <f>((I192+I193)+(J192+J193))/(F192+G192)</f>
        <v>1</v>
      </c>
      <c r="O192" s="106"/>
    </row>
    <row r="193" spans="2:15">
      <c r="B193" s="591"/>
      <c r="C193" s="131" t="s">
        <v>523</v>
      </c>
      <c r="D193" s="131">
        <v>968833</v>
      </c>
      <c r="E193" s="231" t="s">
        <v>650</v>
      </c>
      <c r="F193" s="588"/>
      <c r="G193" s="588"/>
      <c r="H193" s="588"/>
      <c r="I193" s="105"/>
      <c r="J193" s="105"/>
      <c r="K193" s="559"/>
      <c r="L193" s="559"/>
      <c r="M193" s="559"/>
      <c r="N193" s="565"/>
      <c r="O193" s="106"/>
    </row>
    <row r="194" spans="2:15">
      <c r="B194" s="591"/>
      <c r="C194" s="131" t="s">
        <v>385</v>
      </c>
      <c r="D194" s="131">
        <v>698133</v>
      </c>
      <c r="E194" s="231" t="s">
        <v>650</v>
      </c>
      <c r="F194" s="588">
        <v>42.06</v>
      </c>
      <c r="G194" s="588">
        <v>239.44</v>
      </c>
      <c r="H194" s="588">
        <f>((F194+G194)*0.4)</f>
        <v>112.60000000000001</v>
      </c>
      <c r="I194" s="300">
        <v>0</v>
      </c>
      <c r="J194" s="300">
        <v>281.5</v>
      </c>
      <c r="K194" s="559">
        <f>F194-(I194+I195+I196)</f>
        <v>42.06</v>
      </c>
      <c r="L194" s="559">
        <f>G194-(J194+J195+J196)</f>
        <v>-42.06</v>
      </c>
      <c r="M194" s="559">
        <f>K194+L194</f>
        <v>0</v>
      </c>
      <c r="N194" s="564">
        <f>((I194+I195+I196)+(J194+J195+J196))/(F194+G194)</f>
        <v>1</v>
      </c>
      <c r="O194" s="106"/>
    </row>
    <row r="195" spans="2:15">
      <c r="B195" s="591"/>
      <c r="C195" s="131" t="s">
        <v>524</v>
      </c>
      <c r="D195" s="131">
        <v>968423</v>
      </c>
      <c r="E195" s="231" t="s">
        <v>650</v>
      </c>
      <c r="F195" s="588"/>
      <c r="G195" s="588"/>
      <c r="H195" s="588"/>
      <c r="I195" s="105"/>
      <c r="J195" s="105"/>
      <c r="K195" s="559"/>
      <c r="L195" s="559"/>
      <c r="M195" s="559"/>
      <c r="N195" s="584"/>
      <c r="O195" s="106"/>
    </row>
    <row r="196" spans="2:15">
      <c r="B196" s="591"/>
      <c r="C196" s="131" t="s">
        <v>525</v>
      </c>
      <c r="D196" s="131">
        <v>967692</v>
      </c>
      <c r="E196" s="231" t="s">
        <v>650</v>
      </c>
      <c r="F196" s="588"/>
      <c r="G196" s="588"/>
      <c r="H196" s="588"/>
      <c r="I196" s="105"/>
      <c r="J196" s="105"/>
      <c r="K196" s="559"/>
      <c r="L196" s="559"/>
      <c r="M196" s="559"/>
      <c r="N196" s="585"/>
      <c r="O196" s="106"/>
    </row>
    <row r="197" spans="2:15">
      <c r="B197" s="591"/>
      <c r="C197" s="131" t="s">
        <v>521</v>
      </c>
      <c r="D197" s="131">
        <v>968817</v>
      </c>
      <c r="E197" s="231" t="s">
        <v>650</v>
      </c>
      <c r="F197" s="588">
        <v>30.92</v>
      </c>
      <c r="G197" s="588">
        <v>340.96</v>
      </c>
      <c r="H197" s="588">
        <f>((F197+G197)*0.4)</f>
        <v>148.75200000000001</v>
      </c>
      <c r="I197" s="105"/>
      <c r="J197" s="105"/>
      <c r="K197" s="559">
        <f>F197-(I197+I198+I199+I200)</f>
        <v>30.92</v>
      </c>
      <c r="L197" s="559">
        <f>G197-(J197+J198+J199+J200)</f>
        <v>340.96</v>
      </c>
      <c r="M197" s="559">
        <f>K197+L197</f>
        <v>371.88</v>
      </c>
      <c r="N197" s="587">
        <f>((I197+I198+I199+I200)+(J197+J198+J199+J200))/(F197+G197)</f>
        <v>0</v>
      </c>
      <c r="O197" s="106"/>
    </row>
    <row r="198" spans="2:15">
      <c r="B198" s="591"/>
      <c r="C198" s="134" t="s">
        <v>520</v>
      </c>
      <c r="D198" s="134">
        <v>697864</v>
      </c>
      <c r="E198" s="231" t="s">
        <v>650</v>
      </c>
      <c r="F198" s="588"/>
      <c r="G198" s="588"/>
      <c r="H198" s="588"/>
      <c r="I198" s="105"/>
      <c r="J198" s="105"/>
      <c r="K198" s="559"/>
      <c r="L198" s="559"/>
      <c r="M198" s="559"/>
      <c r="N198" s="587"/>
      <c r="O198" s="106"/>
    </row>
    <row r="199" spans="2:15">
      <c r="B199" s="591"/>
      <c r="C199" s="134" t="s">
        <v>522</v>
      </c>
      <c r="D199" s="134">
        <v>697885</v>
      </c>
      <c r="E199" s="231" t="s">
        <v>650</v>
      </c>
      <c r="F199" s="588"/>
      <c r="G199" s="588"/>
      <c r="H199" s="588"/>
      <c r="I199" s="105"/>
      <c r="J199" s="105"/>
      <c r="K199" s="559"/>
      <c r="L199" s="559"/>
      <c r="M199" s="559"/>
      <c r="N199" s="587"/>
      <c r="O199" s="106"/>
    </row>
    <row r="200" spans="2:15">
      <c r="B200" s="591"/>
      <c r="C200" s="134" t="s">
        <v>526</v>
      </c>
      <c r="D200" s="134">
        <v>697728</v>
      </c>
      <c r="E200" s="231" t="s">
        <v>650</v>
      </c>
      <c r="F200" s="588"/>
      <c r="G200" s="588"/>
      <c r="H200" s="588"/>
      <c r="I200" s="105"/>
      <c r="J200" s="105"/>
      <c r="K200" s="559"/>
      <c r="L200" s="559"/>
      <c r="M200" s="559"/>
      <c r="N200" s="587"/>
      <c r="O200" s="106"/>
    </row>
    <row r="201" spans="2:15">
      <c r="B201" s="591"/>
      <c r="C201" s="134" t="s">
        <v>516</v>
      </c>
      <c r="D201" s="134">
        <v>926064</v>
      </c>
      <c r="E201" s="231" t="s">
        <v>650</v>
      </c>
      <c r="F201" s="588">
        <v>170.428</v>
      </c>
      <c r="G201" s="588">
        <v>315.39499999999998</v>
      </c>
      <c r="H201" s="588">
        <f>((F201+G201)*0.4)</f>
        <v>194.32920000000001</v>
      </c>
      <c r="I201" s="300">
        <v>489.12900000000002</v>
      </c>
      <c r="J201" s="300">
        <v>453.803</v>
      </c>
      <c r="K201" s="559">
        <f>F201-(I201+I202+I203)</f>
        <v>-318.70100000000002</v>
      </c>
      <c r="L201" s="559">
        <f>G201-(J201+J202+J203)</f>
        <v>-138.40800000000002</v>
      </c>
      <c r="M201" s="559">
        <f>K201+L201</f>
        <v>-457.10900000000004</v>
      </c>
      <c r="N201" s="564">
        <f>((I201+I202+I203)+(J201+J202+J203))/(F201+G201)</f>
        <v>1.9408961700043021</v>
      </c>
      <c r="O201" s="106"/>
    </row>
    <row r="202" spans="2:15">
      <c r="B202" s="591"/>
      <c r="C202" s="134" t="s">
        <v>517</v>
      </c>
      <c r="D202" s="134">
        <v>913373</v>
      </c>
      <c r="E202" s="231" t="s">
        <v>650</v>
      </c>
      <c r="F202" s="588"/>
      <c r="G202" s="588"/>
      <c r="H202" s="588"/>
      <c r="I202" s="105"/>
      <c r="J202" s="105"/>
      <c r="K202" s="559"/>
      <c r="L202" s="559"/>
      <c r="M202" s="559"/>
      <c r="N202" s="584"/>
      <c r="O202" s="106"/>
    </row>
    <row r="203" spans="2:15">
      <c r="B203" s="591"/>
      <c r="C203" s="134" t="s">
        <v>527</v>
      </c>
      <c r="D203" s="134">
        <v>969283</v>
      </c>
      <c r="E203" s="231" t="s">
        <v>650</v>
      </c>
      <c r="F203" s="588"/>
      <c r="G203" s="588"/>
      <c r="H203" s="588"/>
      <c r="I203" s="105"/>
      <c r="J203" s="105"/>
      <c r="K203" s="559"/>
      <c r="L203" s="559"/>
      <c r="M203" s="559"/>
      <c r="N203" s="585"/>
      <c r="O203" s="106"/>
    </row>
    <row r="204" spans="2:15">
      <c r="B204" s="591"/>
      <c r="C204" s="105" t="s">
        <v>418</v>
      </c>
      <c r="D204" s="105">
        <v>965073</v>
      </c>
      <c r="E204" s="231" t="s">
        <v>650</v>
      </c>
      <c r="F204" s="588">
        <v>0</v>
      </c>
      <c r="G204" s="588">
        <v>53.480999999999995</v>
      </c>
      <c r="H204" s="588">
        <f>((F204+G204)*0.4)</f>
        <v>21.392399999999999</v>
      </c>
      <c r="I204" s="105"/>
      <c r="J204" s="325">
        <v>53.481000000000002</v>
      </c>
      <c r="K204" s="559">
        <f>F204-(I204+I205)</f>
        <v>0</v>
      </c>
      <c r="L204" s="559">
        <f>G204-(J204+J205)</f>
        <v>0</v>
      </c>
      <c r="M204" s="559">
        <f>K204+L204</f>
        <v>0</v>
      </c>
      <c r="N204" s="564">
        <f>((I204+I205)+(J204+J205))/(F204+G204)</f>
        <v>1.0000000000000002</v>
      </c>
      <c r="O204" s="106"/>
    </row>
    <row r="205" spans="2:15">
      <c r="B205" s="591"/>
      <c r="C205" s="105" t="s">
        <v>528</v>
      </c>
      <c r="D205" s="105">
        <v>968981</v>
      </c>
      <c r="E205" s="231" t="s">
        <v>650</v>
      </c>
      <c r="F205" s="588"/>
      <c r="G205" s="588"/>
      <c r="H205" s="588"/>
      <c r="I205" s="135"/>
      <c r="J205" s="135"/>
      <c r="K205" s="559"/>
      <c r="L205" s="559"/>
      <c r="M205" s="559"/>
      <c r="N205" s="565"/>
      <c r="O205" s="106"/>
    </row>
    <row r="206" spans="2:15">
      <c r="B206" s="591"/>
      <c r="C206" s="105" t="s">
        <v>529</v>
      </c>
      <c r="D206" s="105">
        <v>968797</v>
      </c>
      <c r="E206" s="231" t="s">
        <v>650</v>
      </c>
      <c r="F206" s="588">
        <v>0</v>
      </c>
      <c r="G206" s="588">
        <v>911.73599999999999</v>
      </c>
      <c r="H206" s="588">
        <f>((F206+G206)*0.4)</f>
        <v>364.69440000000003</v>
      </c>
      <c r="I206" s="299">
        <v>0</v>
      </c>
      <c r="J206" s="299">
        <v>911.73599999999999</v>
      </c>
      <c r="K206" s="583">
        <f>F206-(I206+I207+I208+I209)</f>
        <v>0</v>
      </c>
      <c r="L206" s="583">
        <f>G206-(J206+J207+J208+J209)</f>
        <v>0</v>
      </c>
      <c r="M206" s="583">
        <f>K206+L206</f>
        <v>0</v>
      </c>
      <c r="N206" s="587">
        <f>((I206+I207+I208+I209)+(J206+J207+J208+J209))/(F206+G206)</f>
        <v>1</v>
      </c>
      <c r="O206" s="106"/>
    </row>
    <row r="207" spans="2:15">
      <c r="B207" s="591"/>
      <c r="C207" s="105" t="s">
        <v>530</v>
      </c>
      <c r="D207" s="105">
        <v>962289</v>
      </c>
      <c r="E207" s="231" t="s">
        <v>650</v>
      </c>
      <c r="F207" s="588"/>
      <c r="G207" s="588"/>
      <c r="H207" s="588"/>
      <c r="I207" s="135"/>
      <c r="J207" s="135"/>
      <c r="K207" s="583"/>
      <c r="L207" s="583"/>
      <c r="M207" s="583"/>
      <c r="N207" s="587"/>
      <c r="O207" s="106"/>
    </row>
    <row r="208" spans="2:15">
      <c r="B208" s="591"/>
      <c r="C208" s="105" t="s">
        <v>531</v>
      </c>
      <c r="D208" s="105">
        <v>957816</v>
      </c>
      <c r="E208" s="231" t="s">
        <v>650</v>
      </c>
      <c r="F208" s="588"/>
      <c r="G208" s="588"/>
      <c r="H208" s="588"/>
      <c r="I208" s="135"/>
      <c r="J208" s="135"/>
      <c r="K208" s="583"/>
      <c r="L208" s="583"/>
      <c r="M208" s="583"/>
      <c r="N208" s="587"/>
      <c r="O208" s="106"/>
    </row>
    <row r="209" spans="2:15">
      <c r="B209" s="591"/>
      <c r="C209" s="105" t="s">
        <v>418</v>
      </c>
      <c r="D209" s="105">
        <v>965073</v>
      </c>
      <c r="E209" s="231" t="s">
        <v>650</v>
      </c>
      <c r="F209" s="588"/>
      <c r="G209" s="588"/>
      <c r="H209" s="588"/>
      <c r="I209" s="135"/>
      <c r="J209" s="135"/>
      <c r="K209" s="583"/>
      <c r="L209" s="583"/>
      <c r="M209" s="583"/>
      <c r="N209" s="587"/>
      <c r="O209" s="106"/>
    </row>
    <row r="210" spans="2:15">
      <c r="B210" s="591"/>
      <c r="C210" s="105" t="s">
        <v>532</v>
      </c>
      <c r="D210" s="105">
        <v>960538</v>
      </c>
      <c r="E210" s="231" t="s">
        <v>650</v>
      </c>
      <c r="F210" s="588">
        <v>0</v>
      </c>
      <c r="G210" s="588">
        <v>630.19799999999998</v>
      </c>
      <c r="H210" s="588">
        <f>((F210+G210)*0.4)</f>
        <v>252.07920000000001</v>
      </c>
      <c r="I210" s="299">
        <v>0</v>
      </c>
      <c r="J210" s="299">
        <v>630.19799999999998</v>
      </c>
      <c r="K210" s="583">
        <f>F210-(I210+I211+I212)</f>
        <v>0</v>
      </c>
      <c r="L210" s="583">
        <f>G210-(J210+J211+J212)</f>
        <v>0</v>
      </c>
      <c r="M210" s="583">
        <f>K210+L210</f>
        <v>0</v>
      </c>
      <c r="N210" s="564">
        <f>((I210+I211+I212)+(J210+J211+J212))/(F210+G210)</f>
        <v>1</v>
      </c>
      <c r="O210" s="161"/>
    </row>
    <row r="211" spans="2:15">
      <c r="B211" s="591"/>
      <c r="C211" s="105" t="s">
        <v>533</v>
      </c>
      <c r="D211" s="105">
        <v>960539</v>
      </c>
      <c r="E211" s="231" t="s">
        <v>650</v>
      </c>
      <c r="F211" s="588"/>
      <c r="G211" s="588"/>
      <c r="H211" s="588"/>
      <c r="I211" s="161"/>
      <c r="J211" s="161"/>
      <c r="K211" s="583"/>
      <c r="L211" s="583"/>
      <c r="M211" s="583"/>
      <c r="N211" s="584"/>
      <c r="O211" s="161"/>
    </row>
    <row r="212" spans="2:15">
      <c r="B212" s="591"/>
      <c r="C212" s="105" t="s">
        <v>534</v>
      </c>
      <c r="D212" s="105">
        <v>967898</v>
      </c>
      <c r="E212" s="231" t="s">
        <v>650</v>
      </c>
      <c r="F212" s="588"/>
      <c r="G212" s="588"/>
      <c r="H212" s="588"/>
      <c r="I212" s="161"/>
      <c r="J212" s="161"/>
      <c r="K212" s="583"/>
      <c r="L212" s="583"/>
      <c r="M212" s="583"/>
      <c r="N212" s="585"/>
      <c r="O212" s="161"/>
    </row>
    <row r="213" spans="2:15">
      <c r="B213" s="591"/>
      <c r="C213" s="105" t="s">
        <v>535</v>
      </c>
      <c r="D213" s="105">
        <v>954241</v>
      </c>
      <c r="E213" s="231" t="s">
        <v>650</v>
      </c>
      <c r="F213" s="588">
        <v>0</v>
      </c>
      <c r="G213" s="588">
        <v>314.92399999999998</v>
      </c>
      <c r="H213" s="588">
        <f>((F213+G213)*0.4)</f>
        <v>125.9696</v>
      </c>
      <c r="I213" s="299">
        <v>0</v>
      </c>
      <c r="J213" s="299">
        <v>314.92399999999998</v>
      </c>
      <c r="K213" s="583">
        <f>F213-(I213+I214)</f>
        <v>0</v>
      </c>
      <c r="L213" s="583">
        <f>G213-(J213+J214)</f>
        <v>0</v>
      </c>
      <c r="M213" s="583">
        <f>K213+L213</f>
        <v>0</v>
      </c>
      <c r="N213" s="564">
        <f>((I213+I214)+(J213+J214))/(F213+G213)</f>
        <v>1</v>
      </c>
      <c r="O213" s="161"/>
    </row>
    <row r="214" spans="2:15">
      <c r="B214" s="591"/>
      <c r="C214" s="105" t="s">
        <v>536</v>
      </c>
      <c r="D214" s="105">
        <v>969511</v>
      </c>
      <c r="E214" s="231" t="s">
        <v>650</v>
      </c>
      <c r="F214" s="588"/>
      <c r="G214" s="588"/>
      <c r="H214" s="588"/>
      <c r="I214" s="161"/>
      <c r="J214" s="161"/>
      <c r="K214" s="583"/>
      <c r="L214" s="583"/>
      <c r="M214" s="583"/>
      <c r="N214" s="565"/>
      <c r="O214" s="161"/>
    </row>
    <row r="215" spans="2:15">
      <c r="B215" s="591"/>
      <c r="C215" s="105" t="s">
        <v>537</v>
      </c>
      <c r="D215" s="105">
        <v>960952</v>
      </c>
      <c r="E215" s="231" t="s">
        <v>650</v>
      </c>
      <c r="F215" s="588">
        <v>0</v>
      </c>
      <c r="G215" s="588">
        <v>198.434</v>
      </c>
      <c r="H215" s="588">
        <f>((F215+G215)*0.4)</f>
        <v>79.37360000000001</v>
      </c>
      <c r="I215" s="299">
        <v>0</v>
      </c>
      <c r="J215" s="299">
        <v>198.434</v>
      </c>
      <c r="K215" s="583">
        <f>F215-(I215+I216)</f>
        <v>0</v>
      </c>
      <c r="L215" s="583">
        <f>G215-(J215+J216)</f>
        <v>0</v>
      </c>
      <c r="M215" s="583">
        <f>K215+L215</f>
        <v>0</v>
      </c>
      <c r="N215" s="564">
        <f>((I215+I216)+(J215+J216))/(F215+G215)</f>
        <v>1</v>
      </c>
      <c r="O215" s="161"/>
    </row>
    <row r="216" spans="2:15">
      <c r="B216" s="591"/>
      <c r="C216" s="105" t="s">
        <v>538</v>
      </c>
      <c r="D216" s="105">
        <v>968671</v>
      </c>
      <c r="E216" s="231" t="s">
        <v>650</v>
      </c>
      <c r="F216" s="588"/>
      <c r="G216" s="588"/>
      <c r="H216" s="588"/>
      <c r="I216" s="161"/>
      <c r="J216" s="161"/>
      <c r="K216" s="583"/>
      <c r="L216" s="583"/>
      <c r="M216" s="583"/>
      <c r="N216" s="565"/>
      <c r="O216" s="161"/>
    </row>
    <row r="217" spans="2:15">
      <c r="B217" s="591"/>
      <c r="C217" s="105" t="s">
        <v>539</v>
      </c>
      <c r="D217" s="105">
        <v>954609</v>
      </c>
      <c r="E217" s="231" t="s">
        <v>650</v>
      </c>
      <c r="F217" s="588">
        <v>0</v>
      </c>
      <c r="G217" s="588">
        <v>169.29599999999999</v>
      </c>
      <c r="H217" s="588">
        <f>((F217+G217)*0.4)</f>
        <v>67.718400000000003</v>
      </c>
      <c r="I217" s="299">
        <v>0</v>
      </c>
      <c r="J217" s="299">
        <v>169.29599999999999</v>
      </c>
      <c r="K217" s="583">
        <f>F217-(I217+I218)</f>
        <v>0</v>
      </c>
      <c r="L217" s="583">
        <f>G217-(J217+J218)</f>
        <v>0</v>
      </c>
      <c r="M217" s="583">
        <f>K217+L217</f>
        <v>0</v>
      </c>
      <c r="N217" s="564">
        <f>((I217+I218)+(J217+J218))/(F217+G217)</f>
        <v>1</v>
      </c>
      <c r="O217" s="161"/>
    </row>
    <row r="218" spans="2:15">
      <c r="B218" s="591"/>
      <c r="C218" s="105" t="s">
        <v>540</v>
      </c>
      <c r="D218" s="105">
        <v>955330</v>
      </c>
      <c r="E218" s="231" t="s">
        <v>650</v>
      </c>
      <c r="F218" s="588"/>
      <c r="G218" s="588"/>
      <c r="H218" s="588"/>
      <c r="I218" s="161"/>
      <c r="J218" s="161"/>
      <c r="K218" s="583"/>
      <c r="L218" s="583"/>
      <c r="M218" s="583"/>
      <c r="N218" s="565"/>
      <c r="O218" s="161"/>
    </row>
    <row r="219" spans="2:15">
      <c r="B219" s="591"/>
      <c r="C219" s="105" t="s">
        <v>541</v>
      </c>
      <c r="D219" s="105">
        <v>31043</v>
      </c>
      <c r="E219" s="231" t="s">
        <v>650</v>
      </c>
      <c r="F219" s="588">
        <v>0</v>
      </c>
      <c r="G219" s="588">
        <v>67.676000000000002</v>
      </c>
      <c r="H219" s="588">
        <f>((F219+G219)*0.4)</f>
        <v>27.070400000000003</v>
      </c>
      <c r="I219" s="161"/>
      <c r="J219" s="161">
        <v>67.676000000000002</v>
      </c>
      <c r="K219" s="583">
        <f>F219-(I219+I220+I221)</f>
        <v>0</v>
      </c>
      <c r="L219" s="583">
        <f>G219-(J219+J220+J221)</f>
        <v>0</v>
      </c>
      <c r="M219" s="583">
        <f>K219+L219</f>
        <v>0</v>
      </c>
      <c r="N219" s="564">
        <f>((I219+I220+I221)+(J219+J220+J221))/(F219+G219)</f>
        <v>1</v>
      </c>
      <c r="O219" s="161"/>
    </row>
    <row r="220" spans="2:15">
      <c r="B220" s="591"/>
      <c r="C220" s="105" t="s">
        <v>542</v>
      </c>
      <c r="D220" s="105">
        <v>923223</v>
      </c>
      <c r="E220" s="231" t="s">
        <v>650</v>
      </c>
      <c r="F220" s="588"/>
      <c r="G220" s="588"/>
      <c r="H220" s="588"/>
      <c r="I220" s="161"/>
      <c r="J220" s="161"/>
      <c r="K220" s="583"/>
      <c r="L220" s="583"/>
      <c r="M220" s="583"/>
      <c r="N220" s="584"/>
      <c r="O220" s="161"/>
    </row>
    <row r="221" spans="2:15">
      <c r="B221" s="591"/>
      <c r="C221" s="105" t="s">
        <v>433</v>
      </c>
      <c r="D221" s="105">
        <v>968579</v>
      </c>
      <c r="E221" s="231" t="s">
        <v>650</v>
      </c>
      <c r="F221" s="588"/>
      <c r="G221" s="588"/>
      <c r="H221" s="588"/>
      <c r="I221" s="161"/>
      <c r="J221" s="161"/>
      <c r="K221" s="583"/>
      <c r="L221" s="583"/>
      <c r="M221" s="583"/>
      <c r="N221" s="585"/>
      <c r="O221" s="161"/>
    </row>
    <row r="222" spans="2:15">
      <c r="B222" s="591"/>
      <c r="C222" s="105" t="s">
        <v>543</v>
      </c>
      <c r="D222" s="105">
        <v>959209</v>
      </c>
      <c r="E222" s="231" t="s">
        <v>650</v>
      </c>
      <c r="F222" s="588">
        <v>0</v>
      </c>
      <c r="G222" s="588">
        <v>315.58600000000001</v>
      </c>
      <c r="H222" s="588">
        <f>((F222+G222)*0.4)</f>
        <v>126.23440000000001</v>
      </c>
      <c r="I222" s="299">
        <v>0</v>
      </c>
      <c r="J222" s="299">
        <v>315.58600000000001</v>
      </c>
      <c r="K222" s="583">
        <f>F222-(I222+I223+I224+I225)</f>
        <v>0</v>
      </c>
      <c r="L222" s="583">
        <f>G222-(J222+J223+J224+J225)</f>
        <v>0</v>
      </c>
      <c r="M222" s="583">
        <f>K222+L222</f>
        <v>0</v>
      </c>
      <c r="N222" s="587">
        <f>((I222+I223+I224+I225)+(J222+J223+J224+J225))/(F222+G222)</f>
        <v>1</v>
      </c>
      <c r="O222" s="161"/>
    </row>
    <row r="223" spans="2:15">
      <c r="B223" s="591"/>
      <c r="C223" s="105" t="s">
        <v>544</v>
      </c>
      <c r="D223" s="105">
        <v>968857</v>
      </c>
      <c r="E223" s="231" t="s">
        <v>650</v>
      </c>
      <c r="F223" s="588"/>
      <c r="G223" s="588"/>
      <c r="H223" s="588"/>
      <c r="I223" s="161"/>
      <c r="J223" s="161"/>
      <c r="K223" s="583"/>
      <c r="L223" s="583"/>
      <c r="M223" s="583"/>
      <c r="N223" s="587"/>
      <c r="O223" s="161"/>
    </row>
    <row r="224" spans="2:15">
      <c r="B224" s="591"/>
      <c r="C224" s="105" t="s">
        <v>545</v>
      </c>
      <c r="D224" s="105">
        <v>697454</v>
      </c>
      <c r="E224" s="231" t="s">
        <v>650</v>
      </c>
      <c r="F224" s="588"/>
      <c r="G224" s="588"/>
      <c r="H224" s="588"/>
      <c r="I224" s="161"/>
      <c r="J224" s="161"/>
      <c r="K224" s="583"/>
      <c r="L224" s="583"/>
      <c r="M224" s="583"/>
      <c r="N224" s="587"/>
      <c r="O224" s="161"/>
    </row>
    <row r="225" spans="2:15">
      <c r="B225" s="591"/>
      <c r="C225" s="105" t="s">
        <v>546</v>
      </c>
      <c r="D225" s="105">
        <v>957536</v>
      </c>
      <c r="E225" s="231" t="s">
        <v>650</v>
      </c>
      <c r="F225" s="588"/>
      <c r="G225" s="588"/>
      <c r="H225" s="588"/>
      <c r="I225" s="161"/>
      <c r="J225" s="161"/>
      <c r="K225" s="583"/>
      <c r="L225" s="583"/>
      <c r="M225" s="583"/>
      <c r="N225" s="587"/>
      <c r="O225" s="161"/>
    </row>
    <row r="226" spans="2:15">
      <c r="B226" s="591"/>
      <c r="C226" s="105" t="s">
        <v>502</v>
      </c>
      <c r="D226" s="105">
        <v>967342</v>
      </c>
      <c r="E226" s="231" t="s">
        <v>650</v>
      </c>
      <c r="F226" s="588">
        <v>0</v>
      </c>
      <c r="G226" s="588">
        <v>6.2930000000000001</v>
      </c>
      <c r="H226" s="588">
        <f>((F226+G226)*0.4)</f>
        <v>2.5172000000000003</v>
      </c>
      <c r="I226" s="299">
        <v>0</v>
      </c>
      <c r="J226" s="299">
        <v>0</v>
      </c>
      <c r="K226" s="583">
        <f>F226-(I226+I227+I228)</f>
        <v>0</v>
      </c>
      <c r="L226" s="583">
        <f>G226-(J226+J227+J228)</f>
        <v>6.2930000000000001</v>
      </c>
      <c r="M226" s="583">
        <f>K226+L226</f>
        <v>6.2930000000000001</v>
      </c>
      <c r="N226" s="564">
        <f>((I226+I227+I228)+(J226+J227+J228))/(F226+G226)</f>
        <v>0</v>
      </c>
      <c r="O226" s="161"/>
    </row>
    <row r="227" spans="2:15">
      <c r="B227" s="591"/>
      <c r="C227" s="105" t="s">
        <v>503</v>
      </c>
      <c r="D227" s="105">
        <v>967281</v>
      </c>
      <c r="E227" s="231" t="s">
        <v>650</v>
      </c>
      <c r="F227" s="588"/>
      <c r="G227" s="588"/>
      <c r="H227" s="588"/>
      <c r="I227" s="161"/>
      <c r="J227" s="161"/>
      <c r="K227" s="583"/>
      <c r="L227" s="583"/>
      <c r="M227" s="583"/>
      <c r="N227" s="584"/>
      <c r="O227" s="161"/>
    </row>
    <row r="228" spans="2:15">
      <c r="B228" s="591"/>
      <c r="C228" s="105" t="s">
        <v>547</v>
      </c>
      <c r="D228" s="105">
        <v>967145</v>
      </c>
      <c r="E228" s="231" t="s">
        <v>650</v>
      </c>
      <c r="F228" s="588"/>
      <c r="G228" s="588"/>
      <c r="H228" s="588"/>
      <c r="I228" s="161"/>
      <c r="J228" s="161"/>
      <c r="K228" s="583"/>
      <c r="L228" s="583"/>
      <c r="M228" s="583"/>
      <c r="N228" s="585"/>
      <c r="O228" s="161"/>
    </row>
    <row r="229" spans="2:15">
      <c r="B229" s="591"/>
      <c r="C229" s="105" t="s">
        <v>532</v>
      </c>
      <c r="D229" s="105">
        <v>960538</v>
      </c>
      <c r="E229" s="231" t="s">
        <v>650</v>
      </c>
      <c r="F229" s="588">
        <v>0</v>
      </c>
      <c r="G229" s="588">
        <v>215.023</v>
      </c>
      <c r="H229" s="588">
        <f>((F229+G229)*0.4)</f>
        <v>86.009200000000007</v>
      </c>
      <c r="I229" s="299">
        <v>0</v>
      </c>
      <c r="J229" s="323">
        <v>105.58799999999999</v>
      </c>
      <c r="K229" s="583">
        <f>F229-(I229+I230+I231)</f>
        <v>0</v>
      </c>
      <c r="L229" s="583">
        <f>G229-(J229+J230+J231)</f>
        <v>109.435</v>
      </c>
      <c r="M229" s="583">
        <f>K229+L229</f>
        <v>109.435</v>
      </c>
      <c r="N229" s="564">
        <f>((I229+I230+I231)+(J229+J230+J231))/(F229+G229)</f>
        <v>0.49105444533840564</v>
      </c>
      <c r="O229" s="161"/>
    </row>
    <row r="230" spans="2:15">
      <c r="B230" s="591"/>
      <c r="C230" s="105" t="s">
        <v>534</v>
      </c>
      <c r="D230" s="105">
        <v>967898</v>
      </c>
      <c r="E230" s="231" t="s">
        <v>650</v>
      </c>
      <c r="F230" s="588"/>
      <c r="G230" s="588"/>
      <c r="H230" s="588"/>
      <c r="I230" s="161"/>
      <c r="J230" s="161"/>
      <c r="K230" s="583"/>
      <c r="L230" s="583"/>
      <c r="M230" s="583"/>
      <c r="N230" s="584"/>
      <c r="O230" s="161"/>
    </row>
    <row r="231" spans="2:15">
      <c r="B231" s="591"/>
      <c r="C231" s="105" t="s">
        <v>548</v>
      </c>
      <c r="D231" s="105">
        <v>969352</v>
      </c>
      <c r="E231" s="231" t="s">
        <v>650</v>
      </c>
      <c r="F231" s="588"/>
      <c r="G231" s="588"/>
      <c r="H231" s="588"/>
      <c r="I231" s="161"/>
      <c r="J231" s="161"/>
      <c r="K231" s="583"/>
      <c r="L231" s="583"/>
      <c r="M231" s="583"/>
      <c r="N231" s="585"/>
      <c r="O231" s="161"/>
    </row>
    <row r="232" spans="2:15">
      <c r="B232" s="591"/>
      <c r="C232" s="105" t="s">
        <v>515</v>
      </c>
      <c r="D232" s="105">
        <v>31015</v>
      </c>
      <c r="E232" s="231" t="s">
        <v>650</v>
      </c>
      <c r="F232" s="588">
        <v>0</v>
      </c>
      <c r="G232" s="588">
        <v>211.124</v>
      </c>
      <c r="H232" s="588">
        <f>((F232+G232)*0.4)</f>
        <v>84.449600000000004</v>
      </c>
      <c r="I232" s="299">
        <v>0</v>
      </c>
      <c r="J232" s="299">
        <v>211.124</v>
      </c>
      <c r="K232" s="583">
        <f>F232-(I232+I233)</f>
        <v>0</v>
      </c>
      <c r="L232" s="583">
        <f>G232-(J232+J233)</f>
        <v>0</v>
      </c>
      <c r="M232" s="583">
        <f>K232+L232</f>
        <v>0</v>
      </c>
      <c r="N232" s="564">
        <f>((I232+I233)+(J232+J233))/(F232+G232)</f>
        <v>1</v>
      </c>
      <c r="O232" s="161"/>
    </row>
    <row r="233" spans="2:15">
      <c r="B233" s="591"/>
      <c r="C233" s="105" t="s">
        <v>400</v>
      </c>
      <c r="D233" s="105">
        <v>968938</v>
      </c>
      <c r="E233" s="231" t="s">
        <v>650</v>
      </c>
      <c r="F233" s="588"/>
      <c r="G233" s="588"/>
      <c r="H233" s="588"/>
      <c r="I233" s="161"/>
      <c r="J233" s="161"/>
      <c r="K233" s="583"/>
      <c r="L233" s="583"/>
      <c r="M233" s="583"/>
      <c r="N233" s="565"/>
      <c r="O233" s="161"/>
    </row>
    <row r="234" spans="2:15">
      <c r="B234" s="591"/>
      <c r="C234" s="105" t="s">
        <v>549</v>
      </c>
      <c r="D234" s="105">
        <v>964980</v>
      </c>
      <c r="E234" s="231" t="s">
        <v>650</v>
      </c>
      <c r="F234" s="588">
        <v>0</v>
      </c>
      <c r="G234" s="588">
        <v>222.267</v>
      </c>
      <c r="H234" s="588">
        <f>((F234+G234)*0.4)</f>
        <v>88.906800000000004</v>
      </c>
      <c r="I234" s="299">
        <v>0</v>
      </c>
      <c r="J234" s="299">
        <v>228.64699999999999</v>
      </c>
      <c r="K234" s="583">
        <f>F234-(I234+I235)</f>
        <v>0</v>
      </c>
      <c r="L234" s="583">
        <f>G234-(J234+J235)</f>
        <v>-6.3799999999999955</v>
      </c>
      <c r="M234" s="583">
        <f>K234+L234</f>
        <v>-6.3799999999999955</v>
      </c>
      <c r="N234" s="564">
        <f>((I234+I235)+(J234+J235))/(F234+G234)</f>
        <v>1.0287042161004558</v>
      </c>
      <c r="O234" s="161"/>
    </row>
    <row r="235" spans="2:15">
      <c r="B235" s="591"/>
      <c r="C235" s="105" t="s">
        <v>550</v>
      </c>
      <c r="D235" s="105">
        <v>698447</v>
      </c>
      <c r="E235" s="231" t="s">
        <v>650</v>
      </c>
      <c r="F235" s="588"/>
      <c r="G235" s="588"/>
      <c r="H235" s="588"/>
      <c r="I235" s="135"/>
      <c r="J235" s="135"/>
      <c r="K235" s="583"/>
      <c r="L235" s="583"/>
      <c r="M235" s="583"/>
      <c r="N235" s="565"/>
      <c r="O235" s="106"/>
    </row>
    <row r="236" spans="2:15">
      <c r="B236" s="591"/>
      <c r="C236" s="105" t="s">
        <v>551</v>
      </c>
      <c r="D236" s="105">
        <v>962640</v>
      </c>
      <c r="E236" s="231" t="s">
        <v>650</v>
      </c>
      <c r="F236" s="573">
        <v>0.23499999999999999</v>
      </c>
      <c r="G236" s="573">
        <v>0</v>
      </c>
      <c r="H236" s="573">
        <f>((F236+G236)*0.4)</f>
        <v>9.4E-2</v>
      </c>
      <c r="I236" s="161">
        <v>0.23499999999999999</v>
      </c>
      <c r="J236" s="161">
        <v>0</v>
      </c>
      <c r="K236" s="583">
        <f>F236-(I236+I237)</f>
        <v>0</v>
      </c>
      <c r="L236" s="583">
        <f>G236-(J236+J237)</f>
        <v>0</v>
      </c>
      <c r="M236" s="583">
        <f>K236+L236</f>
        <v>0</v>
      </c>
      <c r="N236" s="564">
        <f>((I236+I237)+(J236+J237))/(F236+G236)</f>
        <v>1</v>
      </c>
      <c r="O236" s="161"/>
    </row>
    <row r="237" spans="2:15">
      <c r="B237" s="591"/>
      <c r="C237" s="105" t="s">
        <v>432</v>
      </c>
      <c r="D237" s="105">
        <v>954793</v>
      </c>
      <c r="E237" s="231" t="s">
        <v>650</v>
      </c>
      <c r="F237" s="575"/>
      <c r="G237" s="575"/>
      <c r="H237" s="575"/>
      <c r="I237" s="161"/>
      <c r="J237" s="161"/>
      <c r="K237" s="583"/>
      <c r="L237" s="583"/>
      <c r="M237" s="583"/>
      <c r="N237" s="565"/>
      <c r="O237" s="161"/>
    </row>
    <row r="238" spans="2:15">
      <c r="B238" s="591"/>
      <c r="C238" s="105" t="s">
        <v>521</v>
      </c>
      <c r="D238" s="105">
        <v>968817</v>
      </c>
      <c r="E238" s="231" t="s">
        <v>650</v>
      </c>
      <c r="F238" s="588">
        <v>6.5359999999999996</v>
      </c>
      <c r="G238" s="588">
        <v>0</v>
      </c>
      <c r="H238" s="588">
        <f>((F238+G238)*0.4)</f>
        <v>2.6143999999999998</v>
      </c>
      <c r="I238" s="161">
        <v>47.456000000000003</v>
      </c>
      <c r="J238" s="161">
        <v>650.96</v>
      </c>
      <c r="K238" s="554">
        <f>F238-(I238+I239+I240+I241)</f>
        <v>-40.92</v>
      </c>
      <c r="L238" s="554">
        <f>G238-(J238+J239+J240+J241)</f>
        <v>-650.96</v>
      </c>
      <c r="M238" s="554">
        <f>K238+L238</f>
        <v>-691.88</v>
      </c>
      <c r="N238" s="587">
        <f>((I238+I239+I240+I241)+(J238+J239+J240+J241))/(F238+G238)</f>
        <v>106.85679314565485</v>
      </c>
      <c r="O238" s="161"/>
    </row>
    <row r="239" spans="2:15">
      <c r="B239" s="591"/>
      <c r="C239" s="105" t="s">
        <v>519</v>
      </c>
      <c r="D239" s="105">
        <v>963960</v>
      </c>
      <c r="E239" s="231" t="s">
        <v>650</v>
      </c>
      <c r="F239" s="588"/>
      <c r="G239" s="588"/>
      <c r="H239" s="588"/>
      <c r="I239" s="161"/>
      <c r="J239" s="161"/>
      <c r="K239" s="586"/>
      <c r="L239" s="586"/>
      <c r="M239" s="586"/>
      <c r="N239" s="587"/>
      <c r="O239" s="161"/>
    </row>
    <row r="240" spans="2:15">
      <c r="B240" s="591"/>
      <c r="C240" s="105" t="s">
        <v>526</v>
      </c>
      <c r="D240" s="105">
        <v>697475</v>
      </c>
      <c r="E240" s="231" t="s">
        <v>650</v>
      </c>
      <c r="F240" s="588"/>
      <c r="G240" s="588"/>
      <c r="H240" s="588"/>
      <c r="I240" s="161"/>
      <c r="J240" s="161"/>
      <c r="K240" s="586"/>
      <c r="L240" s="586"/>
      <c r="M240" s="586"/>
      <c r="N240" s="587"/>
      <c r="O240" s="161"/>
    </row>
    <row r="241" spans="2:15">
      <c r="B241" s="592"/>
      <c r="C241" s="105" t="s">
        <v>520</v>
      </c>
      <c r="D241" s="105">
        <v>697489</v>
      </c>
      <c r="E241" s="231" t="s">
        <v>650</v>
      </c>
      <c r="F241" s="588"/>
      <c r="G241" s="588"/>
      <c r="H241" s="588"/>
      <c r="I241" s="161"/>
      <c r="J241" s="161"/>
      <c r="K241" s="555"/>
      <c r="L241" s="555"/>
      <c r="M241" s="555"/>
      <c r="N241" s="587"/>
      <c r="O241" s="161"/>
    </row>
    <row r="242" spans="2:15">
      <c r="B242" s="589" t="s">
        <v>285</v>
      </c>
      <c r="C242" s="189" t="s">
        <v>596</v>
      </c>
      <c r="D242" s="189">
        <v>968700</v>
      </c>
      <c r="E242" s="231" t="s">
        <v>650</v>
      </c>
      <c r="F242" s="589">
        <v>420.4</v>
      </c>
      <c r="G242" s="573">
        <v>0</v>
      </c>
      <c r="H242" s="573">
        <f>((F242+G242)*0.4)</f>
        <v>168.16</v>
      </c>
      <c r="I242" s="323">
        <v>203.65899999999999</v>
      </c>
      <c r="J242" s="299">
        <v>216.74100000000001</v>
      </c>
      <c r="K242" s="583">
        <f>F242-(I242+I243)</f>
        <v>216.74099999999999</v>
      </c>
      <c r="L242" s="583">
        <f>G242-(J242+J243)</f>
        <v>-216.74100000000001</v>
      </c>
      <c r="M242" s="583">
        <f>K242+L242</f>
        <v>0</v>
      </c>
      <c r="N242" s="564">
        <f>((I242+I243)+(J242+J243))/(F242+G242)</f>
        <v>1</v>
      </c>
      <c r="O242" s="188"/>
    </row>
    <row r="243" spans="2:15">
      <c r="B243" s="589"/>
      <c r="C243" s="189" t="s">
        <v>597</v>
      </c>
      <c r="D243" s="189">
        <v>968401</v>
      </c>
      <c r="E243" s="231" t="s">
        <v>650</v>
      </c>
      <c r="F243" s="589"/>
      <c r="G243" s="575"/>
      <c r="H243" s="575"/>
      <c r="I243" s="188"/>
      <c r="J243" s="188"/>
      <c r="K243" s="583"/>
      <c r="L243" s="583"/>
      <c r="M243" s="583"/>
      <c r="N243" s="565"/>
      <c r="O243" s="188"/>
    </row>
    <row r="244" spans="2:15">
      <c r="B244" s="590" t="s">
        <v>570</v>
      </c>
      <c r="C244" s="170" t="s">
        <v>552</v>
      </c>
      <c r="D244" s="170">
        <v>697263</v>
      </c>
      <c r="E244" s="172" t="s">
        <v>579</v>
      </c>
      <c r="F244" s="131">
        <v>0</v>
      </c>
      <c r="G244" s="170">
        <v>277.99700000000001</v>
      </c>
      <c r="H244" s="132">
        <f>((F244+G244)*0.4)</f>
        <v>111.19880000000001</v>
      </c>
      <c r="I244" s="106"/>
      <c r="J244" s="106">
        <v>149.84899999999999</v>
      </c>
      <c r="K244" s="106">
        <f>F244-I244</f>
        <v>0</v>
      </c>
      <c r="L244" s="106">
        <f>G244-J244</f>
        <v>128.14800000000002</v>
      </c>
      <c r="M244" s="106">
        <f>K244+L244</f>
        <v>128.14800000000002</v>
      </c>
      <c r="N244" s="77">
        <f t="shared" ref="N244:N248" si="100">(I244+J244)/(F244+G244)</f>
        <v>0.53903099673737476</v>
      </c>
      <c r="O244" s="106"/>
    </row>
    <row r="245" spans="2:15">
      <c r="B245" s="591"/>
      <c r="C245" s="170" t="s">
        <v>553</v>
      </c>
      <c r="D245" s="170">
        <v>964021</v>
      </c>
      <c r="E245" s="172" t="s">
        <v>579</v>
      </c>
      <c r="F245" s="131">
        <v>0</v>
      </c>
      <c r="G245" s="170">
        <v>18.756</v>
      </c>
      <c r="H245" s="170">
        <f t="shared" ref="H245:H261" si="101">((F245+G245)*0.4)</f>
        <v>7.5024000000000006</v>
      </c>
      <c r="I245" s="106"/>
      <c r="J245" s="106"/>
      <c r="K245" s="123">
        <f t="shared" ref="K245:K248" si="102">F245-I245</f>
        <v>0</v>
      </c>
      <c r="L245" s="106">
        <f t="shared" ref="L245:L248" si="103">G245-J245</f>
        <v>18.756</v>
      </c>
      <c r="M245" s="123">
        <f t="shared" ref="M245:M248" si="104">K245+L245</f>
        <v>18.756</v>
      </c>
      <c r="N245" s="77">
        <f t="shared" si="100"/>
        <v>0</v>
      </c>
      <c r="O245" s="106"/>
    </row>
    <row r="246" spans="2:15">
      <c r="B246" s="591"/>
      <c r="C246" s="170" t="s">
        <v>554</v>
      </c>
      <c r="D246" s="170">
        <v>965369</v>
      </c>
      <c r="E246" s="172" t="s">
        <v>579</v>
      </c>
      <c r="F246" s="170">
        <v>1.4470000000000001</v>
      </c>
      <c r="G246" s="170">
        <v>1.4279999999999999</v>
      </c>
      <c r="H246" s="170">
        <f t="shared" si="101"/>
        <v>1.1500000000000001</v>
      </c>
      <c r="I246" s="106"/>
      <c r="J246" s="106"/>
      <c r="K246" s="106">
        <f t="shared" si="102"/>
        <v>1.4470000000000001</v>
      </c>
      <c r="L246" s="106">
        <f t="shared" si="103"/>
        <v>1.4279999999999999</v>
      </c>
      <c r="M246" s="106">
        <f t="shared" si="104"/>
        <v>2.875</v>
      </c>
      <c r="N246" s="77">
        <f t="shared" si="100"/>
        <v>0</v>
      </c>
      <c r="O246" s="106"/>
    </row>
    <row r="247" spans="2:15">
      <c r="B247" s="591"/>
      <c r="C247" s="170" t="s">
        <v>555</v>
      </c>
      <c r="D247" s="170">
        <v>951113</v>
      </c>
      <c r="E247" s="172" t="s">
        <v>579</v>
      </c>
      <c r="F247" s="170">
        <v>5.5659999999999998</v>
      </c>
      <c r="G247" s="170">
        <v>0.89</v>
      </c>
      <c r="H247" s="170">
        <f t="shared" si="101"/>
        <v>2.5823999999999998</v>
      </c>
      <c r="I247" s="106">
        <v>5.5659999999999998</v>
      </c>
      <c r="J247" s="106"/>
      <c r="K247" s="106">
        <f t="shared" si="102"/>
        <v>0</v>
      </c>
      <c r="L247" s="106">
        <f t="shared" si="103"/>
        <v>0.89</v>
      </c>
      <c r="M247" s="106">
        <f t="shared" si="104"/>
        <v>0.89</v>
      </c>
      <c r="N247" s="77">
        <f t="shared" si="100"/>
        <v>0.86214374225526647</v>
      </c>
      <c r="O247" s="106"/>
    </row>
    <row r="248" spans="2:15">
      <c r="B248" s="592"/>
      <c r="C248" s="170" t="s">
        <v>556</v>
      </c>
      <c r="D248" s="170">
        <v>966686</v>
      </c>
      <c r="E248" s="172" t="s">
        <v>579</v>
      </c>
      <c r="F248" s="170">
        <v>1.577</v>
      </c>
      <c r="G248" s="170">
        <v>33.252000000000002</v>
      </c>
      <c r="H248" s="170">
        <f t="shared" si="101"/>
        <v>13.931600000000001</v>
      </c>
      <c r="I248" s="106"/>
      <c r="J248" s="106">
        <v>33</v>
      </c>
      <c r="K248" s="106">
        <f t="shared" si="102"/>
        <v>1.577</v>
      </c>
      <c r="L248" s="106">
        <f t="shared" si="103"/>
        <v>0.25200000000000244</v>
      </c>
      <c r="M248" s="106">
        <f t="shared" si="104"/>
        <v>1.8290000000000024</v>
      </c>
      <c r="N248" s="77">
        <f t="shared" si="100"/>
        <v>0.94748629016049846</v>
      </c>
      <c r="O248" s="106"/>
    </row>
    <row r="249" spans="2:15">
      <c r="B249" s="590" t="s">
        <v>571</v>
      </c>
      <c r="C249" s="170" t="s">
        <v>557</v>
      </c>
      <c r="D249" s="170">
        <v>953746</v>
      </c>
      <c r="E249" s="172" t="s">
        <v>579</v>
      </c>
      <c r="F249" s="170">
        <v>44.835000000000001</v>
      </c>
      <c r="G249" s="132">
        <v>0</v>
      </c>
      <c r="H249" s="170">
        <f t="shared" si="101"/>
        <v>17.934000000000001</v>
      </c>
      <c r="I249" s="230">
        <v>26.901</v>
      </c>
      <c r="J249" s="230">
        <v>17.934000000000001</v>
      </c>
      <c r="K249" s="106">
        <f>F249-I249</f>
        <v>17.934000000000001</v>
      </c>
      <c r="L249" s="106">
        <f>G249-J249</f>
        <v>-17.934000000000001</v>
      </c>
      <c r="M249" s="106">
        <f>K249+L249</f>
        <v>0</v>
      </c>
      <c r="N249" s="77">
        <f t="shared" ref="N249:N261" si="105">(I249+J249)/(F249+G249)</f>
        <v>1</v>
      </c>
      <c r="O249" s="106"/>
    </row>
    <row r="250" spans="2:15">
      <c r="B250" s="591"/>
      <c r="C250" s="170" t="s">
        <v>558</v>
      </c>
      <c r="D250" s="170">
        <v>951206</v>
      </c>
      <c r="E250" s="172" t="s">
        <v>579</v>
      </c>
      <c r="F250" s="170">
        <v>3.6930000000000001</v>
      </c>
      <c r="G250" s="170">
        <v>6.34</v>
      </c>
      <c r="H250" s="170">
        <f t="shared" si="101"/>
        <v>4.0132000000000003</v>
      </c>
      <c r="I250" s="230">
        <v>0</v>
      </c>
      <c r="J250" s="230">
        <v>10.032999999999999</v>
      </c>
      <c r="K250" s="106">
        <f t="shared" ref="K250:K261" si="106">F250-I250</f>
        <v>3.6930000000000001</v>
      </c>
      <c r="L250" s="106">
        <f t="shared" ref="L250:L261" si="107">G250-J250</f>
        <v>-3.6929999999999996</v>
      </c>
      <c r="M250" s="106">
        <f t="shared" ref="M250:M261" si="108">K250+L250</f>
        <v>0</v>
      </c>
      <c r="N250" s="77">
        <f t="shared" si="105"/>
        <v>1</v>
      </c>
      <c r="O250" s="106"/>
    </row>
    <row r="251" spans="2:15">
      <c r="B251" s="591"/>
      <c r="C251" s="170" t="s">
        <v>559</v>
      </c>
      <c r="D251" s="170">
        <v>966969</v>
      </c>
      <c r="E251" s="172" t="s">
        <v>579</v>
      </c>
      <c r="F251" s="170">
        <v>0.32500000000000001</v>
      </c>
      <c r="G251" s="170">
        <v>41.435000000000002</v>
      </c>
      <c r="H251" s="170">
        <f t="shared" si="101"/>
        <v>16.704000000000004</v>
      </c>
      <c r="I251" s="179">
        <v>0</v>
      </c>
      <c r="J251" s="179">
        <v>0</v>
      </c>
      <c r="K251" s="106">
        <f t="shared" si="106"/>
        <v>0.32500000000000001</v>
      </c>
      <c r="L251" s="106">
        <f t="shared" si="107"/>
        <v>41.435000000000002</v>
      </c>
      <c r="M251" s="106">
        <f t="shared" si="108"/>
        <v>41.760000000000005</v>
      </c>
      <c r="N251" s="77">
        <f t="shared" si="105"/>
        <v>0</v>
      </c>
      <c r="O251" s="106"/>
    </row>
    <row r="252" spans="2:15">
      <c r="B252" s="591"/>
      <c r="C252" s="170" t="s">
        <v>387</v>
      </c>
      <c r="D252" s="170">
        <v>11718</v>
      </c>
      <c r="E252" s="172" t="s">
        <v>579</v>
      </c>
      <c r="F252" s="170">
        <v>66.623000000000005</v>
      </c>
      <c r="G252" s="170">
        <v>32.915999999999997</v>
      </c>
      <c r="H252" s="170">
        <f t="shared" si="101"/>
        <v>39.815600000000003</v>
      </c>
      <c r="I252" s="230">
        <v>26.806999999999999</v>
      </c>
      <c r="J252" s="230">
        <v>72.731999999999999</v>
      </c>
      <c r="K252" s="106">
        <f t="shared" si="106"/>
        <v>39.816000000000003</v>
      </c>
      <c r="L252" s="106">
        <f t="shared" si="107"/>
        <v>-39.816000000000003</v>
      </c>
      <c r="M252" s="106">
        <f t="shared" si="108"/>
        <v>0</v>
      </c>
      <c r="N252" s="77">
        <f t="shared" si="105"/>
        <v>1</v>
      </c>
      <c r="O252" s="106"/>
    </row>
    <row r="253" spans="2:15">
      <c r="B253" s="591"/>
      <c r="C253" s="170" t="s">
        <v>560</v>
      </c>
      <c r="D253" s="170">
        <v>915627</v>
      </c>
      <c r="E253" s="172" t="s">
        <v>579</v>
      </c>
      <c r="F253" s="170">
        <v>4.8559999999999999</v>
      </c>
      <c r="G253" s="170">
        <v>15.941000000000001</v>
      </c>
      <c r="H253" s="170">
        <f t="shared" si="101"/>
        <v>8.3188000000000013</v>
      </c>
      <c r="I253" s="179">
        <v>0</v>
      </c>
      <c r="J253" s="179">
        <v>0</v>
      </c>
      <c r="K253" s="106">
        <f t="shared" si="106"/>
        <v>4.8559999999999999</v>
      </c>
      <c r="L253" s="106">
        <f t="shared" si="107"/>
        <v>15.941000000000001</v>
      </c>
      <c r="M253" s="106">
        <f t="shared" si="108"/>
        <v>20.797000000000001</v>
      </c>
      <c r="N253" s="77">
        <f t="shared" si="105"/>
        <v>0</v>
      </c>
      <c r="O253" s="106"/>
    </row>
    <row r="254" spans="2:15">
      <c r="B254" s="591"/>
      <c r="C254" s="170" t="s">
        <v>561</v>
      </c>
      <c r="D254" s="170">
        <v>966293</v>
      </c>
      <c r="E254" s="172" t="s">
        <v>579</v>
      </c>
      <c r="F254" s="170">
        <v>25.5</v>
      </c>
      <c r="G254" s="132">
        <v>0</v>
      </c>
      <c r="H254" s="170">
        <f t="shared" si="101"/>
        <v>10.200000000000001</v>
      </c>
      <c r="I254" s="230">
        <v>15.981999999999999</v>
      </c>
      <c r="J254" s="230">
        <v>9.5180000000000007</v>
      </c>
      <c r="K254" s="106">
        <f t="shared" si="106"/>
        <v>9.5180000000000007</v>
      </c>
      <c r="L254" s="106">
        <f t="shared" si="107"/>
        <v>-9.5180000000000007</v>
      </c>
      <c r="M254" s="106">
        <f t="shared" si="108"/>
        <v>0</v>
      </c>
      <c r="N254" s="77">
        <f t="shared" si="105"/>
        <v>1</v>
      </c>
      <c r="O254" s="106"/>
    </row>
    <row r="255" spans="2:15">
      <c r="B255" s="591"/>
      <c r="C255" s="170" t="s">
        <v>562</v>
      </c>
      <c r="D255" s="170">
        <v>961132</v>
      </c>
      <c r="E255" s="172" t="s">
        <v>579</v>
      </c>
      <c r="F255" s="170">
        <v>1.0489999999999999</v>
      </c>
      <c r="G255" s="132">
        <v>0</v>
      </c>
      <c r="H255" s="170">
        <f t="shared" si="101"/>
        <v>0.41959999999999997</v>
      </c>
      <c r="I255" s="230">
        <v>0.629</v>
      </c>
      <c r="J255" s="230">
        <v>0.42</v>
      </c>
      <c r="K255" s="106">
        <f t="shared" si="106"/>
        <v>0.41999999999999993</v>
      </c>
      <c r="L255" s="106">
        <f t="shared" si="107"/>
        <v>-0.42</v>
      </c>
      <c r="M255" s="106">
        <f t="shared" si="108"/>
        <v>0</v>
      </c>
      <c r="N255" s="77">
        <f t="shared" si="105"/>
        <v>1</v>
      </c>
      <c r="O255" s="106"/>
    </row>
    <row r="256" spans="2:15">
      <c r="B256" s="591"/>
      <c r="C256" s="170" t="s">
        <v>563</v>
      </c>
      <c r="D256" s="170">
        <v>966133</v>
      </c>
      <c r="E256" s="172" t="s">
        <v>579</v>
      </c>
      <c r="F256" s="170">
        <v>0.01</v>
      </c>
      <c r="G256" s="132">
        <v>0</v>
      </c>
      <c r="H256" s="170">
        <f t="shared" si="101"/>
        <v>4.0000000000000001E-3</v>
      </c>
      <c r="I256" s="230">
        <v>6.0000000000000001E-3</v>
      </c>
      <c r="J256" s="230">
        <v>4.0000000000000001E-3</v>
      </c>
      <c r="K256" s="106">
        <f t="shared" si="106"/>
        <v>4.0000000000000001E-3</v>
      </c>
      <c r="L256" s="106">
        <f t="shared" si="107"/>
        <v>-4.0000000000000001E-3</v>
      </c>
      <c r="M256" s="106">
        <f t="shared" si="108"/>
        <v>0</v>
      </c>
      <c r="N256" s="77">
        <f t="shared" si="105"/>
        <v>1</v>
      </c>
      <c r="O256" s="106"/>
    </row>
    <row r="257" spans="2:15">
      <c r="B257" s="591"/>
      <c r="C257" s="170" t="s">
        <v>564</v>
      </c>
      <c r="D257" s="170">
        <v>925451</v>
      </c>
      <c r="E257" s="172" t="s">
        <v>579</v>
      </c>
      <c r="F257" s="170">
        <v>1</v>
      </c>
      <c r="G257" s="170">
        <v>3.62</v>
      </c>
      <c r="H257" s="170">
        <f t="shared" si="101"/>
        <v>1.8480000000000001</v>
      </c>
      <c r="I257" s="230">
        <v>1</v>
      </c>
      <c r="J257" s="230">
        <v>3.62</v>
      </c>
      <c r="K257" s="106">
        <f t="shared" si="106"/>
        <v>0</v>
      </c>
      <c r="L257" s="106">
        <f t="shared" si="107"/>
        <v>0</v>
      </c>
      <c r="M257" s="106">
        <f t="shared" si="108"/>
        <v>0</v>
      </c>
      <c r="N257" s="77">
        <f t="shared" si="105"/>
        <v>1</v>
      </c>
      <c r="O257" s="106"/>
    </row>
    <row r="258" spans="2:15">
      <c r="B258" s="591"/>
      <c r="C258" s="170" t="s">
        <v>565</v>
      </c>
      <c r="D258" s="170">
        <v>956926</v>
      </c>
      <c r="E258" s="172" t="s">
        <v>579</v>
      </c>
      <c r="F258" s="170">
        <v>2.427</v>
      </c>
      <c r="G258" s="170">
        <v>9.0999999999999998E-2</v>
      </c>
      <c r="H258" s="170">
        <f t="shared" si="101"/>
        <v>1.0072000000000001</v>
      </c>
      <c r="I258" s="230">
        <v>1.42</v>
      </c>
      <c r="J258" s="230">
        <v>1.0980000000000001</v>
      </c>
      <c r="K258" s="106">
        <f t="shared" si="106"/>
        <v>1.0070000000000001</v>
      </c>
      <c r="L258" s="106">
        <f t="shared" si="107"/>
        <v>-1.0070000000000001</v>
      </c>
      <c r="M258" s="106">
        <f t="shared" si="108"/>
        <v>0</v>
      </c>
      <c r="N258" s="77">
        <f t="shared" si="105"/>
        <v>0.99999999999999978</v>
      </c>
      <c r="O258" s="106"/>
    </row>
    <row r="259" spans="2:15">
      <c r="B259" s="591"/>
      <c r="C259" s="170" t="s">
        <v>566</v>
      </c>
      <c r="D259" s="170">
        <v>916067</v>
      </c>
      <c r="E259" s="172" t="s">
        <v>579</v>
      </c>
      <c r="F259" s="131">
        <v>0</v>
      </c>
      <c r="G259" s="170">
        <v>2.681</v>
      </c>
      <c r="H259" s="170">
        <f t="shared" si="101"/>
        <v>1.0724</v>
      </c>
      <c r="I259" s="230">
        <v>0</v>
      </c>
      <c r="J259" s="230">
        <v>2.681</v>
      </c>
      <c r="K259" s="123">
        <f t="shared" si="106"/>
        <v>0</v>
      </c>
      <c r="L259" s="106">
        <f t="shared" si="107"/>
        <v>0</v>
      </c>
      <c r="M259" s="123">
        <f t="shared" si="108"/>
        <v>0</v>
      </c>
      <c r="N259" s="77">
        <f t="shared" si="105"/>
        <v>1</v>
      </c>
      <c r="O259" s="106"/>
    </row>
    <row r="260" spans="2:15">
      <c r="B260" s="591"/>
      <c r="C260" s="170" t="s">
        <v>567</v>
      </c>
      <c r="D260" s="170">
        <v>964972</v>
      </c>
      <c r="E260" s="172" t="s">
        <v>579</v>
      </c>
      <c r="F260" s="131">
        <v>0</v>
      </c>
      <c r="G260" s="170">
        <v>24.215</v>
      </c>
      <c r="H260" s="170">
        <f t="shared" si="101"/>
        <v>9.6859999999999999</v>
      </c>
      <c r="I260" s="179">
        <v>0</v>
      </c>
      <c r="J260" s="179">
        <v>24.215</v>
      </c>
      <c r="K260" s="106">
        <f t="shared" si="106"/>
        <v>0</v>
      </c>
      <c r="L260" s="106">
        <f t="shared" si="107"/>
        <v>0</v>
      </c>
      <c r="M260" s="106">
        <f t="shared" si="108"/>
        <v>0</v>
      </c>
      <c r="N260" s="77">
        <f t="shared" si="105"/>
        <v>1</v>
      </c>
      <c r="O260" s="106"/>
    </row>
    <row r="261" spans="2:15">
      <c r="B261" s="592"/>
      <c r="C261" s="170" t="s">
        <v>568</v>
      </c>
      <c r="D261" s="170">
        <v>958703</v>
      </c>
      <c r="E261" s="172" t="s">
        <v>579</v>
      </c>
      <c r="F261" s="131">
        <v>0</v>
      </c>
      <c r="G261" s="170">
        <v>1.78</v>
      </c>
      <c r="H261" s="170">
        <f t="shared" si="101"/>
        <v>0.71200000000000008</v>
      </c>
      <c r="I261" s="230">
        <v>0</v>
      </c>
      <c r="J261" s="230">
        <v>1.78</v>
      </c>
      <c r="K261" s="106">
        <f t="shared" si="106"/>
        <v>0</v>
      </c>
      <c r="L261" s="106">
        <f t="shared" si="107"/>
        <v>0</v>
      </c>
      <c r="M261" s="106">
        <f t="shared" si="108"/>
        <v>0</v>
      </c>
      <c r="N261" s="77">
        <f t="shared" si="105"/>
        <v>1</v>
      </c>
      <c r="O261" s="106"/>
    </row>
    <row r="262" spans="2:15">
      <c r="B262" s="590" t="s">
        <v>571</v>
      </c>
      <c r="C262" s="170" t="s">
        <v>569</v>
      </c>
      <c r="D262" s="170">
        <v>698145</v>
      </c>
      <c r="E262" s="172" t="s">
        <v>579</v>
      </c>
      <c r="F262" s="554">
        <v>8.5000000000000006E-2</v>
      </c>
      <c r="G262" s="554">
        <v>0</v>
      </c>
      <c r="H262" s="593">
        <f>((F262+G262)*0.4)</f>
        <v>3.4000000000000002E-2</v>
      </c>
      <c r="I262" s="179">
        <v>8.5000000000000006E-2</v>
      </c>
      <c r="J262" s="179">
        <v>0</v>
      </c>
      <c r="K262" s="593">
        <f>F262-(I262+I263+I264)</f>
        <v>0</v>
      </c>
      <c r="L262" s="593">
        <f>G262-(J262+J263+J264)</f>
        <v>0</v>
      </c>
      <c r="M262" s="593">
        <f>K262+L262</f>
        <v>0</v>
      </c>
      <c r="N262" s="564">
        <f>((I262+I263+I264)+(J262+J263+J264))/(F262+G262)</f>
        <v>1</v>
      </c>
      <c r="O262" s="106"/>
    </row>
    <row r="263" spans="2:15">
      <c r="B263" s="591"/>
      <c r="C263" s="170" t="s">
        <v>562</v>
      </c>
      <c r="D263" s="170">
        <v>961132</v>
      </c>
      <c r="E263" s="172" t="s">
        <v>579</v>
      </c>
      <c r="F263" s="586"/>
      <c r="G263" s="586"/>
      <c r="H263" s="584"/>
      <c r="I263" s="179">
        <v>0</v>
      </c>
      <c r="J263" s="179">
        <v>0</v>
      </c>
      <c r="K263" s="584"/>
      <c r="L263" s="584"/>
      <c r="M263" s="584"/>
      <c r="N263" s="584"/>
      <c r="O263" s="106"/>
    </row>
    <row r="264" spans="2:15">
      <c r="B264" s="592"/>
      <c r="C264" s="169" t="s">
        <v>567</v>
      </c>
      <c r="D264" s="169">
        <v>964972</v>
      </c>
      <c r="E264" s="172" t="s">
        <v>579</v>
      </c>
      <c r="F264" s="555"/>
      <c r="G264" s="555"/>
      <c r="H264" s="585"/>
      <c r="I264" s="179">
        <v>0</v>
      </c>
      <c r="J264" s="179">
        <v>0</v>
      </c>
      <c r="K264" s="585"/>
      <c r="L264" s="585"/>
      <c r="M264" s="585"/>
      <c r="N264" s="585"/>
      <c r="O264" s="169"/>
    </row>
  </sheetData>
  <mergeCells count="246">
    <mergeCell ref="B242:B243"/>
    <mergeCell ref="F242:F243"/>
    <mergeCell ref="G242:G243"/>
    <mergeCell ref="H242:H243"/>
    <mergeCell ref="K242:K243"/>
    <mergeCell ref="L242:L243"/>
    <mergeCell ref="M242:M243"/>
    <mergeCell ref="N242:N243"/>
    <mergeCell ref="N262:N264"/>
    <mergeCell ref="B244:B248"/>
    <mergeCell ref="B249:B261"/>
    <mergeCell ref="F262:F264"/>
    <mergeCell ref="B262:B264"/>
    <mergeCell ref="G262:G264"/>
    <mergeCell ref="H262:H264"/>
    <mergeCell ref="K262:K264"/>
    <mergeCell ref="L262:L264"/>
    <mergeCell ref="M262:M264"/>
    <mergeCell ref="F159:F160"/>
    <mergeCell ref="G159:G160"/>
    <mergeCell ref="B2:O2"/>
    <mergeCell ref="B3:O3"/>
    <mergeCell ref="B6:B158"/>
    <mergeCell ref="B159:B241"/>
    <mergeCell ref="G206:G209"/>
    <mergeCell ref="G210:G212"/>
    <mergeCell ref="G213:G214"/>
    <mergeCell ref="G215:G216"/>
    <mergeCell ref="G217:G218"/>
    <mergeCell ref="G219:G221"/>
    <mergeCell ref="G222:G225"/>
    <mergeCell ref="G226:G228"/>
    <mergeCell ref="G229:G231"/>
    <mergeCell ref="G232:G233"/>
    <mergeCell ref="G234:G235"/>
    <mergeCell ref="F238:F241"/>
    <mergeCell ref="F229:F231"/>
    <mergeCell ref="F226:F228"/>
    <mergeCell ref="F232:F233"/>
    <mergeCell ref="F234:F235"/>
    <mergeCell ref="G238:G241"/>
    <mergeCell ref="G204:G205"/>
    <mergeCell ref="G192:G193"/>
    <mergeCell ref="F173:F175"/>
    <mergeCell ref="F176:F177"/>
    <mergeCell ref="F178:F179"/>
    <mergeCell ref="F180:F182"/>
    <mergeCell ref="F185:F186"/>
    <mergeCell ref="F187:F189"/>
    <mergeCell ref="F190:F191"/>
    <mergeCell ref="F192:F193"/>
    <mergeCell ref="F194:F196"/>
    <mergeCell ref="F197:F200"/>
    <mergeCell ref="F201:F203"/>
    <mergeCell ref="F165:F166"/>
    <mergeCell ref="F167:F168"/>
    <mergeCell ref="H165:H166"/>
    <mergeCell ref="H167:H168"/>
    <mergeCell ref="G167:G168"/>
    <mergeCell ref="G163:G164"/>
    <mergeCell ref="G169:G172"/>
    <mergeCell ref="G185:G186"/>
    <mergeCell ref="G187:G189"/>
    <mergeCell ref="G173:G175"/>
    <mergeCell ref="G176:G177"/>
    <mergeCell ref="G178:G179"/>
    <mergeCell ref="G180:G182"/>
    <mergeCell ref="G183:G184"/>
    <mergeCell ref="H163:H164"/>
    <mergeCell ref="H169:H172"/>
    <mergeCell ref="H173:H175"/>
    <mergeCell ref="G165:G166"/>
    <mergeCell ref="F163:F164"/>
    <mergeCell ref="F169:F172"/>
    <mergeCell ref="G190:G191"/>
    <mergeCell ref="H176:H177"/>
    <mergeCell ref="H178:H179"/>
    <mergeCell ref="H180:H182"/>
    <mergeCell ref="H183:H184"/>
    <mergeCell ref="H185:H186"/>
    <mergeCell ref="F183:F184"/>
    <mergeCell ref="F204:F205"/>
    <mergeCell ref="N187:N189"/>
    <mergeCell ref="K190:K191"/>
    <mergeCell ref="N176:N177"/>
    <mergeCell ref="N178:N179"/>
    <mergeCell ref="N180:N182"/>
    <mergeCell ref="K183:K184"/>
    <mergeCell ref="L183:L184"/>
    <mergeCell ref="M183:M184"/>
    <mergeCell ref="N183:N184"/>
    <mergeCell ref="K185:K186"/>
    <mergeCell ref="L185:L186"/>
    <mergeCell ref="M185:M186"/>
    <mergeCell ref="N185:N186"/>
    <mergeCell ref="L190:L191"/>
    <mergeCell ref="M190:M191"/>
    <mergeCell ref="N190:N191"/>
    <mergeCell ref="M178:M179"/>
    <mergeCell ref="K165:K166"/>
    <mergeCell ref="L165:L166"/>
    <mergeCell ref="M165:M166"/>
    <mergeCell ref="N165:N166"/>
    <mergeCell ref="K167:K168"/>
    <mergeCell ref="L167:L168"/>
    <mergeCell ref="M167:M168"/>
    <mergeCell ref="N167:N168"/>
    <mergeCell ref="M176:M177"/>
    <mergeCell ref="N169:N172"/>
    <mergeCell ref="K173:K175"/>
    <mergeCell ref="L173:L175"/>
    <mergeCell ref="M173:M175"/>
    <mergeCell ref="N173:N175"/>
    <mergeCell ref="L176:L177"/>
    <mergeCell ref="K176:K177"/>
    <mergeCell ref="F206:F209"/>
    <mergeCell ref="F210:F212"/>
    <mergeCell ref="F213:F214"/>
    <mergeCell ref="F215:F216"/>
    <mergeCell ref="F217:F218"/>
    <mergeCell ref="F219:F221"/>
    <mergeCell ref="F222:F225"/>
    <mergeCell ref="H187:H189"/>
    <mergeCell ref="H190:H191"/>
    <mergeCell ref="H192:H193"/>
    <mergeCell ref="H194:H196"/>
    <mergeCell ref="H197:H200"/>
    <mergeCell ref="H201:H203"/>
    <mergeCell ref="H204:H205"/>
    <mergeCell ref="H206:H209"/>
    <mergeCell ref="H210:H212"/>
    <mergeCell ref="H213:H214"/>
    <mergeCell ref="H215:H216"/>
    <mergeCell ref="H217:H218"/>
    <mergeCell ref="H219:H221"/>
    <mergeCell ref="H222:H225"/>
    <mergeCell ref="G194:G196"/>
    <mergeCell ref="G197:G200"/>
    <mergeCell ref="G201:G203"/>
    <mergeCell ref="K163:K164"/>
    <mergeCell ref="M163:M164"/>
    <mergeCell ref="N163:N164"/>
    <mergeCell ref="L163:L164"/>
    <mergeCell ref="H226:H228"/>
    <mergeCell ref="H229:H231"/>
    <mergeCell ref="H232:H233"/>
    <mergeCell ref="H234:H235"/>
    <mergeCell ref="H238:H241"/>
    <mergeCell ref="K169:K172"/>
    <mergeCell ref="L169:L172"/>
    <mergeCell ref="M169:M172"/>
    <mergeCell ref="K192:K193"/>
    <mergeCell ref="L192:L193"/>
    <mergeCell ref="M192:M193"/>
    <mergeCell ref="K201:K203"/>
    <mergeCell ref="L201:L203"/>
    <mergeCell ref="M201:M203"/>
    <mergeCell ref="K217:K218"/>
    <mergeCell ref="L217:L218"/>
    <mergeCell ref="M217:M218"/>
    <mergeCell ref="K226:K228"/>
    <mergeCell ref="L226:L228"/>
    <mergeCell ref="M226:M228"/>
    <mergeCell ref="K180:K182"/>
    <mergeCell ref="L180:L182"/>
    <mergeCell ref="M180:M182"/>
    <mergeCell ref="K187:K189"/>
    <mergeCell ref="L187:L189"/>
    <mergeCell ref="M187:M189"/>
    <mergeCell ref="K178:K179"/>
    <mergeCell ref="L178:L179"/>
    <mergeCell ref="N192:N193"/>
    <mergeCell ref="K197:K200"/>
    <mergeCell ref="L197:L200"/>
    <mergeCell ref="M197:M200"/>
    <mergeCell ref="N197:N200"/>
    <mergeCell ref="K194:K196"/>
    <mergeCell ref="L194:L196"/>
    <mergeCell ref="M194:M196"/>
    <mergeCell ref="N194:N196"/>
    <mergeCell ref="N201:N203"/>
    <mergeCell ref="K204:K205"/>
    <mergeCell ref="L204:L205"/>
    <mergeCell ref="M204:M205"/>
    <mergeCell ref="N204:N205"/>
    <mergeCell ref="L215:L216"/>
    <mergeCell ref="M215:M216"/>
    <mergeCell ref="N215:N216"/>
    <mergeCell ref="K206:K209"/>
    <mergeCell ref="L206:L209"/>
    <mergeCell ref="M206:M209"/>
    <mergeCell ref="N206:N209"/>
    <mergeCell ref="K210:K212"/>
    <mergeCell ref="L210:L212"/>
    <mergeCell ref="M210:M212"/>
    <mergeCell ref="N210:N212"/>
    <mergeCell ref="K213:K214"/>
    <mergeCell ref="L213:L214"/>
    <mergeCell ref="M213:M214"/>
    <mergeCell ref="N213:N214"/>
    <mergeCell ref="N217:N218"/>
    <mergeCell ref="K219:K221"/>
    <mergeCell ref="L219:L221"/>
    <mergeCell ref="M219:M221"/>
    <mergeCell ref="N219:N221"/>
    <mergeCell ref="K215:K216"/>
    <mergeCell ref="K222:K225"/>
    <mergeCell ref="L222:L225"/>
    <mergeCell ref="M222:M225"/>
    <mergeCell ref="N222:N225"/>
    <mergeCell ref="K238:K241"/>
    <mergeCell ref="L238:L241"/>
    <mergeCell ref="M238:M241"/>
    <mergeCell ref="N238:N241"/>
    <mergeCell ref="K232:K233"/>
    <mergeCell ref="L232:L233"/>
    <mergeCell ref="M232:M233"/>
    <mergeCell ref="N232:N233"/>
    <mergeCell ref="K234:K235"/>
    <mergeCell ref="L234:L235"/>
    <mergeCell ref="M234:M235"/>
    <mergeCell ref="N234:N235"/>
    <mergeCell ref="F236:F237"/>
    <mergeCell ref="G236:G237"/>
    <mergeCell ref="H236:H237"/>
    <mergeCell ref="K236:K237"/>
    <mergeCell ref="L236:L237"/>
    <mergeCell ref="M236:M237"/>
    <mergeCell ref="N236:N237"/>
    <mergeCell ref="H159:H160"/>
    <mergeCell ref="K159:K160"/>
    <mergeCell ref="L159:L160"/>
    <mergeCell ref="M159:M160"/>
    <mergeCell ref="N159:N160"/>
    <mergeCell ref="F161:F162"/>
    <mergeCell ref="G161:G162"/>
    <mergeCell ref="H161:H162"/>
    <mergeCell ref="K161:K162"/>
    <mergeCell ref="L161:L162"/>
    <mergeCell ref="M161:M162"/>
    <mergeCell ref="N161:N162"/>
    <mergeCell ref="N226:N228"/>
    <mergeCell ref="K229:K231"/>
    <mergeCell ref="L229:L231"/>
    <mergeCell ref="M229:M231"/>
    <mergeCell ref="N229:N2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4"/>
  <sheetViews>
    <sheetView workbookViewId="0">
      <selection activeCell="I17" sqref="I17"/>
    </sheetView>
  </sheetViews>
  <sheetFormatPr baseColWidth="10" defaultRowHeight="15"/>
  <cols>
    <col min="2" max="2" width="13.5703125" customWidth="1"/>
    <col min="3" max="3" width="16.85546875" customWidth="1"/>
    <col min="4" max="4" width="16.42578125" customWidth="1"/>
    <col min="6" max="6" width="11.42578125" style="11"/>
    <col min="7" max="7" width="15.85546875" customWidth="1"/>
  </cols>
  <sheetData>
    <row r="2" spans="3:10">
      <c r="C2" s="69"/>
      <c r="D2" s="510" t="s">
        <v>313</v>
      </c>
      <c r="E2" s="510"/>
      <c r="F2" s="510"/>
      <c r="G2" s="510"/>
      <c r="H2" s="510"/>
      <c r="I2" s="510"/>
      <c r="J2" s="69"/>
    </row>
    <row r="3" spans="3:10">
      <c r="C3" s="69"/>
      <c r="D3" s="594"/>
      <c r="E3" s="595"/>
      <c r="F3" s="595"/>
      <c r="G3" s="595"/>
      <c r="H3" s="595"/>
      <c r="I3" s="595"/>
      <c r="J3" s="69"/>
    </row>
    <row r="4" spans="3:10">
      <c r="C4" s="70" t="s">
        <v>257</v>
      </c>
      <c r="D4" s="70" t="s">
        <v>258</v>
      </c>
      <c r="E4" s="70" t="s">
        <v>201</v>
      </c>
      <c r="F4" s="70" t="s">
        <v>46</v>
      </c>
      <c r="G4" s="70" t="s">
        <v>190</v>
      </c>
      <c r="H4" s="70" t="s">
        <v>259</v>
      </c>
      <c r="I4" s="70" t="s">
        <v>141</v>
      </c>
      <c r="J4" s="70" t="s">
        <v>142</v>
      </c>
    </row>
    <row r="5" spans="3:10">
      <c r="C5" s="111">
        <v>17</v>
      </c>
      <c r="D5" s="112" t="s">
        <v>275</v>
      </c>
      <c r="E5" s="105">
        <v>697288</v>
      </c>
      <c r="F5" s="105" t="s">
        <v>314</v>
      </c>
      <c r="G5" s="105" t="s">
        <v>191</v>
      </c>
      <c r="H5" s="105">
        <v>3</v>
      </c>
      <c r="I5" s="80">
        <v>7.4999999999999997E-2</v>
      </c>
      <c r="J5" s="105">
        <f>H5-I5</f>
        <v>2.9249999999999998</v>
      </c>
    </row>
    <row r="6" spans="3:10">
      <c r="C6" s="111">
        <v>17</v>
      </c>
      <c r="D6" s="112" t="s">
        <v>275</v>
      </c>
      <c r="E6" s="105">
        <v>697288</v>
      </c>
      <c r="F6" s="105" t="s">
        <v>314</v>
      </c>
      <c r="G6" s="105" t="s">
        <v>274</v>
      </c>
      <c r="H6" s="105">
        <v>3</v>
      </c>
      <c r="I6" s="80">
        <v>5.5E-2</v>
      </c>
      <c r="J6" s="105">
        <f t="shared" ref="J6:J19" si="0">H6-I6</f>
        <v>2.9449999999999998</v>
      </c>
    </row>
    <row r="7" spans="3:10">
      <c r="C7" s="111">
        <v>17</v>
      </c>
      <c r="D7" s="112" t="s">
        <v>280</v>
      </c>
      <c r="E7" s="105">
        <v>956044</v>
      </c>
      <c r="F7" s="105" t="s">
        <v>315</v>
      </c>
      <c r="G7" s="105" t="s">
        <v>191</v>
      </c>
      <c r="H7" s="105">
        <v>3</v>
      </c>
      <c r="I7" s="80">
        <v>8.0000000000000002E-3</v>
      </c>
      <c r="J7" s="105">
        <f t="shared" si="0"/>
        <v>2.992</v>
      </c>
    </row>
    <row r="8" spans="3:10">
      <c r="C8" s="111">
        <v>17</v>
      </c>
      <c r="D8" s="112" t="s">
        <v>280</v>
      </c>
      <c r="E8" s="105">
        <v>956044</v>
      </c>
      <c r="F8" s="105" t="s">
        <v>315</v>
      </c>
      <c r="G8" s="105" t="s">
        <v>274</v>
      </c>
      <c r="H8" s="105">
        <v>3</v>
      </c>
      <c r="I8" s="80">
        <v>2.1999999999999999E-2</v>
      </c>
      <c r="J8" s="105">
        <f t="shared" si="0"/>
        <v>2.9780000000000002</v>
      </c>
    </row>
    <row r="9" spans="3:10">
      <c r="C9" s="111">
        <v>17</v>
      </c>
      <c r="D9" s="112" t="s">
        <v>316</v>
      </c>
      <c r="E9" s="105">
        <v>961259</v>
      </c>
      <c r="F9" s="105" t="s">
        <v>317</v>
      </c>
      <c r="G9" s="105" t="s">
        <v>191</v>
      </c>
      <c r="H9" s="105">
        <v>0</v>
      </c>
      <c r="I9" s="80"/>
      <c r="J9" s="105">
        <f t="shared" si="0"/>
        <v>0</v>
      </c>
    </row>
    <row r="10" spans="3:10">
      <c r="C10" s="111">
        <v>17</v>
      </c>
      <c r="D10" s="112" t="s">
        <v>316</v>
      </c>
      <c r="E10" s="105">
        <v>961259</v>
      </c>
      <c r="F10" s="105" t="s">
        <v>317</v>
      </c>
      <c r="G10" s="105" t="s">
        <v>274</v>
      </c>
      <c r="H10" s="105">
        <v>0</v>
      </c>
      <c r="I10" s="80"/>
      <c r="J10" s="105">
        <f t="shared" si="0"/>
        <v>0</v>
      </c>
    </row>
    <row r="11" spans="3:10">
      <c r="C11" s="111">
        <v>154</v>
      </c>
      <c r="D11" s="105" t="s">
        <v>275</v>
      </c>
      <c r="E11" s="105">
        <v>954062</v>
      </c>
      <c r="F11" s="105" t="s">
        <v>326</v>
      </c>
      <c r="G11" s="105" t="s">
        <v>191</v>
      </c>
      <c r="H11" s="105">
        <v>2</v>
      </c>
      <c r="I11" s="80"/>
      <c r="J11" s="105">
        <f t="shared" si="0"/>
        <v>2</v>
      </c>
    </row>
    <row r="12" spans="3:10">
      <c r="C12" s="111">
        <v>154</v>
      </c>
      <c r="D12" s="105" t="s">
        <v>275</v>
      </c>
      <c r="E12" s="105">
        <v>954062</v>
      </c>
      <c r="F12" s="105" t="s">
        <v>326</v>
      </c>
      <c r="G12" s="105" t="s">
        <v>274</v>
      </c>
      <c r="H12" s="105">
        <v>2</v>
      </c>
      <c r="I12" s="80"/>
      <c r="J12" s="105">
        <f t="shared" si="0"/>
        <v>2</v>
      </c>
    </row>
    <row r="13" spans="3:10">
      <c r="C13" s="111">
        <v>154</v>
      </c>
      <c r="D13" s="105" t="s">
        <v>275</v>
      </c>
      <c r="E13" s="105">
        <v>954062</v>
      </c>
      <c r="F13" s="105" t="s">
        <v>250</v>
      </c>
      <c r="G13" s="106" t="s">
        <v>191</v>
      </c>
      <c r="H13" s="106">
        <v>2</v>
      </c>
      <c r="I13" s="80">
        <v>0.57999999999999996</v>
      </c>
      <c r="J13" s="106">
        <f t="shared" si="0"/>
        <v>1.42</v>
      </c>
    </row>
    <row r="14" spans="3:10" s="11" customFormat="1">
      <c r="C14" s="111">
        <v>154</v>
      </c>
      <c r="D14" s="105" t="s">
        <v>275</v>
      </c>
      <c r="E14" s="105">
        <v>954062</v>
      </c>
      <c r="F14" s="105" t="s">
        <v>250</v>
      </c>
      <c r="G14" s="106" t="s">
        <v>274</v>
      </c>
      <c r="H14" s="106">
        <v>2</v>
      </c>
      <c r="I14" s="82">
        <v>4.2000000000000003E-2</v>
      </c>
      <c r="J14" s="106">
        <f t="shared" si="0"/>
        <v>1.958</v>
      </c>
    </row>
    <row r="15" spans="3:10">
      <c r="C15" s="111">
        <v>154</v>
      </c>
      <c r="D15" s="105" t="s">
        <v>325</v>
      </c>
      <c r="E15" s="105">
        <v>954441</v>
      </c>
      <c r="F15" s="105" t="s">
        <v>250</v>
      </c>
      <c r="G15" s="106" t="s">
        <v>191</v>
      </c>
      <c r="H15" s="106">
        <v>2</v>
      </c>
      <c r="I15" s="82">
        <v>3.7999999999999999E-2</v>
      </c>
      <c r="J15" s="106">
        <f t="shared" si="0"/>
        <v>1.962</v>
      </c>
    </row>
    <row r="16" spans="3:10" s="11" customFormat="1">
      <c r="C16" s="111">
        <v>154</v>
      </c>
      <c r="D16" s="105" t="s">
        <v>325</v>
      </c>
      <c r="E16" s="105">
        <v>954441</v>
      </c>
      <c r="F16" s="105" t="s">
        <v>250</v>
      </c>
      <c r="G16" s="106" t="s">
        <v>274</v>
      </c>
      <c r="H16" s="106">
        <v>2</v>
      </c>
      <c r="I16" s="82">
        <v>0.03</v>
      </c>
      <c r="J16" s="106">
        <f t="shared" si="0"/>
        <v>1.97</v>
      </c>
    </row>
    <row r="17" spans="3:10">
      <c r="C17" s="105">
        <v>32</v>
      </c>
      <c r="D17" s="105" t="s">
        <v>572</v>
      </c>
      <c r="E17" s="105">
        <v>966916</v>
      </c>
      <c r="F17" s="105" t="s">
        <v>326</v>
      </c>
      <c r="G17" s="106" t="s">
        <v>577</v>
      </c>
      <c r="H17" s="105">
        <v>10</v>
      </c>
      <c r="I17" s="82"/>
      <c r="J17" s="106">
        <f t="shared" si="0"/>
        <v>10</v>
      </c>
    </row>
    <row r="18" spans="3:10">
      <c r="C18" s="105">
        <v>32</v>
      </c>
      <c r="D18" s="105" t="s">
        <v>573</v>
      </c>
      <c r="E18" s="105">
        <v>913590</v>
      </c>
      <c r="F18" s="105" t="s">
        <v>575</v>
      </c>
      <c r="G18" s="106" t="s">
        <v>191</v>
      </c>
      <c r="H18" s="105">
        <v>10</v>
      </c>
      <c r="I18" s="82"/>
      <c r="J18" s="106">
        <f t="shared" si="0"/>
        <v>10</v>
      </c>
    </row>
    <row r="19" spans="3:10">
      <c r="C19" s="105">
        <v>32</v>
      </c>
      <c r="D19" s="105" t="s">
        <v>574</v>
      </c>
      <c r="E19" s="105">
        <v>968122</v>
      </c>
      <c r="F19" s="105" t="s">
        <v>576</v>
      </c>
      <c r="G19" s="106" t="s">
        <v>191</v>
      </c>
      <c r="H19" s="106">
        <v>10</v>
      </c>
      <c r="I19" s="82"/>
      <c r="J19" s="106">
        <f t="shared" si="0"/>
        <v>10</v>
      </c>
    </row>
    <row r="20" spans="3:10">
      <c r="C20" s="105">
        <v>724</v>
      </c>
      <c r="D20" s="309" t="s">
        <v>709</v>
      </c>
      <c r="E20" s="105">
        <v>954804</v>
      </c>
      <c r="F20" s="309" t="s">
        <v>710</v>
      </c>
      <c r="G20" s="307" t="s">
        <v>191</v>
      </c>
      <c r="H20" s="307">
        <v>4</v>
      </c>
      <c r="I20" s="82"/>
      <c r="J20" s="307">
        <f t="shared" ref="J20:J21" si="1">H20-I20</f>
        <v>4</v>
      </c>
    </row>
    <row r="21" spans="3:10">
      <c r="C21" s="309">
        <v>724</v>
      </c>
      <c r="D21" s="309" t="s">
        <v>709</v>
      </c>
      <c r="E21" s="309">
        <v>954804</v>
      </c>
      <c r="F21" s="309" t="s">
        <v>710</v>
      </c>
      <c r="G21" s="307" t="s">
        <v>274</v>
      </c>
      <c r="H21" s="307">
        <v>4</v>
      </c>
      <c r="I21" s="82"/>
      <c r="J21" s="307">
        <f t="shared" si="1"/>
        <v>4</v>
      </c>
    </row>
    <row r="22" spans="3:10">
      <c r="C22" s="105">
        <v>725</v>
      </c>
      <c r="D22" s="309" t="s">
        <v>711</v>
      </c>
      <c r="E22" s="105">
        <v>952747</v>
      </c>
      <c r="F22" s="309" t="s">
        <v>710</v>
      </c>
      <c r="G22" s="307" t="s">
        <v>191</v>
      </c>
      <c r="H22" s="554">
        <v>5</v>
      </c>
      <c r="I22" s="82">
        <v>8.9999999999999993E-3</v>
      </c>
      <c r="J22" s="554">
        <f>H22-(I22+I23)</f>
        <v>4.9409999999999998</v>
      </c>
    </row>
    <row r="23" spans="3:10">
      <c r="C23" s="309">
        <v>725</v>
      </c>
      <c r="D23" s="309" t="s">
        <v>712</v>
      </c>
      <c r="E23" s="105">
        <v>966296</v>
      </c>
      <c r="F23" s="309" t="s">
        <v>710</v>
      </c>
      <c r="G23" s="307" t="s">
        <v>191</v>
      </c>
      <c r="H23" s="555"/>
      <c r="I23" s="82">
        <v>0.05</v>
      </c>
      <c r="J23" s="555"/>
    </row>
    <row r="24" spans="3:10">
      <c r="C24" s="309">
        <v>725</v>
      </c>
      <c r="D24" s="309" t="s">
        <v>711</v>
      </c>
      <c r="E24" s="309">
        <v>952747</v>
      </c>
      <c r="F24" s="309" t="s">
        <v>710</v>
      </c>
      <c r="G24" s="307" t="s">
        <v>274</v>
      </c>
      <c r="H24" s="554">
        <v>5</v>
      </c>
      <c r="I24" s="82"/>
      <c r="J24" s="554">
        <f>H24-(I24+I25)</f>
        <v>5</v>
      </c>
    </row>
    <row r="25" spans="3:10">
      <c r="C25" s="309">
        <v>725</v>
      </c>
      <c r="D25" s="309" t="s">
        <v>712</v>
      </c>
      <c r="E25" s="309">
        <v>966296</v>
      </c>
      <c r="F25" s="309" t="s">
        <v>710</v>
      </c>
      <c r="G25" s="307" t="s">
        <v>274</v>
      </c>
      <c r="H25" s="555"/>
      <c r="I25" s="82"/>
      <c r="J25" s="555"/>
    </row>
    <row r="26" spans="3:10">
      <c r="C26" s="105"/>
      <c r="D26" s="105"/>
      <c r="E26" s="105"/>
      <c r="F26" s="105"/>
      <c r="G26" s="106"/>
      <c r="H26" s="110"/>
      <c r="I26" s="82"/>
      <c r="J26" s="109"/>
    </row>
    <row r="27" spans="3:10">
      <c r="C27" s="105"/>
      <c r="D27" s="105"/>
      <c r="E27" s="105"/>
      <c r="F27" s="105"/>
      <c r="G27" s="106"/>
      <c r="H27" s="110"/>
      <c r="I27" s="82"/>
      <c r="J27" s="109"/>
    </row>
    <row r="28" spans="3:10">
      <c r="C28" s="105"/>
      <c r="D28" s="105"/>
      <c r="E28" s="105"/>
      <c r="F28" s="105"/>
      <c r="G28" s="106"/>
      <c r="H28" s="110"/>
      <c r="I28" s="82"/>
      <c r="J28" s="109"/>
    </row>
    <row r="29" spans="3:10">
      <c r="C29" s="105"/>
      <c r="D29" s="105"/>
      <c r="E29" s="105"/>
      <c r="F29" s="105"/>
      <c r="G29" s="106"/>
      <c r="H29" s="110"/>
      <c r="I29" s="82"/>
      <c r="J29" s="109"/>
    </row>
    <row r="30" spans="3:10">
      <c r="C30" s="105"/>
      <c r="D30" s="105"/>
      <c r="E30" s="105"/>
      <c r="F30" s="105"/>
      <c r="G30" s="106"/>
      <c r="H30" s="110"/>
      <c r="I30" s="82"/>
      <c r="J30" s="109"/>
    </row>
    <row r="31" spans="3:10">
      <c r="C31" s="105"/>
      <c r="D31" s="105"/>
      <c r="E31" s="105"/>
      <c r="F31" s="105"/>
      <c r="G31" s="106"/>
      <c r="H31" s="106"/>
      <c r="I31" s="82"/>
      <c r="J31" s="106"/>
    </row>
    <row r="32" spans="3:10">
      <c r="C32" s="105"/>
      <c r="D32" s="105"/>
      <c r="E32" s="105"/>
      <c r="F32" s="105"/>
      <c r="G32" s="106"/>
      <c r="H32" s="106"/>
      <c r="I32" s="82"/>
      <c r="J32" s="106"/>
    </row>
    <row r="33" spans="3:10">
      <c r="C33" s="105"/>
      <c r="D33" s="105"/>
      <c r="E33" s="105"/>
      <c r="F33" s="105"/>
      <c r="G33" s="106"/>
      <c r="H33" s="106"/>
      <c r="I33" s="82"/>
      <c r="J33" s="106"/>
    </row>
    <row r="34" spans="3:10">
      <c r="C34" s="105"/>
      <c r="D34" s="105"/>
      <c r="E34" s="105"/>
      <c r="F34" s="105"/>
      <c r="G34" s="106"/>
      <c r="H34" s="106"/>
      <c r="I34" s="82"/>
      <c r="J34" s="106"/>
    </row>
  </sheetData>
  <autoFilter ref="C4:J25"/>
  <mergeCells count="6">
    <mergeCell ref="D3:I3"/>
    <mergeCell ref="D2:I2"/>
    <mergeCell ref="H22:H23"/>
    <mergeCell ref="H24:H25"/>
    <mergeCell ref="J22:J23"/>
    <mergeCell ref="J24:J25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"/>
  <sheetViews>
    <sheetView topLeftCell="A19" zoomScale="90" zoomScaleNormal="90" workbookViewId="0">
      <selection activeCell="N52" sqref="N52:P52"/>
    </sheetView>
  </sheetViews>
  <sheetFormatPr baseColWidth="10" defaultRowHeight="15"/>
  <cols>
    <col min="1" max="1" width="16.5703125" customWidth="1"/>
    <col min="2" max="2" width="11.7109375" customWidth="1"/>
    <col min="3" max="3" width="5.85546875" customWidth="1"/>
    <col min="4" max="4" width="13.7109375" customWidth="1"/>
    <col min="5" max="5" width="68.85546875" customWidth="1"/>
    <col min="6" max="6" width="8.42578125" customWidth="1"/>
    <col min="7" max="7" width="12.140625" customWidth="1"/>
    <col min="8" max="8" width="15.42578125" customWidth="1"/>
    <col min="9" max="10" width="13.42578125" customWidth="1"/>
    <col min="11" max="11" width="12.5703125" customWidth="1"/>
    <col min="14" max="14" width="13.85546875" style="202" customWidth="1"/>
    <col min="15" max="15" width="12.5703125" customWidth="1"/>
  </cols>
  <sheetData>
    <row r="1" spans="1:17">
      <c r="A1" s="68" t="s">
        <v>215</v>
      </c>
      <c r="B1" s="68" t="s">
        <v>190</v>
      </c>
      <c r="C1" s="68" t="s">
        <v>216</v>
      </c>
      <c r="D1" s="68" t="s">
        <v>217</v>
      </c>
      <c r="E1" s="68" t="s">
        <v>218</v>
      </c>
      <c r="F1" s="68" t="s">
        <v>219</v>
      </c>
      <c r="G1" s="68" t="s">
        <v>220</v>
      </c>
      <c r="H1" s="68" t="s">
        <v>221</v>
      </c>
      <c r="I1" s="68" t="s">
        <v>222</v>
      </c>
      <c r="J1" s="68" t="s">
        <v>223</v>
      </c>
      <c r="K1" s="68" t="s">
        <v>141</v>
      </c>
      <c r="L1" s="68" t="s">
        <v>142</v>
      </c>
      <c r="M1" s="68" t="s">
        <v>224</v>
      </c>
      <c r="N1" s="249" t="s">
        <v>37</v>
      </c>
      <c r="O1" s="68" t="s">
        <v>225</v>
      </c>
      <c r="P1" s="68" t="s">
        <v>226</v>
      </c>
      <c r="Q1" s="68" t="s">
        <v>227</v>
      </c>
    </row>
    <row r="2" spans="1:17">
      <c r="A2" s="51" t="s">
        <v>228</v>
      </c>
      <c r="B2" s="51" t="s">
        <v>191</v>
      </c>
      <c r="C2" s="51" t="s">
        <v>230</v>
      </c>
      <c r="D2" s="51" t="s">
        <v>231</v>
      </c>
      <c r="E2" s="51" t="str">
        <f>'Anchov y SardC LTP'!D7</f>
        <v>ALIMENTOS MARINOS S.A.</v>
      </c>
      <c r="F2" s="51" t="s">
        <v>232</v>
      </c>
      <c r="G2" s="51" t="s">
        <v>233</v>
      </c>
      <c r="H2" s="51">
        <f>'Anchov y SardC LTP'!G7</f>
        <v>9860.8589855999999</v>
      </c>
      <c r="I2" s="11">
        <f>'Anchov y SardC LTP'!H7</f>
        <v>-9613.8029999999999</v>
      </c>
      <c r="J2" s="11">
        <f>'Anchov y SardC LTP'!I7</f>
        <v>247.05598559999999</v>
      </c>
      <c r="K2">
        <f>'Anchov y SardC LTP'!J7</f>
        <v>0</v>
      </c>
      <c r="L2">
        <f>'Anchov y SardC LTP'!K7</f>
        <v>247.05598559999999</v>
      </c>
      <c r="M2" s="42">
        <f>'Anchov y SardC LTP'!L7</f>
        <v>0.97494579468575904</v>
      </c>
      <c r="N2" s="113" t="s">
        <v>255</v>
      </c>
      <c r="O2" s="34">
        <f>RESUMEN!$B$3</f>
        <v>44926</v>
      </c>
      <c r="P2">
        <v>2022</v>
      </c>
    </row>
    <row r="3" spans="1:17">
      <c r="A3" s="51" t="s">
        <v>228</v>
      </c>
      <c r="B3" s="51" t="s">
        <v>191</v>
      </c>
      <c r="C3" s="51" t="s">
        <v>230</v>
      </c>
      <c r="D3" s="51" t="s">
        <v>231</v>
      </c>
      <c r="E3" s="51" t="str">
        <f>'Anchov y SardC LTP'!D8</f>
        <v>BLUMAR S.A.</v>
      </c>
      <c r="F3" s="51" t="s">
        <v>232</v>
      </c>
      <c r="G3" s="51" t="s">
        <v>233</v>
      </c>
      <c r="H3" s="51">
        <f>'Anchov y SardC LTP'!G8</f>
        <v>10430.6964608</v>
      </c>
      <c r="I3" s="11">
        <f>'Anchov y SardC LTP'!H8</f>
        <v>-10350</v>
      </c>
      <c r="J3" s="11">
        <f>'Anchov y SardC LTP'!I8</f>
        <v>80.696460799999841</v>
      </c>
      <c r="K3" s="11">
        <f>'Anchov y SardC LTP'!J8</f>
        <v>0</v>
      </c>
      <c r="L3" s="11">
        <f>'Anchov y SardC LTP'!K8</f>
        <v>80.696460799999841</v>
      </c>
      <c r="M3" s="42">
        <f>'Anchov y SardC LTP'!L8</f>
        <v>0.99226355966705881</v>
      </c>
      <c r="N3" s="113" t="s">
        <v>255</v>
      </c>
      <c r="O3" s="34">
        <f>RESUMEN!$B$3</f>
        <v>44926</v>
      </c>
      <c r="P3" s="11">
        <v>2022</v>
      </c>
    </row>
    <row r="4" spans="1:17">
      <c r="A4" s="51" t="s">
        <v>228</v>
      </c>
      <c r="B4" s="51" t="s">
        <v>191</v>
      </c>
      <c r="C4" s="51" t="s">
        <v>230</v>
      </c>
      <c r="D4" s="51" t="s">
        <v>231</v>
      </c>
      <c r="E4" s="51" t="str">
        <f>'Anchov y SardC LTP'!D9</f>
        <v>CAMANCHACA PESCA SUR S.A.</v>
      </c>
      <c r="F4" s="51" t="s">
        <v>232</v>
      </c>
      <c r="G4" s="51" t="s">
        <v>233</v>
      </c>
      <c r="H4" s="51">
        <f>'Anchov y SardC LTP'!G9</f>
        <v>8255.9706432000003</v>
      </c>
      <c r="I4" s="11">
        <f>'Anchov y SardC LTP'!H9</f>
        <v>-7922</v>
      </c>
      <c r="J4" s="11">
        <f>'Anchov y SardC LTP'!I9</f>
        <v>333.97064320000027</v>
      </c>
      <c r="K4" s="11">
        <f>'Anchov y SardC LTP'!J9</f>
        <v>292.428</v>
      </c>
      <c r="L4" s="11">
        <f>'Anchov y SardC LTP'!K9</f>
        <v>41.542643200000271</v>
      </c>
      <c r="M4" s="42">
        <f>'Anchov y SardC LTP'!L9</f>
        <v>0.95954798561752708</v>
      </c>
      <c r="N4" s="113" t="s">
        <v>255</v>
      </c>
      <c r="O4" s="34">
        <f>RESUMEN!$B$3</f>
        <v>44926</v>
      </c>
      <c r="P4" s="11">
        <v>2022</v>
      </c>
    </row>
    <row r="5" spans="1:17">
      <c r="A5" s="51" t="s">
        <v>228</v>
      </c>
      <c r="B5" s="51" t="s">
        <v>191</v>
      </c>
      <c r="C5" s="51" t="s">
        <v>230</v>
      </c>
      <c r="D5" s="51" t="s">
        <v>231</v>
      </c>
      <c r="E5" s="51" t="str">
        <f>'Anchov y SardC LTP'!D10</f>
        <v>CAMANCHACA S.A.CIA PESQ.</v>
      </c>
      <c r="F5" s="51" t="s">
        <v>232</v>
      </c>
      <c r="G5" s="51" t="s">
        <v>233</v>
      </c>
      <c r="H5" s="51">
        <f>'Anchov y SardC LTP'!G10</f>
        <v>0</v>
      </c>
      <c r="I5" s="11">
        <f>'Anchov y SardC LTP'!H10</f>
        <v>0</v>
      </c>
      <c r="J5" s="11">
        <f>'Anchov y SardC LTP'!I10</f>
        <v>0</v>
      </c>
      <c r="K5" s="11">
        <f>'Anchov y SardC LTP'!J10</f>
        <v>0</v>
      </c>
      <c r="L5" s="11">
        <f>'Anchov y SardC LTP'!K10</f>
        <v>0</v>
      </c>
      <c r="M5" s="42">
        <f>'Anchov y SardC LTP'!L10</f>
        <v>0</v>
      </c>
      <c r="N5" s="113" t="s">
        <v>255</v>
      </c>
      <c r="O5" s="34">
        <f>RESUMEN!$B$3</f>
        <v>44926</v>
      </c>
      <c r="P5" s="11">
        <v>2022</v>
      </c>
    </row>
    <row r="6" spans="1:17" s="11" customFormat="1">
      <c r="A6" s="51" t="s">
        <v>228</v>
      </c>
      <c r="B6" s="51" t="s">
        <v>191</v>
      </c>
      <c r="C6" s="51" t="s">
        <v>230</v>
      </c>
      <c r="D6" s="51" t="s">
        <v>231</v>
      </c>
      <c r="E6" s="51" t="str">
        <f>'Anchov y SardC LTP'!D11</f>
        <v>CRISTIAN SILVA LORCA</v>
      </c>
      <c r="F6" s="51" t="s">
        <v>232</v>
      </c>
      <c r="G6" s="51" t="s">
        <v>233</v>
      </c>
      <c r="H6" s="51">
        <f>'Anchov y SardC LTP'!G11</f>
        <v>1800.6240000000003</v>
      </c>
      <c r="I6" s="11">
        <f>'Anchov y SardC LTP'!H11</f>
        <v>-1800.624</v>
      </c>
      <c r="J6" s="11">
        <f>'Anchov y SardC LTP'!I11</f>
        <v>0</v>
      </c>
      <c r="K6" s="11">
        <f>'Anchov y SardC LTP'!J11</f>
        <v>0</v>
      </c>
      <c r="L6" s="11">
        <f>'Anchov y SardC LTP'!K11</f>
        <v>0</v>
      </c>
      <c r="M6" s="42">
        <f>'Anchov y SardC LTP'!L11</f>
        <v>0.99999999999999989</v>
      </c>
      <c r="N6" s="113" t="s">
        <v>255</v>
      </c>
      <c r="O6" s="34">
        <f>RESUMEN!$B$3</f>
        <v>44926</v>
      </c>
      <c r="P6" s="11">
        <v>2022</v>
      </c>
    </row>
    <row r="7" spans="1:17" s="11" customFormat="1">
      <c r="A7" s="51" t="s">
        <v>228</v>
      </c>
      <c r="B7" s="51" t="s">
        <v>191</v>
      </c>
      <c r="C7" s="51" t="s">
        <v>230</v>
      </c>
      <c r="D7" s="51" t="s">
        <v>231</v>
      </c>
      <c r="E7" s="51" t="str">
        <f>'Anchov y SardC LTP'!D12</f>
        <v>CRISTIAN SILVA TUDELA</v>
      </c>
      <c r="F7" s="51" t="s">
        <v>232</v>
      </c>
      <c r="G7" s="51" t="s">
        <v>233</v>
      </c>
      <c r="H7" s="51">
        <f>'Anchov y SardC LTP'!G12</f>
        <v>1043.8399999999999</v>
      </c>
      <c r="I7" s="11">
        <f>'Anchov y SardC LTP'!H12</f>
        <v>-1043.8400000000001</v>
      </c>
      <c r="J7" s="11">
        <f>'Anchov y SardC LTP'!I12</f>
        <v>0</v>
      </c>
      <c r="K7" s="11">
        <f>'Anchov y SardC LTP'!J12</f>
        <v>0</v>
      </c>
      <c r="L7" s="11">
        <f>'Anchov y SardC LTP'!K12</f>
        <v>0</v>
      </c>
      <c r="M7" s="42">
        <f>'Anchov y SardC LTP'!L12</f>
        <v>1.0000000000000002</v>
      </c>
      <c r="N7" s="113" t="s">
        <v>255</v>
      </c>
      <c r="O7" s="34">
        <f>RESUMEN!$B$3</f>
        <v>44926</v>
      </c>
      <c r="P7" s="11">
        <v>2022</v>
      </c>
    </row>
    <row r="8" spans="1:17" s="11" customFormat="1">
      <c r="A8" s="51" t="s">
        <v>228</v>
      </c>
      <c r="B8" s="51" t="s">
        <v>191</v>
      </c>
      <c r="C8" s="51" t="s">
        <v>230</v>
      </c>
      <c r="D8" s="51" t="s">
        <v>231</v>
      </c>
      <c r="E8" s="51" t="str">
        <f>'Anchov y SardC LTP'!D13</f>
        <v>GABRIELA MONSALVE CISTERNAS</v>
      </c>
      <c r="F8" s="51" t="s">
        <v>232</v>
      </c>
      <c r="G8" s="51" t="s">
        <v>233</v>
      </c>
      <c r="H8" s="51">
        <f>'Anchov y SardC LTP'!G13</f>
        <v>521.92000000000007</v>
      </c>
      <c r="I8" s="11">
        <f>'Anchov y SardC LTP'!H13</f>
        <v>-508.92199999999997</v>
      </c>
      <c r="J8" s="11">
        <f>'Anchov y SardC LTP'!I13</f>
        <v>12.998000000000104</v>
      </c>
      <c r="K8" s="11">
        <f>'Anchov y SardC LTP'!J13</f>
        <v>0</v>
      </c>
      <c r="L8" s="11">
        <f>'Anchov y SardC LTP'!K13</f>
        <v>12.998000000000104</v>
      </c>
      <c r="M8" s="42">
        <f>'Anchov y SardC LTP'!L13</f>
        <v>0.97509580012262398</v>
      </c>
      <c r="N8" s="113" t="s">
        <v>255</v>
      </c>
      <c r="O8" s="34">
        <f>RESUMEN!$B$3</f>
        <v>44926</v>
      </c>
      <c r="P8" s="11">
        <v>2022</v>
      </c>
    </row>
    <row r="9" spans="1:17">
      <c r="A9" s="51" t="s">
        <v>228</v>
      </c>
      <c r="B9" s="51" t="s">
        <v>191</v>
      </c>
      <c r="C9" s="51" t="s">
        <v>230</v>
      </c>
      <c r="D9" s="51" t="s">
        <v>231</v>
      </c>
      <c r="E9" s="51" t="str">
        <f>'Anchov y SardC LTP'!D14</f>
        <v>NOVAMAR SpA</v>
      </c>
      <c r="F9" s="51" t="s">
        <v>232</v>
      </c>
      <c r="G9" s="51" t="s">
        <v>233</v>
      </c>
      <c r="H9" s="51">
        <f>'Anchov y SardC LTP'!G14</f>
        <v>650.35407360000011</v>
      </c>
      <c r="I9" s="11">
        <f>'Anchov y SardC LTP'!H14</f>
        <v>-633.15899999999999</v>
      </c>
      <c r="J9" s="11">
        <f>'Anchov y SardC LTP'!I14</f>
        <v>17.195073600000114</v>
      </c>
      <c r="K9" s="11">
        <f>'Anchov y SardC LTP'!J14</f>
        <v>0</v>
      </c>
      <c r="L9" s="11">
        <f>'Anchov y SardC LTP'!K14</f>
        <v>17.195073600000114</v>
      </c>
      <c r="M9" s="42">
        <f>'Anchov y SardC LTP'!L14</f>
        <v>0.97356044299866118</v>
      </c>
      <c r="N9" s="113" t="s">
        <v>255</v>
      </c>
      <c r="O9" s="34">
        <f>RESUMEN!$B$3</f>
        <v>44926</v>
      </c>
      <c r="P9" s="11">
        <v>2022</v>
      </c>
    </row>
    <row r="10" spans="1:17">
      <c r="A10" s="51" t="s">
        <v>228</v>
      </c>
      <c r="B10" s="51" t="s">
        <v>191</v>
      </c>
      <c r="C10" s="51" t="s">
        <v>230</v>
      </c>
      <c r="D10" s="51" t="s">
        <v>231</v>
      </c>
      <c r="E10" s="51" t="str">
        <f>'Anchov y SardC LTP'!D15</f>
        <v>LITORAL SpA PESQ.</v>
      </c>
      <c r="F10" s="51" t="s">
        <v>232</v>
      </c>
      <c r="G10" s="51" t="s">
        <v>233</v>
      </c>
      <c r="H10" s="51">
        <f>'Anchov y SardC LTP'!G15</f>
        <v>1161.0266976</v>
      </c>
      <c r="I10" s="11">
        <f>'Anchov y SardC LTP'!H15</f>
        <v>-1129.616</v>
      </c>
      <c r="J10" s="11">
        <f>'Anchov y SardC LTP'!I15</f>
        <v>31.410697600000049</v>
      </c>
      <c r="K10" s="11">
        <f>'Anchov y SardC LTP'!J15</f>
        <v>0</v>
      </c>
      <c r="L10" s="11">
        <f>'Anchov y SardC LTP'!K15</f>
        <v>31.410697600000049</v>
      </c>
      <c r="M10" s="42">
        <f>'Anchov y SardC LTP'!L15</f>
        <v>0.97294575769452141</v>
      </c>
      <c r="N10" s="113" t="s">
        <v>255</v>
      </c>
      <c r="O10" s="34">
        <f>RESUMEN!$B$3</f>
        <v>44926</v>
      </c>
      <c r="P10" s="11">
        <v>2022</v>
      </c>
    </row>
    <row r="11" spans="1:17">
      <c r="A11" s="51" t="s">
        <v>228</v>
      </c>
      <c r="B11" s="51" t="s">
        <v>191</v>
      </c>
      <c r="C11" s="51" t="s">
        <v>230</v>
      </c>
      <c r="D11" s="51" t="s">
        <v>231</v>
      </c>
      <c r="E11" s="51" t="str">
        <f>'Anchov y SardC LTP'!D16</f>
        <v>FOODCORP CHILE S.A.</v>
      </c>
      <c r="F11" s="51" t="s">
        <v>232</v>
      </c>
      <c r="G11" s="51" t="s">
        <v>233</v>
      </c>
      <c r="H11" s="51">
        <f>'Anchov y SardC LTP'!G16</f>
        <v>1429.8363743999998</v>
      </c>
      <c r="I11" s="11">
        <f>'Anchov y SardC LTP'!H16</f>
        <v>-1381</v>
      </c>
      <c r="J11" s="11">
        <f>'Anchov y SardC LTP'!I16</f>
        <v>48.836374399999841</v>
      </c>
      <c r="K11" s="11">
        <f>'Anchov y SardC LTP'!J16</f>
        <v>0</v>
      </c>
      <c r="L11" s="11">
        <f>'Anchov y SardC LTP'!K16</f>
        <v>48.836374399999841</v>
      </c>
      <c r="M11" s="42">
        <f>'Anchov y SardC LTP'!L16</f>
        <v>0.96584478107119565</v>
      </c>
      <c r="N11" s="113" t="s">
        <v>255</v>
      </c>
      <c r="O11" s="34">
        <f>RESUMEN!$B$3</f>
        <v>44926</v>
      </c>
      <c r="P11" s="11">
        <v>2022</v>
      </c>
    </row>
    <row r="12" spans="1:17">
      <c r="A12" s="51" t="s">
        <v>228</v>
      </c>
      <c r="B12" s="51" t="s">
        <v>191</v>
      </c>
      <c r="C12" s="51" t="s">
        <v>230</v>
      </c>
      <c r="D12" s="51" t="s">
        <v>231</v>
      </c>
      <c r="E12" s="51" t="str">
        <f>'Anchov y SardC LTP'!D17</f>
        <v>ISLA QUIHUA S.A. PESQ</v>
      </c>
      <c r="F12" s="51" t="s">
        <v>232</v>
      </c>
      <c r="G12" s="51" t="s">
        <v>233</v>
      </c>
      <c r="H12" s="51">
        <f>'Anchov y SardC LTP'!G17</f>
        <v>0.70981119999999998</v>
      </c>
      <c r="I12" s="11">
        <f>'Anchov y SardC LTP'!H17</f>
        <v>0</v>
      </c>
      <c r="J12" s="11">
        <f>'Anchov y SardC LTP'!I17</f>
        <v>0.70981119999999998</v>
      </c>
      <c r="K12" s="11">
        <f>'Anchov y SardC LTP'!J17</f>
        <v>0</v>
      </c>
      <c r="L12" s="11">
        <f>'Anchov y SardC LTP'!K17</f>
        <v>0.70981119999999998</v>
      </c>
      <c r="M12" s="42">
        <f>'Anchov y SardC LTP'!L17</f>
        <v>0</v>
      </c>
      <c r="N12" s="113" t="s">
        <v>255</v>
      </c>
      <c r="O12" s="34">
        <f>RESUMEN!$B$3</f>
        <v>44926</v>
      </c>
      <c r="P12" s="11">
        <v>2022</v>
      </c>
    </row>
    <row r="13" spans="1:17">
      <c r="A13" s="51" t="s">
        <v>228</v>
      </c>
      <c r="B13" s="51" t="s">
        <v>191</v>
      </c>
      <c r="C13" s="51" t="s">
        <v>230</v>
      </c>
      <c r="D13" s="51" t="s">
        <v>231</v>
      </c>
      <c r="E13" s="51" t="str">
        <f>'Anchov y SardC LTP'!D18</f>
        <v>LANDES S.A. SOC PESQ.</v>
      </c>
      <c r="F13" s="51" t="s">
        <v>232</v>
      </c>
      <c r="G13" s="51" t="s">
        <v>233</v>
      </c>
      <c r="H13" s="51">
        <f>'Anchov y SardC LTP'!G18</f>
        <v>3106.3738944000002</v>
      </c>
      <c r="I13" s="11">
        <f>'Anchov y SardC LTP'!H18</f>
        <v>-2932.5089200000002</v>
      </c>
      <c r="J13" s="11">
        <f>'Anchov y SardC LTP'!I18</f>
        <v>173.86497439999994</v>
      </c>
      <c r="K13" s="11">
        <f>'Anchov y SardC LTP'!J18</f>
        <v>123.02</v>
      </c>
      <c r="L13" s="11">
        <f>'Anchov y SardC LTP'!K18</f>
        <v>50.844974399999941</v>
      </c>
      <c r="M13" s="42">
        <f>'Anchov y SardC LTP'!L18</f>
        <v>0.94402960483493825</v>
      </c>
      <c r="N13" s="113" t="s">
        <v>255</v>
      </c>
      <c r="O13" s="34">
        <f>RESUMEN!$B$3</f>
        <v>44926</v>
      </c>
      <c r="P13" s="11">
        <v>2022</v>
      </c>
    </row>
    <row r="14" spans="1:17">
      <c r="A14" s="51" t="s">
        <v>228</v>
      </c>
      <c r="B14" s="51" t="s">
        <v>191</v>
      </c>
      <c r="C14" s="51" t="s">
        <v>230</v>
      </c>
      <c r="D14" s="51" t="s">
        <v>231</v>
      </c>
      <c r="E14" s="51" t="str">
        <f>'Anchov y SardC LTP'!D19</f>
        <v>LOTA PROTEIN S.A.</v>
      </c>
      <c r="F14" s="51" t="s">
        <v>232</v>
      </c>
      <c r="G14" s="51" t="s">
        <v>233</v>
      </c>
      <c r="H14" s="51">
        <f>'Anchov y SardC LTP'!G19</f>
        <v>668.69956159999992</v>
      </c>
      <c r="I14" s="11">
        <f>'Anchov y SardC LTP'!H19</f>
        <v>-645</v>
      </c>
      <c r="J14" s="11">
        <f>'Anchov y SardC LTP'!I19</f>
        <v>23.699561599999925</v>
      </c>
      <c r="K14" s="11">
        <f>'Anchov y SardC LTP'!J19</f>
        <v>0</v>
      </c>
      <c r="L14" s="11">
        <f>'Anchov y SardC LTP'!K19</f>
        <v>23.699561599999925</v>
      </c>
      <c r="M14" s="42">
        <f>'Anchov y SardC LTP'!L19</f>
        <v>0.96455873016681226</v>
      </c>
      <c r="N14" s="113" t="s">
        <v>255</v>
      </c>
      <c r="O14" s="34">
        <f>RESUMEN!$B$3</f>
        <v>44926</v>
      </c>
      <c r="P14" s="11">
        <v>2022</v>
      </c>
    </row>
    <row r="15" spans="1:17">
      <c r="A15" s="51" t="s">
        <v>228</v>
      </c>
      <c r="B15" s="51" t="s">
        <v>191</v>
      </c>
      <c r="C15" s="51" t="s">
        <v>230</v>
      </c>
      <c r="D15" s="51" t="s">
        <v>231</v>
      </c>
      <c r="E15" s="51" t="str">
        <f>'Anchov y SardC LTP'!D20</f>
        <v>ORIZON S.A.</v>
      </c>
      <c r="F15" s="51" t="s">
        <v>232</v>
      </c>
      <c r="G15" s="51" t="s">
        <v>233</v>
      </c>
      <c r="H15" s="51">
        <f>'Anchov y SardC LTP'!G20</f>
        <v>9449.6538751999997</v>
      </c>
      <c r="I15" s="11">
        <f>'Anchov y SardC LTP'!H20</f>
        <v>-8908</v>
      </c>
      <c r="J15" s="11">
        <f>'Anchov y SardC LTP'!I20</f>
        <v>541.65387519999967</v>
      </c>
      <c r="K15" s="11">
        <f>'Anchov y SardC LTP'!J20</f>
        <v>518.53599999999994</v>
      </c>
      <c r="L15" s="11">
        <f>'Anchov y SardC LTP'!K20</f>
        <v>23.11787519999973</v>
      </c>
      <c r="M15" s="42">
        <f>'Anchov y SardC LTP'!L20</f>
        <v>0.95731983789193109</v>
      </c>
      <c r="N15" s="113" t="s">
        <v>255</v>
      </c>
      <c r="O15" s="34">
        <f>RESUMEN!$B$3</f>
        <v>44926</v>
      </c>
      <c r="P15" s="11">
        <v>2022</v>
      </c>
    </row>
    <row r="16" spans="1:17">
      <c r="A16" s="51" t="s">
        <v>228</v>
      </c>
      <c r="B16" s="51" t="s">
        <v>191</v>
      </c>
      <c r="C16" s="51" t="s">
        <v>230</v>
      </c>
      <c r="D16" s="51" t="s">
        <v>231</v>
      </c>
      <c r="E16" s="51" t="str">
        <f>'Anchov y SardC LTP'!D21</f>
        <v>SAN LAZARO LTDA.COM. Y CONS</v>
      </c>
      <c r="F16" s="51" t="s">
        <v>232</v>
      </c>
      <c r="G16" s="51" t="s">
        <v>233</v>
      </c>
      <c r="H16" s="51">
        <f>'Anchov y SardC LTP'!G21</f>
        <v>3.9926880000000002</v>
      </c>
      <c r="I16" s="11">
        <f>'Anchov y SardC LTP'!H21</f>
        <v>0</v>
      </c>
      <c r="J16" s="11">
        <f>'Anchov y SardC LTP'!I21</f>
        <v>3.9926880000000002</v>
      </c>
      <c r="K16" s="11">
        <f>'Anchov y SardC LTP'!J21</f>
        <v>0</v>
      </c>
      <c r="L16" s="11">
        <f>'Anchov y SardC LTP'!K21</f>
        <v>3.9926880000000002</v>
      </c>
      <c r="M16" s="42">
        <f>'Anchov y SardC LTP'!L21</f>
        <v>0</v>
      </c>
      <c r="N16" s="113" t="s">
        <v>255</v>
      </c>
      <c r="O16" s="34">
        <f>RESUMEN!$B$3</f>
        <v>44926</v>
      </c>
      <c r="P16" s="11">
        <v>2022</v>
      </c>
    </row>
    <row r="17" spans="1:16">
      <c r="A17" s="51" t="s">
        <v>228</v>
      </c>
      <c r="B17" s="51" t="s">
        <v>191</v>
      </c>
      <c r="C17" s="51" t="s">
        <v>230</v>
      </c>
      <c r="D17" s="51" t="s">
        <v>231</v>
      </c>
      <c r="E17" s="51" t="str">
        <f>'Anchov y SardC LTP'!D22</f>
        <v>INVERSIONES PESQUERA PEDRO IRIGOYEN LIMITADA</v>
      </c>
      <c r="F17" s="51" t="s">
        <v>232</v>
      </c>
      <c r="G17" s="51" t="s">
        <v>233</v>
      </c>
      <c r="H17" s="51">
        <f>'Anchov y SardC LTP'!G22</f>
        <v>334.10186879999998</v>
      </c>
      <c r="I17" s="11">
        <f>'Anchov y SardC LTP'!H22</f>
        <v>-325</v>
      </c>
      <c r="J17" s="11">
        <f>'Anchov y SardC LTP'!I22</f>
        <v>9.101868799999977</v>
      </c>
      <c r="K17" s="11">
        <f>'Anchov y SardC LTP'!J22</f>
        <v>0</v>
      </c>
      <c r="L17" s="11">
        <f>'Anchov y SardC LTP'!K22</f>
        <v>9.101868799999977</v>
      </c>
      <c r="M17" s="42">
        <f>'Anchov y SardC LTP'!L22</f>
        <v>0.97275720476305227</v>
      </c>
      <c r="N17" s="113" t="s">
        <v>255</v>
      </c>
      <c r="O17" s="34">
        <f>RESUMEN!$B$3</f>
        <v>44926</v>
      </c>
      <c r="P17" s="11">
        <v>2022</v>
      </c>
    </row>
    <row r="18" spans="1:16" s="11" customFormat="1">
      <c r="A18" s="51" t="s">
        <v>228</v>
      </c>
      <c r="B18" s="51" t="s">
        <v>191</v>
      </c>
      <c r="C18" s="51" t="s">
        <v>230</v>
      </c>
      <c r="D18" s="51" t="s">
        <v>231</v>
      </c>
      <c r="E18" s="51" t="str">
        <f>'Anchov y SardC LTP'!D23</f>
        <v>SANDRA GAJARDO PALMA</v>
      </c>
      <c r="F18" s="51" t="s">
        <v>232</v>
      </c>
      <c r="G18" s="51" t="s">
        <v>233</v>
      </c>
      <c r="H18" s="51">
        <f>'Anchov y SardC LTP'!G23</f>
        <v>208.768</v>
      </c>
      <c r="I18" s="11">
        <f>'Anchov y SardC LTP'!H23</f>
        <v>-208.768</v>
      </c>
      <c r="J18" s="11">
        <f>'Anchov y SardC LTP'!I23</f>
        <v>0</v>
      </c>
      <c r="K18" s="11">
        <f>'Anchov y SardC LTP'!J23</f>
        <v>0</v>
      </c>
      <c r="L18" s="11">
        <f>'Anchov y SardC LTP'!K23</f>
        <v>0</v>
      </c>
      <c r="M18" s="42">
        <f>'Anchov y SardC LTP'!L23</f>
        <v>1</v>
      </c>
      <c r="N18" s="113" t="s">
        <v>284</v>
      </c>
      <c r="O18" s="34">
        <f>RESUMEN!$B$3</f>
        <v>44926</v>
      </c>
      <c r="P18" s="11">
        <v>2022</v>
      </c>
    </row>
    <row r="19" spans="1:16" s="11" customFormat="1">
      <c r="A19" s="51" t="s">
        <v>228</v>
      </c>
      <c r="B19" s="51" t="s">
        <v>191</v>
      </c>
      <c r="C19" s="51" t="s">
        <v>230</v>
      </c>
      <c r="D19" s="51" t="s">
        <v>231</v>
      </c>
      <c r="E19" s="51" t="str">
        <f>'Anchov y SardC LTP'!D24</f>
        <v>SOCIEDAD PESQUERA AL SUR DE LA ISLA LIMITADA</v>
      </c>
      <c r="F19" s="51" t="s">
        <v>232</v>
      </c>
      <c r="G19" s="51" t="s">
        <v>233</v>
      </c>
      <c r="H19" s="51">
        <f>'Anchov y SardC LTP'!G24</f>
        <v>130.47999999999999</v>
      </c>
      <c r="I19" s="11">
        <f>'Anchov y SardC LTP'!H24</f>
        <v>-127.22999999999999</v>
      </c>
      <c r="J19" s="11">
        <f>'Anchov y SardC LTP'!I24</f>
        <v>3.25</v>
      </c>
      <c r="K19" s="11">
        <f>'Anchov y SardC LTP'!J24</f>
        <v>0</v>
      </c>
      <c r="L19" s="11">
        <f>'Anchov y SardC LTP'!K24</f>
        <v>3.25</v>
      </c>
      <c r="M19" s="42">
        <f>'Anchov y SardC LTP'!L24</f>
        <v>0.97509196811771914</v>
      </c>
      <c r="N19" s="113" t="s">
        <v>284</v>
      </c>
      <c r="O19" s="34">
        <f>RESUMEN!$B$3</f>
        <v>44926</v>
      </c>
      <c r="P19" s="11">
        <v>2022</v>
      </c>
    </row>
    <row r="20" spans="1:16" s="11" customFormat="1">
      <c r="A20" s="51" t="s">
        <v>228</v>
      </c>
      <c r="B20" s="51" t="s">
        <v>191</v>
      </c>
      <c r="C20" s="51" t="s">
        <v>230</v>
      </c>
      <c r="D20" s="51" t="s">
        <v>231</v>
      </c>
      <c r="E20" s="51" t="str">
        <f>'Anchov y SardC LTP'!D25</f>
        <v>RAUL MONSALVE CISTERNAS</v>
      </c>
      <c r="F20" s="51" t="s">
        <v>232</v>
      </c>
      <c r="G20" s="51" t="s">
        <v>233</v>
      </c>
      <c r="H20" s="51">
        <f>'Anchov y SardC LTP'!G25</f>
        <v>208.768</v>
      </c>
      <c r="I20" s="11">
        <f>'Anchov y SardC LTP'!H25</f>
        <v>-203.56800000000001</v>
      </c>
      <c r="J20" s="11">
        <f>'Anchov y SardC LTP'!I25</f>
        <v>5.1999999999999886</v>
      </c>
      <c r="K20" s="11">
        <f>'Anchov y SardC LTP'!J25</f>
        <v>0</v>
      </c>
      <c r="L20" s="11">
        <f>'Anchov y SardC LTP'!K25</f>
        <v>5.1999999999999886</v>
      </c>
      <c r="M20" s="42">
        <f>'Anchov y SardC LTP'!L25</f>
        <v>0.97509196811771925</v>
      </c>
      <c r="N20" s="113" t="s">
        <v>284</v>
      </c>
      <c r="O20" s="34">
        <f>RESUMEN!$B$3</f>
        <v>44926</v>
      </c>
      <c r="P20" s="11">
        <v>2022</v>
      </c>
    </row>
    <row r="21" spans="1:16" s="11" customFormat="1">
      <c r="A21" s="51" t="s">
        <v>228</v>
      </c>
      <c r="B21" s="51" t="s">
        <v>191</v>
      </c>
      <c r="C21" s="51" t="s">
        <v>230</v>
      </c>
      <c r="D21" s="51" t="s">
        <v>231</v>
      </c>
      <c r="E21" s="51" t="str">
        <f>'Anchov y SardC LTP'!D26</f>
        <v>ALFONSO LEPE ROBLES</v>
      </c>
      <c r="F21" s="51" t="s">
        <v>232</v>
      </c>
      <c r="G21" s="51" t="s">
        <v>233</v>
      </c>
      <c r="H21" s="51">
        <f>'Anchov y SardC LTP'!G26</f>
        <v>260.95999999999998</v>
      </c>
      <c r="I21" s="11">
        <f>'Anchov y SardC LTP'!H26</f>
        <v>-186.64500000000001</v>
      </c>
      <c r="J21" s="11">
        <f>'Anchov y SardC LTP'!I26</f>
        <v>74.314999999999969</v>
      </c>
      <c r="K21" s="11">
        <f>'Anchov y SardC LTP'!J26</f>
        <v>0</v>
      </c>
      <c r="L21" s="11">
        <f>'Anchov y SardC LTP'!K26</f>
        <v>74.314999999999969</v>
      </c>
      <c r="M21" s="42">
        <f>'Anchov y SardC LTP'!L26</f>
        <v>0.71522455548743114</v>
      </c>
      <c r="N21" s="113" t="s">
        <v>284</v>
      </c>
      <c r="O21" s="34">
        <f>RESUMEN!$B$3</f>
        <v>44926</v>
      </c>
      <c r="P21" s="11">
        <v>2022</v>
      </c>
    </row>
    <row r="22" spans="1:16" s="11" customFormat="1">
      <c r="A22" s="51" t="s">
        <v>228</v>
      </c>
      <c r="B22" s="51" t="s">
        <v>191</v>
      </c>
      <c r="C22" s="51" t="s">
        <v>230</v>
      </c>
      <c r="D22" s="51" t="s">
        <v>231</v>
      </c>
      <c r="E22" s="51" t="str">
        <f>'Anchov y SardC LTP'!D27</f>
        <v>THOR FISHERIES CHILE SpA</v>
      </c>
      <c r="F22" s="51" t="s">
        <v>232</v>
      </c>
      <c r="G22" s="51" t="s">
        <v>233</v>
      </c>
      <c r="H22" s="51">
        <f>'Anchov y SardC LTP'!G27</f>
        <v>0.49060480000000001</v>
      </c>
      <c r="I22" s="11">
        <f>'Anchov y SardC LTP'!H27</f>
        <v>0.50892000000000004</v>
      </c>
      <c r="J22" s="11">
        <f>'Anchov y SardC LTP'!I27</f>
        <v>0.9995248000000001</v>
      </c>
      <c r="K22" s="11">
        <f>'Anchov y SardC LTP'!J27</f>
        <v>0</v>
      </c>
      <c r="L22" s="11">
        <f>'Anchov y SardC LTP'!K27</f>
        <v>0.9995248000000001</v>
      </c>
      <c r="M22" s="42">
        <f>'Anchov y SardC LTP'!L27</f>
        <v>0</v>
      </c>
      <c r="N22" s="113" t="s">
        <v>284</v>
      </c>
      <c r="O22" s="34">
        <f>RESUMEN!$B$3</f>
        <v>44926</v>
      </c>
      <c r="P22" s="11">
        <v>2022</v>
      </c>
    </row>
    <row r="23" spans="1:16" s="11" customFormat="1">
      <c r="A23" s="51" t="s">
        <v>228</v>
      </c>
      <c r="B23" s="51" t="s">
        <v>191</v>
      </c>
      <c r="C23" s="51" t="s">
        <v>230</v>
      </c>
      <c r="D23" s="51" t="s">
        <v>231</v>
      </c>
      <c r="E23" s="51" t="str">
        <f>'Anchov y SardC LTP'!D28</f>
        <v>PESQUERA ORION</v>
      </c>
      <c r="F23" s="51" t="s">
        <v>232</v>
      </c>
      <c r="G23" s="51" t="s">
        <v>233</v>
      </c>
      <c r="H23" s="51">
        <f>'Anchov y SardC LTP'!G28</f>
        <v>913.36000000000013</v>
      </c>
      <c r="I23" s="11">
        <f>'Anchov y SardC LTP'!H28</f>
        <v>-913.25800000000004</v>
      </c>
      <c r="J23" s="11">
        <f>'Anchov y SardC LTP'!I28</f>
        <v>0.10200000000008913</v>
      </c>
      <c r="K23" s="11">
        <f>'Anchov y SardC LTP'!J28</f>
        <v>0</v>
      </c>
      <c r="L23" s="11">
        <f>'Anchov y SardC LTP'!K28</f>
        <v>0.10200000000008913</v>
      </c>
      <c r="M23" s="42">
        <f>'Anchov y SardC LTP'!L28</f>
        <v>0</v>
      </c>
      <c r="N23" s="113" t="s">
        <v>284</v>
      </c>
      <c r="O23" s="34">
        <f>RESUMEN!$B$3</f>
        <v>44926</v>
      </c>
      <c r="P23" s="11">
        <v>2022</v>
      </c>
    </row>
    <row r="24" spans="1:16" s="11" customFormat="1">
      <c r="A24" s="51" t="s">
        <v>228</v>
      </c>
      <c r="B24" s="51" t="s">
        <v>191</v>
      </c>
      <c r="C24" s="51" t="s">
        <v>230</v>
      </c>
      <c r="D24" s="51" t="s">
        <v>231</v>
      </c>
      <c r="E24" s="51" t="str">
        <f>'Anchov y SardC LTP'!D29</f>
        <v xml:space="preserve">SAN PEDRO </v>
      </c>
      <c r="F24" s="51" t="s">
        <v>232</v>
      </c>
      <c r="G24" s="51" t="s">
        <v>233</v>
      </c>
      <c r="H24" s="51">
        <f>'Anchov y SardC LTP'!G29</f>
        <v>965.55200000000013</v>
      </c>
      <c r="I24" s="11">
        <f>'Anchov y SardC LTP'!H29</f>
        <v>-941.50199999999995</v>
      </c>
      <c r="J24" s="11">
        <f>'Anchov y SardC LTP'!I29</f>
        <v>24.050000000000182</v>
      </c>
      <c r="K24" s="11">
        <f>'Anchov y SardC LTP'!J29</f>
        <v>0</v>
      </c>
      <c r="L24" s="11">
        <f>'Anchov y SardC LTP'!K29</f>
        <v>24.050000000000182</v>
      </c>
      <c r="M24" s="42">
        <f>'Anchov y SardC LTP'!L29</f>
        <v>0</v>
      </c>
      <c r="N24" s="113" t="s">
        <v>284</v>
      </c>
      <c r="O24" s="34">
        <f>RESUMEN!$B$3</f>
        <v>44926</v>
      </c>
      <c r="P24" s="11">
        <v>2022</v>
      </c>
    </row>
    <row r="25" spans="1:16" s="11" customFormat="1">
      <c r="A25" s="51" t="s">
        <v>228</v>
      </c>
      <c r="B25" s="51" t="s">
        <v>191</v>
      </c>
      <c r="C25" s="51" t="s">
        <v>230</v>
      </c>
      <c r="D25" s="51" t="s">
        <v>231</v>
      </c>
      <c r="E25" s="51" t="str">
        <f>'Anchov y SardC LTP'!D30</f>
        <v>JOSE BELTRAN AQUEVEDO</v>
      </c>
      <c r="F25" s="51" t="s">
        <v>232</v>
      </c>
      <c r="G25" s="51" t="s">
        <v>233</v>
      </c>
      <c r="H25" s="51">
        <f>'Anchov y SardC LTP'!G30</f>
        <v>730.68799999999987</v>
      </c>
      <c r="I25" s="11">
        <f>'Anchov y SardC LTP'!H30</f>
        <v>-730.68799999999999</v>
      </c>
      <c r="J25" s="11">
        <f>'Anchov y SardC LTP'!I30</f>
        <v>0</v>
      </c>
      <c r="K25" s="11">
        <f>'Anchov y SardC LTP'!J30</f>
        <v>0</v>
      </c>
      <c r="L25" s="11">
        <f>'Anchov y SardC LTP'!K30</f>
        <v>0</v>
      </c>
      <c r="M25" s="42">
        <f>'Anchov y SardC LTP'!L30</f>
        <v>0</v>
      </c>
      <c r="N25" s="113" t="s">
        <v>284</v>
      </c>
      <c r="O25" s="34">
        <f>RESUMEN!$B$3</f>
        <v>44926</v>
      </c>
      <c r="P25" s="11">
        <v>2022</v>
      </c>
    </row>
    <row r="26" spans="1:16" s="11" customFormat="1">
      <c r="A26" s="51" t="s">
        <v>228</v>
      </c>
      <c r="B26" s="51" t="s">
        <v>191</v>
      </c>
      <c r="C26" s="51" t="s">
        <v>230</v>
      </c>
      <c r="D26" s="51" t="s">
        <v>231</v>
      </c>
      <c r="E26" s="51" t="str">
        <f>'Anchov y SardC LTP'!D31</f>
        <v>PELANTARO INOSTROZA CONCHA</v>
      </c>
      <c r="F26" s="51" t="s">
        <v>232</v>
      </c>
      <c r="G26" s="51" t="s">
        <v>233</v>
      </c>
      <c r="H26" s="51">
        <f>'Anchov y SardC LTP'!G31</f>
        <v>41.231679999999997</v>
      </c>
      <c r="I26" s="11">
        <f>'Anchov y SardC LTP'!H31</f>
        <v>-40</v>
      </c>
      <c r="J26" s="11">
        <f>'Anchov y SardC LTP'!I31</f>
        <v>1.2316799999999972</v>
      </c>
      <c r="K26" s="11">
        <f>'Anchov y SardC LTP'!J31</f>
        <v>0</v>
      </c>
      <c r="L26" s="11">
        <f>'Anchov y SardC LTP'!K31</f>
        <v>1.2316799999999972</v>
      </c>
      <c r="M26" s="42">
        <f>'Anchov y SardC LTP'!L31</f>
        <v>0</v>
      </c>
      <c r="N26" s="113" t="s">
        <v>284</v>
      </c>
      <c r="O26" s="34">
        <f>RESUMEN!$B$3</f>
        <v>44926</v>
      </c>
      <c r="P26" s="11">
        <v>2022</v>
      </c>
    </row>
    <row r="27" spans="1:16" s="11" customFormat="1">
      <c r="A27" s="51" t="s">
        <v>228</v>
      </c>
      <c r="B27" s="51" t="s">
        <v>191</v>
      </c>
      <c r="C27" s="51" t="s">
        <v>230</v>
      </c>
      <c r="D27" s="51" t="s">
        <v>231</v>
      </c>
      <c r="E27" s="51" t="str">
        <f>'Anchov y SardC LTP'!D32</f>
        <v>SOCIEDAD PESQUERA GENMAR LIMITADA</v>
      </c>
      <c r="F27" s="51" t="s">
        <v>232</v>
      </c>
      <c r="G27" s="51" t="s">
        <v>233</v>
      </c>
      <c r="H27" s="51">
        <f>'Anchov y SardC LTP'!G32</f>
        <v>13.048</v>
      </c>
      <c r="I27" s="11">
        <f>'Anchov y SardC LTP'!H32</f>
        <v>0</v>
      </c>
      <c r="J27" s="11">
        <f>'Anchov y SardC LTP'!I32</f>
        <v>13.048</v>
      </c>
      <c r="K27" s="11">
        <f>'Anchov y SardC LTP'!J32</f>
        <v>0</v>
      </c>
      <c r="L27" s="11">
        <f>'Anchov y SardC LTP'!K32</f>
        <v>13.048</v>
      </c>
      <c r="M27" s="42">
        <f>'Anchov y SardC LTP'!L32</f>
        <v>0</v>
      </c>
      <c r="N27" s="113" t="s">
        <v>284</v>
      </c>
      <c r="O27" s="34">
        <f>RESUMEN!$B$3</f>
        <v>44926</v>
      </c>
      <c r="P27" s="11">
        <v>2022</v>
      </c>
    </row>
    <row r="28" spans="1:16">
      <c r="A28" s="143" t="s">
        <v>228</v>
      </c>
      <c r="B28" s="143" t="s">
        <v>191</v>
      </c>
      <c r="C28" s="143" t="s">
        <v>230</v>
      </c>
      <c r="D28" s="143" t="s">
        <v>231</v>
      </c>
      <c r="E28" s="143" t="str">
        <f>'Anchov y SardC LTP'!D33</f>
        <v>TOTAL ASIGNATARIOS LTP</v>
      </c>
      <c r="F28" s="143" t="s">
        <v>232</v>
      </c>
      <c r="G28" s="143" t="s">
        <v>233</v>
      </c>
      <c r="H28" s="143">
        <f>'Anchov y SardC LTP'!G33</f>
        <v>52192.0052192</v>
      </c>
      <c r="I28" s="43">
        <f>'Anchov y SardC LTP'!H33</f>
        <v>-50544.623</v>
      </c>
      <c r="J28" s="43">
        <f>'Anchov y SardC LTP'!I33</f>
        <v>1647.3822192000007</v>
      </c>
      <c r="K28" s="43">
        <f>'Anchov y SardC LTP'!J33</f>
        <v>933.98399999999992</v>
      </c>
      <c r="L28" s="43">
        <f>'Anchov y SardC LTP'!K33</f>
        <v>713.39821920000077</v>
      </c>
      <c r="M28" s="44">
        <f>'Anchov y SardC LTP'!L33</f>
        <v>0.96843611943474484</v>
      </c>
      <c r="N28" s="113" t="s">
        <v>255</v>
      </c>
      <c r="O28" s="34">
        <f>RESUMEN!$B$3</f>
        <v>44926</v>
      </c>
      <c r="P28" s="11">
        <v>2022</v>
      </c>
    </row>
    <row r="29" spans="1:16">
      <c r="A29" s="51" t="s">
        <v>155</v>
      </c>
      <c r="B29" s="51" t="s">
        <v>192</v>
      </c>
      <c r="C29" s="51" t="s">
        <v>230</v>
      </c>
      <c r="D29" s="51" t="s">
        <v>231</v>
      </c>
      <c r="E29" s="51" t="str">
        <f>'Anchov y SardC LTP'!D40</f>
        <v>ALIMENTOS MARINOS S.A.</v>
      </c>
      <c r="F29" s="51" t="s">
        <v>232</v>
      </c>
      <c r="G29" s="51" t="s">
        <v>233</v>
      </c>
      <c r="H29" s="51">
        <f>'Anchov y SardC LTP'!G40</f>
        <v>6867.0828959999999</v>
      </c>
      <c r="I29">
        <f>'Anchov y SardC LTP'!H40</f>
        <v>-6865.0829999999996</v>
      </c>
      <c r="J29">
        <f>'Anchov y SardC LTP'!I40</f>
        <v>1.9998960000002626</v>
      </c>
      <c r="K29">
        <f>'Anchov y SardC LTP'!J40</f>
        <v>0</v>
      </c>
      <c r="L29">
        <f>'Anchov y SardC LTP'!K40</f>
        <v>1.9998960000002626</v>
      </c>
      <c r="M29" s="42">
        <f>'Anchov y SardC LTP'!L40</f>
        <v>0.99970877066284358</v>
      </c>
      <c r="N29" s="113" t="s">
        <v>255</v>
      </c>
      <c r="O29" s="34">
        <f>RESUMEN!$B$3</f>
        <v>44926</v>
      </c>
      <c r="P29" s="11">
        <v>2022</v>
      </c>
    </row>
    <row r="30" spans="1:16">
      <c r="A30" s="51" t="s">
        <v>155</v>
      </c>
      <c r="B30" s="51" t="s">
        <v>192</v>
      </c>
      <c r="C30" s="51" t="s">
        <v>230</v>
      </c>
      <c r="D30" s="51" t="s">
        <v>231</v>
      </c>
      <c r="E30" s="51" t="str">
        <f>'Anchov y SardC LTP'!D41</f>
        <v>BLUMAR S.A.</v>
      </c>
      <c r="F30" s="51" t="s">
        <v>232</v>
      </c>
      <c r="G30" s="51" t="s">
        <v>233</v>
      </c>
      <c r="H30" s="51">
        <f>'Anchov y SardC LTP'!G41</f>
        <v>16543.820319999999</v>
      </c>
      <c r="I30" s="11">
        <f>'Anchov y SardC LTP'!H41</f>
        <v>-16444</v>
      </c>
      <c r="J30" s="11">
        <f>'Anchov y SardC LTP'!I41</f>
        <v>99.820319999998901</v>
      </c>
      <c r="K30" s="11">
        <f>'Anchov y SardC LTP'!J41</f>
        <v>0</v>
      </c>
      <c r="L30" s="11">
        <f>'Anchov y SardC LTP'!K41</f>
        <v>99.820319999998901</v>
      </c>
      <c r="M30" s="42">
        <f>'Anchov y SardC LTP'!L41</f>
        <v>0.99396630777721118</v>
      </c>
      <c r="N30" s="113" t="s">
        <v>255</v>
      </c>
      <c r="O30" s="34">
        <f>RESUMEN!$B$3</f>
        <v>44926</v>
      </c>
      <c r="P30" s="11">
        <v>2022</v>
      </c>
    </row>
    <row r="31" spans="1:16">
      <c r="A31" s="51" t="s">
        <v>155</v>
      </c>
      <c r="B31" s="51" t="s">
        <v>192</v>
      </c>
      <c r="C31" s="51" t="s">
        <v>230</v>
      </c>
      <c r="D31" s="51" t="s">
        <v>231</v>
      </c>
      <c r="E31" s="51" t="str">
        <f>'Anchov y SardC LTP'!D42</f>
        <v>CAMANCHACA PESCA SUR S.A.</v>
      </c>
      <c r="F31" s="51" t="s">
        <v>232</v>
      </c>
      <c r="G31" s="51" t="s">
        <v>233</v>
      </c>
      <c r="H31" s="51">
        <f>'Anchov y SardC LTP'!G42</f>
        <v>16597.334071999998</v>
      </c>
      <c r="I31" s="11">
        <f>'Anchov y SardC LTP'!H42</f>
        <v>-15205</v>
      </c>
      <c r="J31" s="11">
        <f>'Anchov y SardC LTP'!I42</f>
        <v>1392.3340719999978</v>
      </c>
      <c r="K31" s="11">
        <f>'Anchov y SardC LTP'!J42</f>
        <v>1307.817</v>
      </c>
      <c r="L31" s="11">
        <f>'Anchov y SardC LTP'!K42</f>
        <v>84.517071999997825</v>
      </c>
      <c r="M31" s="42">
        <f>'Anchov y SardC LTP'!L42</f>
        <v>0.91611098107925115</v>
      </c>
      <c r="N31" s="113" t="s">
        <v>255</v>
      </c>
      <c r="O31" s="34">
        <f>RESUMEN!$B$3</f>
        <v>44926</v>
      </c>
      <c r="P31" s="11">
        <v>2022</v>
      </c>
    </row>
    <row r="32" spans="1:16">
      <c r="A32" s="51" t="s">
        <v>155</v>
      </c>
      <c r="B32" s="51" t="s">
        <v>192</v>
      </c>
      <c r="C32" s="51" t="s">
        <v>230</v>
      </c>
      <c r="D32" s="51" t="s">
        <v>231</v>
      </c>
      <c r="E32" s="51" t="str">
        <f>'Anchov y SardC LTP'!D43</f>
        <v>NOVAMAR SpA</v>
      </c>
      <c r="F32" s="51" t="s">
        <v>232</v>
      </c>
      <c r="G32" s="51" t="s">
        <v>233</v>
      </c>
      <c r="H32" s="51">
        <f>'Anchov y SardC LTP'!G43</f>
        <v>5262.5170480000006</v>
      </c>
      <c r="I32" s="11">
        <f>'Anchov y SardC LTP'!H43</f>
        <v>-5259.4139999999998</v>
      </c>
      <c r="J32" s="11">
        <f>'Anchov y SardC LTP'!I43</f>
        <v>3.1030480000008538</v>
      </c>
      <c r="K32" s="11">
        <f>'Anchov y SardC LTP'!J43</f>
        <v>0</v>
      </c>
      <c r="L32" s="11">
        <f>'Anchov y SardC LTP'!K43</f>
        <v>3.1030480000008538</v>
      </c>
      <c r="M32" s="42">
        <f>'Anchov y SardC LTP'!L43</f>
        <v>0.99941034908358539</v>
      </c>
      <c r="N32" s="113" t="s">
        <v>255</v>
      </c>
      <c r="O32" s="34">
        <f>RESUMEN!$B$3</f>
        <v>44926</v>
      </c>
      <c r="P32" s="11">
        <v>2022</v>
      </c>
    </row>
    <row r="33" spans="1:16">
      <c r="A33" s="51" t="s">
        <v>155</v>
      </c>
      <c r="B33" s="51" t="s">
        <v>192</v>
      </c>
      <c r="C33" s="51" t="s">
        <v>230</v>
      </c>
      <c r="D33" s="51" t="s">
        <v>231</v>
      </c>
      <c r="E33" s="51" t="str">
        <f>'Anchov y SardC LTP'!D44</f>
        <v>LITORAL SpA PESQ.</v>
      </c>
      <c r="F33" s="51" t="s">
        <v>232</v>
      </c>
      <c r="G33" s="51" t="s">
        <v>233</v>
      </c>
      <c r="H33" s="51">
        <f>'Anchov y SardC LTP'!G44</f>
        <v>1247.4941920000001</v>
      </c>
      <c r="I33" s="11">
        <f>'Anchov y SardC LTP'!H44</f>
        <v>-1246.027</v>
      </c>
      <c r="J33" s="11">
        <f>'Anchov y SardC LTP'!I44</f>
        <v>1.4671920000000682</v>
      </c>
      <c r="K33" s="11">
        <f>'Anchov y SardC LTP'!J44</f>
        <v>0</v>
      </c>
      <c r="L33" s="11">
        <f>'Anchov y SardC LTP'!K44</f>
        <v>1.4671920000000682</v>
      </c>
      <c r="M33" s="42">
        <f>'Anchov y SardC LTP'!L44</f>
        <v>0.99882388871274197</v>
      </c>
      <c r="N33" s="113" t="s">
        <v>255</v>
      </c>
      <c r="O33" s="34">
        <f>RESUMEN!$B$3</f>
        <v>44926</v>
      </c>
      <c r="P33" s="11">
        <v>2022</v>
      </c>
    </row>
    <row r="34" spans="1:16">
      <c r="A34" s="51" t="s">
        <v>155</v>
      </c>
      <c r="B34" s="51" t="s">
        <v>192</v>
      </c>
      <c r="C34" s="51" t="s">
        <v>230</v>
      </c>
      <c r="D34" s="51" t="s">
        <v>231</v>
      </c>
      <c r="E34" s="51" t="str">
        <f>'Anchov y SardC LTP'!D45</f>
        <v>FOODCORP CHILE S.A.</v>
      </c>
      <c r="F34" s="51" t="s">
        <v>232</v>
      </c>
      <c r="G34" s="51" t="s">
        <v>233</v>
      </c>
      <c r="H34" s="51">
        <f>'Anchov y SardC LTP'!G45</f>
        <v>1579.9878959999999</v>
      </c>
      <c r="I34" s="11">
        <f>'Anchov y SardC LTP'!H45</f>
        <v>-1571</v>
      </c>
      <c r="J34" s="11">
        <f>'Anchov y SardC LTP'!I45</f>
        <v>8.9878959999998642</v>
      </c>
      <c r="K34" s="11">
        <f>'Anchov y SardC LTP'!J45</f>
        <v>0</v>
      </c>
      <c r="L34" s="11">
        <f>'Anchov y SardC LTP'!K45</f>
        <v>8.9878959999998642</v>
      </c>
      <c r="M34" s="42">
        <f>'Anchov y SardC LTP'!L45</f>
        <v>0.994311414648964</v>
      </c>
      <c r="N34" s="113" t="s">
        <v>255</v>
      </c>
      <c r="O34" s="34">
        <f>RESUMEN!$B$3</f>
        <v>44926</v>
      </c>
      <c r="P34" s="11">
        <v>2022</v>
      </c>
    </row>
    <row r="35" spans="1:16">
      <c r="A35" s="51" t="s">
        <v>155</v>
      </c>
      <c r="B35" s="51" t="s">
        <v>192</v>
      </c>
      <c r="C35" s="51" t="s">
        <v>230</v>
      </c>
      <c r="D35" s="51" t="s">
        <v>231</v>
      </c>
      <c r="E35" s="51" t="str">
        <f>'Anchov y SardC LTP'!D46</f>
        <v>ISLA QUIHUA S.A. PESQ</v>
      </c>
      <c r="F35" s="51" t="s">
        <v>232</v>
      </c>
      <c r="G35" s="51" t="s">
        <v>233</v>
      </c>
      <c r="H35" s="51">
        <f>'Anchov y SardC LTP'!G46</f>
        <v>1.32056</v>
      </c>
      <c r="I35" s="11">
        <f>'Anchov y SardC LTP'!H46</f>
        <v>0</v>
      </c>
      <c r="J35" s="11">
        <f>'Anchov y SardC LTP'!I46</f>
        <v>1.32056</v>
      </c>
      <c r="K35" s="11">
        <f>'Anchov y SardC LTP'!J46</f>
        <v>0</v>
      </c>
      <c r="L35" s="11">
        <f>'Anchov y SardC LTP'!K46</f>
        <v>1.32056</v>
      </c>
      <c r="M35" s="42">
        <f>'Anchov y SardC LTP'!L46</f>
        <v>0</v>
      </c>
      <c r="N35" s="113" t="s">
        <v>255</v>
      </c>
      <c r="O35" s="34">
        <f>RESUMEN!$B$3</f>
        <v>44926</v>
      </c>
      <c r="P35" s="11">
        <v>2022</v>
      </c>
    </row>
    <row r="36" spans="1:16">
      <c r="A36" s="51" t="s">
        <v>155</v>
      </c>
      <c r="B36" s="51" t="s">
        <v>192</v>
      </c>
      <c r="C36" s="51" t="s">
        <v>230</v>
      </c>
      <c r="D36" s="51" t="s">
        <v>231</v>
      </c>
      <c r="E36" s="51" t="str">
        <f>'Anchov y SardC LTP'!D47</f>
        <v>LANDES S.A. SOC PESQ.</v>
      </c>
      <c r="F36" s="51" t="s">
        <v>232</v>
      </c>
      <c r="G36" s="51" t="s">
        <v>233</v>
      </c>
      <c r="H36" s="51">
        <f>'Anchov y SardC LTP'!G47</f>
        <v>6438.6000159999994</v>
      </c>
      <c r="I36" s="11">
        <f>'Anchov y SardC LTP'!H47</f>
        <v>-5106.7767999999996</v>
      </c>
      <c r="J36" s="11">
        <f>'Anchov y SardC LTP'!I47</f>
        <v>1331.8232159999998</v>
      </c>
      <c r="K36" s="11">
        <f>'Anchov y SardC LTP'!J47</f>
        <v>1284.52</v>
      </c>
      <c r="L36" s="11">
        <f>'Anchov y SardC LTP'!K47</f>
        <v>47.303215999999793</v>
      </c>
      <c r="M36" s="42">
        <f>'Anchov y SardC LTP'!L47</f>
        <v>0.79315018595806497</v>
      </c>
      <c r="N36" s="113" t="s">
        <v>255</v>
      </c>
      <c r="O36" s="34">
        <f>RESUMEN!$B$3</f>
        <v>44926</v>
      </c>
      <c r="P36" s="11">
        <v>2022</v>
      </c>
    </row>
    <row r="37" spans="1:16">
      <c r="A37" s="51" t="s">
        <v>155</v>
      </c>
      <c r="B37" s="51" t="s">
        <v>192</v>
      </c>
      <c r="C37" s="51" t="s">
        <v>230</v>
      </c>
      <c r="D37" s="51" t="s">
        <v>231</v>
      </c>
      <c r="E37" s="51" t="str">
        <f>'Anchov y SardC LTP'!D48</f>
        <v>LOTA PROTEIN S.A.</v>
      </c>
      <c r="F37" s="51" t="s">
        <v>232</v>
      </c>
      <c r="G37" s="51" t="s">
        <v>233</v>
      </c>
      <c r="H37" s="51">
        <f>'Anchov y SardC LTP'!G48</f>
        <v>2665.1852640000006</v>
      </c>
      <c r="I37" s="11">
        <f>'Anchov y SardC LTP'!H48</f>
        <v>-2660</v>
      </c>
      <c r="J37" s="11">
        <f>'Anchov y SardC LTP'!I48</f>
        <v>5.1852640000006431</v>
      </c>
      <c r="K37" s="11">
        <f>'Anchov y SardC LTP'!J48</f>
        <v>0</v>
      </c>
      <c r="L37" s="11">
        <f>'Anchov y SardC LTP'!K48</f>
        <v>5.1852640000006431</v>
      </c>
      <c r="M37" s="42">
        <f>'Anchov y SardC LTP'!L48</f>
        <v>0.99805444519372044</v>
      </c>
      <c r="N37" s="113" t="s">
        <v>255</v>
      </c>
      <c r="O37" s="34">
        <f>RESUMEN!$B$3</f>
        <v>44926</v>
      </c>
      <c r="P37" s="11">
        <v>2022</v>
      </c>
    </row>
    <row r="38" spans="1:16">
      <c r="A38" s="51" t="s">
        <v>155</v>
      </c>
      <c r="B38" s="51" t="s">
        <v>192</v>
      </c>
      <c r="C38" s="51" t="s">
        <v>230</v>
      </c>
      <c r="D38" s="51" t="s">
        <v>231</v>
      </c>
      <c r="E38" s="51" t="str">
        <f>'Anchov y SardC LTP'!D49</f>
        <v>ORIZON S.A.</v>
      </c>
      <c r="F38" s="51" t="s">
        <v>232</v>
      </c>
      <c r="G38" s="51" t="s">
        <v>233</v>
      </c>
      <c r="H38" s="51">
        <f>'Anchov y SardC LTP'!G49</f>
        <v>13189.745512</v>
      </c>
      <c r="I38" s="11">
        <f>'Anchov y SardC LTP'!H49</f>
        <v>-10320</v>
      </c>
      <c r="J38" s="11">
        <f>'Anchov y SardC LTP'!I49</f>
        <v>2869.7455119999995</v>
      </c>
      <c r="K38" s="11">
        <f>'Anchov y SardC LTP'!J49</f>
        <v>2853.2539999999999</v>
      </c>
      <c r="L38" s="11">
        <f>'Anchov y SardC LTP'!K49</f>
        <v>16.491511999999602</v>
      </c>
      <c r="M38" s="42">
        <f>'Anchov y SardC LTP'!L49</f>
        <v>0.99425331900301284</v>
      </c>
      <c r="N38" s="113" t="s">
        <v>255</v>
      </c>
      <c r="O38" s="34">
        <f>RESUMEN!$B$3</f>
        <v>44926</v>
      </c>
      <c r="P38" s="11">
        <v>2022</v>
      </c>
    </row>
    <row r="39" spans="1:16">
      <c r="A39" s="51" t="s">
        <v>155</v>
      </c>
      <c r="B39" s="51" t="s">
        <v>192</v>
      </c>
      <c r="C39" s="51" t="s">
        <v>230</v>
      </c>
      <c r="D39" s="51" t="s">
        <v>231</v>
      </c>
      <c r="E39" s="51" t="str">
        <f>'Anchov y SardC LTP'!D50</f>
        <v>INVERSIONES TRIDENTE SpA</v>
      </c>
      <c r="F39" s="51" t="s">
        <v>232</v>
      </c>
      <c r="G39" s="51" t="s">
        <v>233</v>
      </c>
      <c r="H39" s="51">
        <f>'Anchov y SardC LTP'!G50</f>
        <v>640.86</v>
      </c>
      <c r="I39" s="11">
        <f>'Anchov y SardC LTP'!H50</f>
        <v>-640.86</v>
      </c>
      <c r="J39" s="11">
        <f>'Anchov y SardC LTP'!I50</f>
        <v>0</v>
      </c>
      <c r="K39" s="11">
        <f>'Anchov y SardC LTP'!J50</f>
        <v>0</v>
      </c>
      <c r="L39" s="11">
        <f>'Anchov y SardC LTP'!K50</f>
        <v>0</v>
      </c>
      <c r="M39" s="42">
        <f>'Anchov y SardC LTP'!L50</f>
        <v>1</v>
      </c>
      <c r="N39" s="113" t="s">
        <v>255</v>
      </c>
      <c r="O39" s="34">
        <f>RESUMEN!$B$3</f>
        <v>44926</v>
      </c>
      <c r="P39" s="11">
        <v>2022</v>
      </c>
    </row>
    <row r="40" spans="1:16">
      <c r="A40" s="51" t="s">
        <v>155</v>
      </c>
      <c r="B40" s="51" t="s">
        <v>192</v>
      </c>
      <c r="C40" s="51" t="s">
        <v>230</v>
      </c>
      <c r="D40" s="51" t="s">
        <v>231</v>
      </c>
      <c r="E40" s="51" t="str">
        <f>'Anchov y SardC LTP'!D51</f>
        <v>SOC. PESQUERA MEHUIN REY LTDA.</v>
      </c>
      <c r="F40" s="51" t="s">
        <v>232</v>
      </c>
      <c r="G40" s="51" t="s">
        <v>233</v>
      </c>
      <c r="H40" s="51">
        <f>'Anchov y SardC LTP'!G51</f>
        <v>1048.68</v>
      </c>
      <c r="I40" s="11">
        <f>'Anchov y SardC LTP'!H51</f>
        <v>-939.6</v>
      </c>
      <c r="J40" s="11">
        <f>'Anchov y SardC LTP'!I51</f>
        <v>109.08000000000004</v>
      </c>
      <c r="K40" s="11">
        <f>'Anchov y SardC LTP'!J51</f>
        <v>0</v>
      </c>
      <c r="L40" s="11">
        <f>'Anchov y SardC LTP'!K51</f>
        <v>109.08000000000004</v>
      </c>
      <c r="M40" s="42">
        <f>'Anchov y SardC LTP'!L51</f>
        <v>0.89598352214212151</v>
      </c>
      <c r="N40" s="113" t="s">
        <v>255</v>
      </c>
      <c r="O40" s="34">
        <f>RESUMEN!$B$3</f>
        <v>44926</v>
      </c>
      <c r="P40" s="11">
        <v>2022</v>
      </c>
    </row>
    <row r="41" spans="1:16">
      <c r="A41" s="51" t="s">
        <v>155</v>
      </c>
      <c r="B41" s="51" t="s">
        <v>192</v>
      </c>
      <c r="C41" s="51" t="s">
        <v>230</v>
      </c>
      <c r="D41" s="51" t="s">
        <v>231</v>
      </c>
      <c r="E41" s="51" t="str">
        <f>'Anchov y SardC LTP'!D52</f>
        <v>CRISTIAN SILVA LORCA</v>
      </c>
      <c r="F41" s="51" t="s">
        <v>232</v>
      </c>
      <c r="G41" s="51" t="s">
        <v>233</v>
      </c>
      <c r="H41" s="51">
        <f>'Anchov y SardC LTP'!G52</f>
        <v>1048.6799999999998</v>
      </c>
      <c r="I41" s="11">
        <f>'Anchov y SardC LTP'!H52</f>
        <v>-1048.68</v>
      </c>
      <c r="J41" s="11">
        <f>'Anchov y SardC LTP'!I52</f>
        <v>0</v>
      </c>
      <c r="K41" s="11">
        <f>'Anchov y SardC LTP'!J52</f>
        <v>0</v>
      </c>
      <c r="L41" s="11">
        <f>'Anchov y SardC LTP'!K52</f>
        <v>0</v>
      </c>
      <c r="M41" s="42">
        <f>'Anchov y SardC LTP'!L52</f>
        <v>1.0000000000000002</v>
      </c>
      <c r="N41" s="113" t="s">
        <v>255</v>
      </c>
      <c r="O41" s="34">
        <f>RESUMEN!$B$3</f>
        <v>44926</v>
      </c>
      <c r="P41" s="11">
        <v>2022</v>
      </c>
    </row>
    <row r="42" spans="1:16">
      <c r="A42" s="51" t="s">
        <v>155</v>
      </c>
      <c r="B42" s="51" t="s">
        <v>192</v>
      </c>
      <c r="C42" s="51" t="s">
        <v>230</v>
      </c>
      <c r="D42" s="51" t="s">
        <v>231</v>
      </c>
      <c r="E42" s="51" t="str">
        <f>'Anchov y SardC LTP'!D53</f>
        <v>JULIO SAEZ MUÑOZ</v>
      </c>
      <c r="F42" s="51" t="s">
        <v>232</v>
      </c>
      <c r="G42" s="51" t="s">
        <v>233</v>
      </c>
      <c r="H42" s="51">
        <f>'Anchov y SardC LTP'!G53</f>
        <v>349.55999999999995</v>
      </c>
      <c r="I42" s="11">
        <f>'Anchov y SardC LTP'!H53</f>
        <v>-348.56</v>
      </c>
      <c r="J42" s="11">
        <f>'Anchov y SardC LTP'!I53</f>
        <v>0.99999999999994316</v>
      </c>
      <c r="K42" s="11">
        <f>'Anchov y SardC LTP'!J53</f>
        <v>0</v>
      </c>
      <c r="L42" s="11">
        <f>'Anchov y SardC LTP'!K53</f>
        <v>0.99999999999994316</v>
      </c>
      <c r="M42" s="42">
        <f>'Anchov y SardC LTP'!L53</f>
        <v>0.99713926078498705</v>
      </c>
      <c r="N42" s="113" t="s">
        <v>255</v>
      </c>
      <c r="O42" s="34">
        <f>RESUMEN!$B$3</f>
        <v>44926</v>
      </c>
      <c r="P42" s="11">
        <v>2022</v>
      </c>
    </row>
    <row r="43" spans="1:16">
      <c r="A43" s="51" t="s">
        <v>155</v>
      </c>
      <c r="B43" s="51" t="s">
        <v>192</v>
      </c>
      <c r="C43" s="51" t="s">
        <v>230</v>
      </c>
      <c r="D43" s="51" t="s">
        <v>231</v>
      </c>
      <c r="E43" s="51" t="str">
        <f>'Anchov y SardC LTP'!D54</f>
        <v>FABIAN MONSALVE SALAS</v>
      </c>
      <c r="F43" s="51" t="s">
        <v>232</v>
      </c>
      <c r="G43" s="51" t="s">
        <v>233</v>
      </c>
      <c r="H43" s="51">
        <f>'Anchov y SardC LTP'!G54</f>
        <v>174.77999999999997</v>
      </c>
      <c r="I43" s="11">
        <f>'Anchov y SardC LTP'!H54</f>
        <v>-174.78</v>
      </c>
      <c r="J43" s="11">
        <f>'Anchov y SardC LTP'!I54</f>
        <v>0</v>
      </c>
      <c r="K43" s="11">
        <f>'Anchov y SardC LTP'!J54</f>
        <v>0</v>
      </c>
      <c r="L43" s="11">
        <f>'Anchov y SardC LTP'!K54</f>
        <v>0</v>
      </c>
      <c r="M43" s="42">
        <f>'Anchov y SardC LTP'!L54</f>
        <v>1.0000000000000002</v>
      </c>
      <c r="N43" s="113" t="s">
        <v>255</v>
      </c>
      <c r="O43" s="34">
        <f>RESUMEN!$B$3</f>
        <v>44926</v>
      </c>
      <c r="P43" s="11">
        <v>2022</v>
      </c>
    </row>
    <row r="44" spans="1:16">
      <c r="A44" s="51" t="s">
        <v>155</v>
      </c>
      <c r="B44" s="51" t="s">
        <v>192</v>
      </c>
      <c r="C44" s="51" t="s">
        <v>230</v>
      </c>
      <c r="D44" s="51" t="s">
        <v>231</v>
      </c>
      <c r="E44" s="51" t="str">
        <f>'Anchov y SardC LTP'!D55</f>
        <v>GONZALO GALDAMEZ SANTIBAÑEZ</v>
      </c>
      <c r="F44" s="51" t="s">
        <v>232</v>
      </c>
      <c r="G44" s="51" t="s">
        <v>233</v>
      </c>
      <c r="H44" s="51">
        <f>'Anchov y SardC LTP'!G55</f>
        <v>699.11999999999989</v>
      </c>
      <c r="I44" s="11">
        <f>'Anchov y SardC LTP'!H55</f>
        <v>-699.12</v>
      </c>
      <c r="J44" s="11">
        <f>'Anchov y SardC LTP'!I55</f>
        <v>0</v>
      </c>
      <c r="K44" s="11">
        <f>'Anchov y SardC LTP'!J55</f>
        <v>0</v>
      </c>
      <c r="L44" s="11">
        <f>'Anchov y SardC LTP'!K55</f>
        <v>0</v>
      </c>
      <c r="M44" s="42">
        <f>'Anchov y SardC LTP'!L55</f>
        <v>1.0000000000000002</v>
      </c>
      <c r="N44" s="113" t="s">
        <v>255</v>
      </c>
      <c r="O44" s="34">
        <f>RESUMEN!$B$3</f>
        <v>44926</v>
      </c>
      <c r="P44" s="11">
        <v>2022</v>
      </c>
    </row>
    <row r="45" spans="1:16">
      <c r="A45" s="51" t="s">
        <v>155</v>
      </c>
      <c r="B45" s="51" t="s">
        <v>192</v>
      </c>
      <c r="C45" s="51" t="s">
        <v>230</v>
      </c>
      <c r="D45" s="51" t="s">
        <v>231</v>
      </c>
      <c r="E45" s="51" t="str">
        <f>'Anchov y SardC LTP'!D56</f>
        <v>SUSAN MONSALVE SALAS</v>
      </c>
      <c r="F45" s="51" t="s">
        <v>232</v>
      </c>
      <c r="G45" s="51" t="s">
        <v>233</v>
      </c>
      <c r="H45" s="51">
        <f>'Anchov y SardC LTP'!G56</f>
        <v>174.77999999999997</v>
      </c>
      <c r="I45" s="11">
        <f>'Anchov y SardC LTP'!H56</f>
        <v>-174.78</v>
      </c>
      <c r="J45" s="11">
        <f>'Anchov y SardC LTP'!I56</f>
        <v>0</v>
      </c>
      <c r="K45" s="11">
        <f>'Anchov y SardC LTP'!J56</f>
        <v>0</v>
      </c>
      <c r="L45" s="11">
        <f>'Anchov y SardC LTP'!K56</f>
        <v>0</v>
      </c>
      <c r="M45" s="42">
        <f>'Anchov y SardC LTP'!L56</f>
        <v>1.0000000000000002</v>
      </c>
      <c r="N45" s="113" t="s">
        <v>255</v>
      </c>
      <c r="O45" s="34">
        <f>RESUMEN!$B$3</f>
        <v>44926</v>
      </c>
      <c r="P45" s="11">
        <v>2022</v>
      </c>
    </row>
    <row r="46" spans="1:16">
      <c r="A46" s="51" t="s">
        <v>155</v>
      </c>
      <c r="B46" s="51" t="s">
        <v>192</v>
      </c>
      <c r="C46" s="51" t="s">
        <v>230</v>
      </c>
      <c r="D46" s="51" t="s">
        <v>231</v>
      </c>
      <c r="E46" s="51" t="str">
        <f>'Anchov y SardC LTP'!D57</f>
        <v>PROCESOS TECNOLOGICOS DEL BIOBIO S.A.</v>
      </c>
      <c r="F46" s="51" t="s">
        <v>232</v>
      </c>
      <c r="G46" s="51" t="s">
        <v>233</v>
      </c>
      <c r="H46" s="51">
        <f>'Anchov y SardC LTP'!G57</f>
        <v>524.33999999999992</v>
      </c>
      <c r="I46" s="11">
        <f>'Anchov y SardC LTP'!H57</f>
        <v>-524.34</v>
      </c>
      <c r="J46" s="11">
        <f>'Anchov y SardC LTP'!I57</f>
        <v>0</v>
      </c>
      <c r="K46" s="11">
        <f>'Anchov y SardC LTP'!J57</f>
        <v>0</v>
      </c>
      <c r="L46" s="11">
        <f>'Anchov y SardC LTP'!K57</f>
        <v>0</v>
      </c>
      <c r="M46" s="42">
        <f>'Anchov y SardC LTP'!L57</f>
        <v>1.0000000000000002</v>
      </c>
      <c r="N46" s="113" t="s">
        <v>255</v>
      </c>
      <c r="O46" s="34">
        <f>RESUMEN!$B$3</f>
        <v>44926</v>
      </c>
      <c r="P46" s="11">
        <v>2022</v>
      </c>
    </row>
    <row r="47" spans="1:16">
      <c r="A47" s="51" t="s">
        <v>155</v>
      </c>
      <c r="B47" s="51" t="s">
        <v>192</v>
      </c>
      <c r="C47" s="51" t="s">
        <v>230</v>
      </c>
      <c r="D47" s="51" t="s">
        <v>231</v>
      </c>
      <c r="E47" s="51" t="str">
        <f>'Anchov y SardC LTP'!D58</f>
        <v>PESQ. LEPE LTDA.</v>
      </c>
      <c r="F47" s="51" t="s">
        <v>232</v>
      </c>
      <c r="G47" s="51" t="s">
        <v>233</v>
      </c>
      <c r="H47" s="51">
        <f>'Anchov y SardC LTP'!G58</f>
        <v>2147.8519999999999</v>
      </c>
      <c r="I47" s="11">
        <f>'Anchov y SardC LTP'!H58</f>
        <v>-1924.44</v>
      </c>
      <c r="J47" s="11">
        <f>'Anchov y SardC LTP'!I58</f>
        <v>223.41199999999981</v>
      </c>
      <c r="K47" s="11">
        <f>'Anchov y SardC LTP'!J58</f>
        <v>0</v>
      </c>
      <c r="L47" s="11">
        <f>'Anchov y SardC LTP'!K58</f>
        <v>223.41199999999981</v>
      </c>
      <c r="M47" s="42">
        <f>'Anchov y SardC LTP'!L58</f>
        <v>0.89598352214212162</v>
      </c>
      <c r="N47" s="113" t="s">
        <v>255</v>
      </c>
      <c r="O47" s="34">
        <f>RESUMEN!$B$3</f>
        <v>44926</v>
      </c>
      <c r="P47" s="11">
        <v>2022</v>
      </c>
    </row>
    <row r="48" spans="1:16">
      <c r="A48" s="51" t="s">
        <v>155</v>
      </c>
      <c r="B48" s="51" t="s">
        <v>192</v>
      </c>
      <c r="C48" s="51" t="s">
        <v>230</v>
      </c>
      <c r="D48" s="51" t="s">
        <v>231</v>
      </c>
      <c r="E48" s="51" t="str">
        <f>'Anchov y SardC LTP'!D59</f>
        <v>COMERCIAL Y CONSERVERA SAN LAZARO LTDA.</v>
      </c>
      <c r="F48" s="51" t="s">
        <v>232</v>
      </c>
      <c r="G48" s="51" t="s">
        <v>233</v>
      </c>
      <c r="H48" s="51">
        <f>'Anchov y SardC LTP'!G59</f>
        <v>0.77680000000000005</v>
      </c>
      <c r="I48" s="11">
        <f>'Anchov y SardC LTP'!H59</f>
        <v>0</v>
      </c>
      <c r="J48" s="11">
        <f>'Anchov y SardC LTP'!I59</f>
        <v>0.77680000000000005</v>
      </c>
      <c r="K48" s="11">
        <f>'Anchov y SardC LTP'!J59</f>
        <v>0</v>
      </c>
      <c r="L48" s="11">
        <f>'Anchov y SardC LTP'!K59</f>
        <v>0.77680000000000005</v>
      </c>
      <c r="M48" s="42">
        <f>'Anchov y SardC LTP'!L59</f>
        <v>0</v>
      </c>
      <c r="N48" s="113" t="s">
        <v>255</v>
      </c>
      <c r="O48" s="34">
        <f>RESUMEN!$B$3</f>
        <v>44926</v>
      </c>
      <c r="P48" s="11">
        <v>2022</v>
      </c>
    </row>
    <row r="49" spans="1:16">
      <c r="A49" s="51" t="s">
        <v>155</v>
      </c>
      <c r="B49" s="51" t="s">
        <v>192</v>
      </c>
      <c r="C49" s="51" t="s">
        <v>230</v>
      </c>
      <c r="D49" s="51" t="s">
        <v>231</v>
      </c>
      <c r="E49" s="51" t="str">
        <f>'Anchov y SardC LTP'!D60</f>
        <v>INVERSIONES PESQUERA PEDRO IRIGOYEN LIMITADA</v>
      </c>
      <c r="F49" s="51" t="s">
        <v>232</v>
      </c>
      <c r="G49" s="51" t="s">
        <v>233</v>
      </c>
      <c r="H49" s="51">
        <f>'Anchov y SardC LTP'!G60</f>
        <v>334.87847999999997</v>
      </c>
      <c r="I49" s="11">
        <f>'Anchov y SardC LTP'!H60</f>
        <v>-334</v>
      </c>
      <c r="J49" s="11">
        <f>'Anchov y SardC LTP'!I60</f>
        <v>0.87847999999996773</v>
      </c>
      <c r="K49" s="11">
        <f>'Anchov y SardC LTP'!J60</f>
        <v>0</v>
      </c>
      <c r="L49" s="11">
        <f>'Anchov y SardC LTP'!K60</f>
        <v>0.87847999999996773</v>
      </c>
      <c r="M49" s="42">
        <f>'Anchov y SardC LTP'!L60</f>
        <v>0.99737672005678013</v>
      </c>
      <c r="N49" s="113" t="s">
        <v>255</v>
      </c>
      <c r="O49" s="34">
        <f>RESUMEN!$B$3</f>
        <v>44926</v>
      </c>
      <c r="P49" s="11">
        <v>2022</v>
      </c>
    </row>
    <row r="50" spans="1:16" s="11" customFormat="1">
      <c r="A50" s="51" t="s">
        <v>155</v>
      </c>
      <c r="B50" s="51" t="s">
        <v>192</v>
      </c>
      <c r="C50" s="51" t="s">
        <v>230</v>
      </c>
      <c r="D50" s="51" t="s">
        <v>231</v>
      </c>
      <c r="E50" s="51" t="str">
        <f>'Anchov y SardC LTP'!D61</f>
        <v>THOR FISHERIES CHILE SpA</v>
      </c>
      <c r="F50" s="51" t="s">
        <v>232</v>
      </c>
      <c r="G50" s="51" t="s">
        <v>233</v>
      </c>
      <c r="H50" s="51">
        <f>'Anchov y SardC LTP'!G61</f>
        <v>0.77680000000000005</v>
      </c>
      <c r="I50" s="11">
        <f>'Anchov y SardC LTP'!H61</f>
        <v>0.77680000000000005</v>
      </c>
      <c r="J50" s="11">
        <f>'Anchov y SardC LTP'!I61</f>
        <v>1.5536000000000001</v>
      </c>
      <c r="K50" s="11">
        <f>'Anchov y SardC LTP'!J61</f>
        <v>0</v>
      </c>
      <c r="L50" s="11">
        <f>'Anchov y SardC LTP'!K61</f>
        <v>1.5536000000000001</v>
      </c>
      <c r="M50" s="42">
        <f>'Anchov y SardC LTP'!L61</f>
        <v>1</v>
      </c>
      <c r="N50" s="113" t="s">
        <v>255</v>
      </c>
      <c r="O50" s="34">
        <f>RESUMEN!$B$3</f>
        <v>44926</v>
      </c>
      <c r="P50" s="11">
        <v>2022</v>
      </c>
    </row>
    <row r="51" spans="1:16" s="11" customFormat="1">
      <c r="A51" s="51" t="s">
        <v>155</v>
      </c>
      <c r="B51" s="51" t="s">
        <v>192</v>
      </c>
      <c r="C51" s="51" t="s">
        <v>230</v>
      </c>
      <c r="D51" s="51" t="s">
        <v>231</v>
      </c>
      <c r="E51" s="51" t="str">
        <f>'Anchov y SardC LTP'!D62</f>
        <v>PELANTARO INOSTROZA CONCHA</v>
      </c>
      <c r="F51" s="51" t="s">
        <v>232</v>
      </c>
      <c r="G51" s="51" t="s">
        <v>233</v>
      </c>
      <c r="H51" s="51">
        <f>'Anchov y SardC LTP'!G62</f>
        <v>119.43300000000001</v>
      </c>
      <c r="I51" s="11">
        <f>'Anchov y SardC LTP'!H62</f>
        <v>-119</v>
      </c>
      <c r="J51" s="11">
        <f>'Anchov y SardC LTP'!I62</f>
        <v>0.43300000000000693</v>
      </c>
      <c r="K51" s="11">
        <f>'Anchov y SardC LTP'!J62</f>
        <v>0</v>
      </c>
      <c r="L51" s="11">
        <f>'Anchov y SardC LTP'!K62</f>
        <v>0.43300000000000693</v>
      </c>
      <c r="M51" s="42">
        <f>'Anchov y SardC LTP'!L62</f>
        <v>0.99637453635092477</v>
      </c>
      <c r="N51" s="113" t="s">
        <v>255</v>
      </c>
      <c r="O51" s="34">
        <f>RESUMEN!$B$3</f>
        <v>44926</v>
      </c>
      <c r="P51" s="11">
        <v>2022</v>
      </c>
    </row>
    <row r="52" spans="1:16" s="11" customFormat="1">
      <c r="A52" s="51" t="s">
        <v>155</v>
      </c>
      <c r="B52" s="51" t="s">
        <v>192</v>
      </c>
      <c r="C52" s="51" t="s">
        <v>230</v>
      </c>
      <c r="D52" s="51" t="s">
        <v>231</v>
      </c>
      <c r="E52" s="51" t="str">
        <f>'Anchov y SardC LTP'!D63</f>
        <v>SOCIEDAD PESQUERA GENMAR LIMITADA</v>
      </c>
      <c r="F52" s="51" t="s">
        <v>232</v>
      </c>
      <c r="G52" s="51" t="s">
        <v>233</v>
      </c>
      <c r="H52" s="51">
        <f>'Anchov y SardC LTP'!G63</f>
        <v>22.410680000000003</v>
      </c>
      <c r="I52" s="11">
        <f>'Anchov y SardC LTP'!H63</f>
        <v>0</v>
      </c>
      <c r="J52" s="11">
        <f>'Anchov y SardC LTP'!I63</f>
        <v>22.410680000000003</v>
      </c>
      <c r="K52" s="11">
        <f>'Anchov y SardC LTP'!J63</f>
        <v>0</v>
      </c>
      <c r="L52" s="11">
        <f>'Anchov y SardC LTP'!K63</f>
        <v>22.410680000000003</v>
      </c>
      <c r="M52" s="42">
        <f>'Anchov y SardC LTP'!L63</f>
        <v>0</v>
      </c>
      <c r="N52" s="113" t="s">
        <v>255</v>
      </c>
      <c r="O52" s="34">
        <f>RESUMEN!$B$3</f>
        <v>44926</v>
      </c>
      <c r="P52" s="11">
        <v>2022</v>
      </c>
    </row>
    <row r="53" spans="1:16">
      <c r="A53" s="143" t="s">
        <v>155</v>
      </c>
      <c r="B53" s="143" t="s">
        <v>192</v>
      </c>
      <c r="C53" s="143" t="s">
        <v>230</v>
      </c>
      <c r="D53" s="143" t="s">
        <v>231</v>
      </c>
      <c r="E53" s="143" t="str">
        <f>'Anchov y SardC LTP'!D64</f>
        <v>TOTAL ASIGNATARIOS LTP</v>
      </c>
      <c r="F53" s="143" t="s">
        <v>232</v>
      </c>
      <c r="G53" s="143" t="s">
        <v>233</v>
      </c>
      <c r="H53" s="143">
        <f>'Anchov y SardC LTP'!G64</f>
        <v>77680.015535999977</v>
      </c>
      <c r="I53" s="43">
        <f>'Anchov y SardC LTP'!H64</f>
        <v>-71604.683999999979</v>
      </c>
      <c r="J53" s="43">
        <f>'Anchov y SardC LTP'!I64</f>
        <v>6075.3315359999979</v>
      </c>
      <c r="K53" s="43">
        <f>'Anchov y SardC LTP'!J64</f>
        <v>5445.5910000000003</v>
      </c>
      <c r="L53" s="43">
        <f>'Anchov y SardC LTP'!K64</f>
        <v>629.74053599999752</v>
      </c>
      <c r="M53" s="44">
        <f>'Anchov y SardC LTP'!L64</f>
        <v>0.92179028938035612</v>
      </c>
      <c r="N53" s="113" t="s">
        <v>255</v>
      </c>
      <c r="O53" s="34">
        <f>RESUMEN!$B$3</f>
        <v>44926</v>
      </c>
      <c r="P53" s="11">
        <v>2022</v>
      </c>
    </row>
    <row r="54" spans="1:16">
      <c r="A54" s="51" t="s">
        <v>228</v>
      </c>
      <c r="B54" s="51" t="s">
        <v>191</v>
      </c>
      <c r="C54" s="51" t="s">
        <v>246</v>
      </c>
      <c r="D54" s="51" t="s">
        <v>245</v>
      </c>
      <c r="E54" s="51" t="str">
        <f>Anchoveta!D7</f>
        <v>AG DEL PUERTO DE SAN ANTONIO. RAG 2510</v>
      </c>
      <c r="F54" s="51" t="s">
        <v>232</v>
      </c>
      <c r="G54" s="51" t="s">
        <v>233</v>
      </c>
      <c r="H54" s="51">
        <f>Anchoveta!F7</f>
        <v>11249.371999999999</v>
      </c>
      <c r="I54" s="11">
        <f>Anchoveta!G7</f>
        <v>-10929.25</v>
      </c>
      <c r="J54" s="11">
        <f>Anchoveta!H7</f>
        <v>320.12199999999939</v>
      </c>
      <c r="K54" s="11">
        <f>Anchoveta!I7</f>
        <v>0.58399999999999996</v>
      </c>
      <c r="L54">
        <f>Anchoveta!K7</f>
        <v>319.53799999999939</v>
      </c>
      <c r="M54" s="42">
        <f>Anchoveta!L7</f>
        <v>0.97154312258497633</v>
      </c>
      <c r="N54" s="243" t="str">
        <f>Anchoveta!M7</f>
        <v>-</v>
      </c>
      <c r="O54" s="34">
        <f>RESUMEN!$B$3</f>
        <v>44926</v>
      </c>
      <c r="P54" s="11">
        <v>2022</v>
      </c>
    </row>
    <row r="55" spans="1:16">
      <c r="A55" s="51" t="s">
        <v>228</v>
      </c>
      <c r="B55" s="51" t="s">
        <v>191</v>
      </c>
      <c r="C55" s="51" t="s">
        <v>246</v>
      </c>
      <c r="D55" s="51" t="s">
        <v>245</v>
      </c>
      <c r="E55" s="51" t="str">
        <f>Anchoveta!D8</f>
        <v>ASOCIACION GREMIAL AGRAPES DE SAN ANTONIO "AG AGRAPES" RAG 4399</v>
      </c>
      <c r="F55" s="51" t="s">
        <v>232</v>
      </c>
      <c r="G55" s="51" t="s">
        <v>233</v>
      </c>
      <c r="H55" s="51">
        <f>Anchoveta!F8</f>
        <v>196.458</v>
      </c>
      <c r="I55" s="11">
        <f>Anchoveta!G8</f>
        <v>-191.57300000000001</v>
      </c>
      <c r="J55" s="11">
        <f>Anchoveta!H8</f>
        <v>4.8849999999999909</v>
      </c>
      <c r="K55" s="11">
        <f>Anchoveta!I8</f>
        <v>0</v>
      </c>
      <c r="L55" s="11">
        <f>Anchoveta!K8</f>
        <v>4.8849999999999909</v>
      </c>
      <c r="M55" s="42">
        <f>Anchoveta!L8</f>
        <v>0.97513463437477732</v>
      </c>
      <c r="N55" s="243" t="str">
        <f>Anchoveta!M8</f>
        <v>-</v>
      </c>
      <c r="O55" s="34">
        <f>RESUMEN!$B$3</f>
        <v>44926</v>
      </c>
      <c r="P55" s="11">
        <v>2022</v>
      </c>
    </row>
    <row r="56" spans="1:16">
      <c r="A56" s="51" t="s">
        <v>228</v>
      </c>
      <c r="B56" s="51" t="s">
        <v>191</v>
      </c>
      <c r="C56" s="51" t="s">
        <v>246</v>
      </c>
      <c r="D56" s="51" t="s">
        <v>245</v>
      </c>
      <c r="E56" s="51" t="str">
        <f>Anchoveta!D9</f>
        <v>STI MUELLE SUD AMERICANA. RSU 05.01.0462</v>
      </c>
      <c r="F56" s="51" t="s">
        <v>232</v>
      </c>
      <c r="G56" s="51" t="s">
        <v>233</v>
      </c>
      <c r="H56" s="51">
        <f>Anchoveta!F9</f>
        <v>0.17299999999999999</v>
      </c>
      <c r="I56" s="11">
        <f>Anchoveta!G9</f>
        <v>0</v>
      </c>
      <c r="J56" s="11">
        <f>Anchoveta!H9</f>
        <v>0.17299999999999999</v>
      </c>
      <c r="K56" s="11">
        <f>Anchoveta!I9</f>
        <v>0</v>
      </c>
      <c r="L56" s="11">
        <f>Anchoveta!K9</f>
        <v>0.17299999999999999</v>
      </c>
      <c r="M56" s="42">
        <f>Anchoveta!L9</f>
        <v>0</v>
      </c>
      <c r="N56" s="243" t="str">
        <f>Anchoveta!M9</f>
        <v>-</v>
      </c>
      <c r="O56" s="34">
        <f>RESUMEN!$B$3</f>
        <v>44926</v>
      </c>
      <c r="P56" s="11">
        <v>2022</v>
      </c>
    </row>
    <row r="57" spans="1:16" s="11" customFormat="1">
      <c r="A57" s="51" t="s">
        <v>228</v>
      </c>
      <c r="B57" s="51" t="s">
        <v>191</v>
      </c>
      <c r="C57" s="51" t="s">
        <v>246</v>
      </c>
      <c r="D57" s="51" t="s">
        <v>245</v>
      </c>
      <c r="E57" s="51" t="str">
        <f>Anchoveta!D10</f>
        <v>Sindicato  de Trabajadores  Independientes de Pescadores Montemar, de la Comuna de San Antonio, provincia de San Antonio, V region. Registro Único Sindical  N° 05040117</v>
      </c>
      <c r="F57" s="51" t="s">
        <v>232</v>
      </c>
      <c r="G57" s="51" t="s">
        <v>233</v>
      </c>
      <c r="H57" s="51">
        <f>Anchoveta!F10</f>
        <v>8.6750000000000007</v>
      </c>
      <c r="I57" s="11">
        <f>Anchoveta!G10</f>
        <v>0</v>
      </c>
      <c r="J57" s="11">
        <f>Anchoveta!H10</f>
        <v>8.6750000000000007</v>
      </c>
      <c r="K57" s="11">
        <f>Anchoveta!I10</f>
        <v>0</v>
      </c>
      <c r="L57" s="11">
        <f>Anchoveta!K10</f>
        <v>8.6750000000000007</v>
      </c>
      <c r="M57" s="42">
        <f>Anchoveta!L10</f>
        <v>0</v>
      </c>
      <c r="N57" s="243" t="str">
        <f>Anchoveta!M10</f>
        <v>-</v>
      </c>
      <c r="O57" s="34">
        <f>RESUMEN!$B$3</f>
        <v>44926</v>
      </c>
      <c r="P57" s="11">
        <v>2022</v>
      </c>
    </row>
    <row r="58" spans="1:16" s="11" customFormat="1">
      <c r="A58" s="51" t="s">
        <v>228</v>
      </c>
      <c r="B58" s="51" t="s">
        <v>191</v>
      </c>
      <c r="C58" s="51" t="s">
        <v>246</v>
      </c>
      <c r="D58" s="51" t="s">
        <v>245</v>
      </c>
      <c r="E58" s="51" t="str">
        <f>Anchoveta!D11</f>
        <v>Sindicato de Trabajadores Independientes Pescadores Artesanales de Caleta Higuerilla, Concon. Registro Unico Sindical N° 5060048</v>
      </c>
      <c r="F58" s="51" t="s">
        <v>232</v>
      </c>
      <c r="G58" s="51" t="s">
        <v>233</v>
      </c>
      <c r="H58" s="51">
        <f>Anchoveta!F11</f>
        <v>2.9000000000000001E-2</v>
      </c>
      <c r="I58" s="11">
        <f>Anchoveta!G11</f>
        <v>0</v>
      </c>
      <c r="J58" s="11">
        <f>Anchoveta!H11</f>
        <v>2.9000000000000001E-2</v>
      </c>
      <c r="K58" s="11">
        <f>Anchoveta!I11</f>
        <v>0</v>
      </c>
      <c r="L58" s="11">
        <f>Anchoveta!K11</f>
        <v>2.9000000000000001E-2</v>
      </c>
      <c r="M58" s="42">
        <f>Anchoveta!L11</f>
        <v>0</v>
      </c>
      <c r="N58" s="243" t="str">
        <f>Anchoveta!M11</f>
        <v>-</v>
      </c>
      <c r="O58" s="34">
        <f>RESUMEN!$B$3</f>
        <v>44926</v>
      </c>
      <c r="P58" s="11">
        <v>2022</v>
      </c>
    </row>
    <row r="59" spans="1:16">
      <c r="A59" s="51" t="s">
        <v>228</v>
      </c>
      <c r="B59" s="51" t="s">
        <v>191</v>
      </c>
      <c r="C59" s="51" t="s">
        <v>246</v>
      </c>
      <c r="D59" s="51" t="s">
        <v>245</v>
      </c>
      <c r="E59" s="51" t="str">
        <f>Anchoveta!D12</f>
        <v>Cuota Residual V</v>
      </c>
      <c r="F59" s="51" t="s">
        <v>232</v>
      </c>
      <c r="G59" s="51" t="s">
        <v>233</v>
      </c>
      <c r="H59" s="51">
        <f>Anchoveta!F12</f>
        <v>49.293999999999997</v>
      </c>
      <c r="I59" s="11">
        <f>Anchoveta!G12</f>
        <v>0</v>
      </c>
      <c r="J59" s="11">
        <f>Anchoveta!H12</f>
        <v>49.293999999999997</v>
      </c>
      <c r="K59" s="11">
        <f>Anchoveta!I12</f>
        <v>0</v>
      </c>
      <c r="L59" s="11">
        <f>Anchoveta!K12</f>
        <v>49.293999999999997</v>
      </c>
      <c r="M59" s="42">
        <f>Anchoveta!L12</f>
        <v>0</v>
      </c>
      <c r="N59" s="244" t="str">
        <f>Anchoveta!M12</f>
        <v>-</v>
      </c>
      <c r="O59" s="34">
        <f>RESUMEN!$B$3</f>
        <v>44926</v>
      </c>
      <c r="P59" s="11">
        <v>2022</v>
      </c>
    </row>
    <row r="60" spans="1:16">
      <c r="A60" s="143" t="s">
        <v>228</v>
      </c>
      <c r="B60" s="143" t="s">
        <v>191</v>
      </c>
      <c r="C60" s="143" t="s">
        <v>246</v>
      </c>
      <c r="D60" s="144" t="s">
        <v>46</v>
      </c>
      <c r="E60" s="143" t="str">
        <f>Anchoveta!D13</f>
        <v>Total Region Valparaíso</v>
      </c>
      <c r="F60" s="143" t="s">
        <v>232</v>
      </c>
      <c r="G60" s="143" t="s">
        <v>233</v>
      </c>
      <c r="H60" s="143">
        <f>Anchoveta!F13</f>
        <v>11504.001</v>
      </c>
      <c r="I60" s="43">
        <f>Anchoveta!G13</f>
        <v>-11120.823</v>
      </c>
      <c r="J60" s="43">
        <f>Anchoveta!H13</f>
        <v>383.17799999999937</v>
      </c>
      <c r="K60" s="43">
        <f>Anchoveta!I13</f>
        <v>0.58399999999999996</v>
      </c>
      <c r="L60" s="43">
        <f>Anchoveta!K13</f>
        <v>382.59399999999937</v>
      </c>
      <c r="M60" s="44">
        <f>Anchoveta!L13</f>
        <v>1.5240958510144135E-3</v>
      </c>
      <c r="N60" s="245" t="str">
        <f>Anchoveta!M13</f>
        <v>-</v>
      </c>
      <c r="O60" s="34">
        <f>RESUMEN!$B$3</f>
        <v>44926</v>
      </c>
      <c r="P60" s="11">
        <v>2022</v>
      </c>
    </row>
    <row r="61" spans="1:16">
      <c r="A61" s="51" t="s">
        <v>228</v>
      </c>
      <c r="B61" s="51" t="s">
        <v>191</v>
      </c>
      <c r="C61" s="51" t="s">
        <v>247</v>
      </c>
      <c r="D61" s="51" t="s">
        <v>46</v>
      </c>
      <c r="E61" s="51" t="str">
        <f>Anchoveta!D15</f>
        <v>Región de O´Higgins</v>
      </c>
      <c r="F61" s="51" t="s">
        <v>232</v>
      </c>
      <c r="G61" s="51" t="s">
        <v>233</v>
      </c>
      <c r="H61" s="51">
        <f>Anchoveta!F15</f>
        <v>74</v>
      </c>
      <c r="I61" s="11">
        <f>Anchoveta!G15</f>
        <v>0</v>
      </c>
      <c r="J61" s="11">
        <f>Anchoveta!H15</f>
        <v>74</v>
      </c>
      <c r="K61" s="11">
        <f>Anchoveta!I15</f>
        <v>0</v>
      </c>
      <c r="L61">
        <f>Anchoveta!K15</f>
        <v>74</v>
      </c>
      <c r="M61" s="42">
        <f>Anchoveta!L15</f>
        <v>0</v>
      </c>
      <c r="N61" s="243" t="str">
        <f>Anchoveta!M15</f>
        <v>-</v>
      </c>
      <c r="O61" s="34">
        <f>RESUMEN!$B$3</f>
        <v>44926</v>
      </c>
      <c r="P61" s="11">
        <v>2022</v>
      </c>
    </row>
    <row r="62" spans="1:16">
      <c r="A62" s="143" t="s">
        <v>228</v>
      </c>
      <c r="B62" s="143" t="s">
        <v>191</v>
      </c>
      <c r="C62" s="143" t="s">
        <v>247</v>
      </c>
      <c r="D62" s="143" t="s">
        <v>46</v>
      </c>
      <c r="E62" s="143" t="str">
        <f>Anchoveta!D16</f>
        <v>Total Región de O´Higgins</v>
      </c>
      <c r="F62" s="143" t="s">
        <v>232</v>
      </c>
      <c r="G62" s="143" t="s">
        <v>233</v>
      </c>
      <c r="H62" s="143">
        <f>Anchoveta!F16</f>
        <v>74</v>
      </c>
      <c r="I62" s="43">
        <f>Anchoveta!G16</f>
        <v>0</v>
      </c>
      <c r="J62" s="43">
        <f>Anchoveta!H16</f>
        <v>74</v>
      </c>
      <c r="K62" s="43">
        <f>Anchoveta!I16</f>
        <v>0</v>
      </c>
      <c r="L62" s="43">
        <f>Anchoveta!K16</f>
        <v>74</v>
      </c>
      <c r="M62" s="44">
        <f>Anchoveta!L16</f>
        <v>0</v>
      </c>
      <c r="N62" s="245" t="str">
        <f>Anchoveta!M16</f>
        <v>-</v>
      </c>
      <c r="O62" s="34">
        <f>RESUMEN!$B$3</f>
        <v>44926</v>
      </c>
      <c r="P62" s="11">
        <v>2022</v>
      </c>
    </row>
    <row r="63" spans="1:16">
      <c r="A63" s="51" t="s">
        <v>228</v>
      </c>
      <c r="B63" s="51" t="s">
        <v>191</v>
      </c>
      <c r="C63" s="51" t="s">
        <v>248</v>
      </c>
      <c r="D63" s="51" t="s">
        <v>245</v>
      </c>
      <c r="E63" s="51" t="str">
        <f>Anchoveta!D18</f>
        <v>Sindicato de Pescadores "Pelágicos del Maule" Constitución, Registro Sindical Único 07.05.0150</v>
      </c>
      <c r="F63" s="51" t="s">
        <v>232</v>
      </c>
      <c r="G63" s="51" t="s">
        <v>233</v>
      </c>
      <c r="H63" s="51">
        <f>Anchoveta!F18</f>
        <v>719.38499999999999</v>
      </c>
      <c r="I63" s="11">
        <f>Anchoveta!G18</f>
        <v>-514.09699999999998</v>
      </c>
      <c r="J63" s="11">
        <f>Anchoveta!H18</f>
        <v>205.28800000000001</v>
      </c>
      <c r="K63" s="11">
        <f>Anchoveta!I18</f>
        <v>0</v>
      </c>
      <c r="L63">
        <f>Anchoveta!K18</f>
        <v>205.28800000000001</v>
      </c>
      <c r="M63" s="48">
        <f>Anchoveta!L18</f>
        <v>0.71463402767641804</v>
      </c>
      <c r="N63" s="246" t="str">
        <f>Anchoveta!M18</f>
        <v>-</v>
      </c>
      <c r="O63" s="34">
        <f>RESUMEN!$B$3</f>
        <v>44926</v>
      </c>
      <c r="P63" s="11">
        <v>2022</v>
      </c>
    </row>
    <row r="64" spans="1:16">
      <c r="A64" s="51" t="s">
        <v>228</v>
      </c>
      <c r="B64" s="51" t="s">
        <v>191</v>
      </c>
      <c r="C64" s="51" t="s">
        <v>248</v>
      </c>
      <c r="D64" s="51" t="s">
        <v>245</v>
      </c>
      <c r="E64" s="51" t="str">
        <f>Anchoveta!D19</f>
        <v>STI Pescadores Artesanales de Constitución SIPARCON, RSU 07.05.0193</v>
      </c>
      <c r="F64" s="51" t="s">
        <v>232</v>
      </c>
      <c r="G64" s="51" t="s">
        <v>233</v>
      </c>
      <c r="H64" s="51">
        <f>Anchoveta!F19</f>
        <v>390.04899999999998</v>
      </c>
      <c r="I64" s="11">
        <f>Anchoveta!G19</f>
        <v>-380.14200000000005</v>
      </c>
      <c r="J64" s="11">
        <f>Anchoveta!H19</f>
        <v>9.9069999999999254</v>
      </c>
      <c r="K64" s="11">
        <f>Anchoveta!I19</f>
        <v>0</v>
      </c>
      <c r="L64" s="11">
        <f>Anchoveta!K19</f>
        <v>9.9069999999999254</v>
      </c>
      <c r="M64" s="48">
        <f>Anchoveta!L19</f>
        <v>0.97460062710069784</v>
      </c>
      <c r="N64" s="246" t="str">
        <f>Anchoveta!M19</f>
        <v>-</v>
      </c>
      <c r="O64" s="34">
        <f>RESUMEN!$B$3</f>
        <v>44926</v>
      </c>
      <c r="P64" s="11">
        <v>2022</v>
      </c>
    </row>
    <row r="65" spans="1:16">
      <c r="A65" s="51" t="s">
        <v>228</v>
      </c>
      <c r="B65" s="51" t="s">
        <v>191</v>
      </c>
      <c r="C65" s="51" t="s">
        <v>248</v>
      </c>
      <c r="D65" s="51" t="s">
        <v>245</v>
      </c>
      <c r="E65" s="51" t="str">
        <f>Anchoveta!D20</f>
        <v>Cuota Residual VII</v>
      </c>
      <c r="F65" s="51" t="s">
        <v>232</v>
      </c>
      <c r="G65" s="51" t="s">
        <v>233</v>
      </c>
      <c r="H65" s="51">
        <f>Anchoveta!F20</f>
        <v>120.566</v>
      </c>
      <c r="I65" s="11">
        <f>Anchoveta!G20</f>
        <v>0</v>
      </c>
      <c r="J65" s="11">
        <f>Anchoveta!H20</f>
        <v>120.566</v>
      </c>
      <c r="K65" s="11">
        <f>Anchoveta!I20</f>
        <v>0</v>
      </c>
      <c r="L65" s="11">
        <f>Anchoveta!K20</f>
        <v>120.566</v>
      </c>
      <c r="M65" s="48">
        <f>Anchoveta!L20</f>
        <v>0</v>
      </c>
      <c r="N65" s="246" t="str">
        <f>Anchoveta!M20</f>
        <v>-</v>
      </c>
      <c r="O65" s="34">
        <f>RESUMEN!$B$3</f>
        <v>44926</v>
      </c>
      <c r="P65" s="11">
        <v>2022</v>
      </c>
    </row>
    <row r="66" spans="1:16" s="43" customFormat="1">
      <c r="A66" s="143" t="s">
        <v>228</v>
      </c>
      <c r="B66" s="143" t="s">
        <v>191</v>
      </c>
      <c r="C66" s="143" t="s">
        <v>248</v>
      </c>
      <c r="D66" s="143" t="s">
        <v>46</v>
      </c>
      <c r="E66" s="143" t="str">
        <f>Anchoveta!D21</f>
        <v>Total Región del Maule</v>
      </c>
      <c r="F66" s="143" t="s">
        <v>232</v>
      </c>
      <c r="G66" s="143" t="s">
        <v>233</v>
      </c>
      <c r="H66" s="143">
        <f>Anchoveta!F21</f>
        <v>1230</v>
      </c>
      <c r="I66" s="43">
        <f>Anchoveta!G21</f>
        <v>-894.23900000000003</v>
      </c>
      <c r="J66" s="43">
        <f>Anchoveta!H21</f>
        <v>335.76099999999997</v>
      </c>
      <c r="K66" s="43">
        <f>Anchoveta!I21</f>
        <v>0</v>
      </c>
      <c r="L66" s="43">
        <f>Anchoveta!K21</f>
        <v>335.76099999999997</v>
      </c>
      <c r="M66" s="49">
        <f>Anchoveta!L21</f>
        <v>0</v>
      </c>
      <c r="N66" s="247" t="str">
        <f>Anchoveta!M21</f>
        <v>-</v>
      </c>
      <c r="O66" s="50">
        <f>RESUMEN!$B$3</f>
        <v>44926</v>
      </c>
      <c r="P66" s="11">
        <v>2022</v>
      </c>
    </row>
    <row r="67" spans="1:16">
      <c r="A67" s="51" t="s">
        <v>228</v>
      </c>
      <c r="B67" s="51" t="s">
        <v>191</v>
      </c>
      <c r="C67" s="51" t="s">
        <v>250</v>
      </c>
      <c r="D67" s="51" t="s">
        <v>245</v>
      </c>
      <c r="E67" s="51" t="str">
        <f>Anchoveta!D23</f>
        <v>Agrupación de Armadores Golfo de Arauco, Personalidad Jurídica N° 621</v>
      </c>
      <c r="F67" s="51" t="s">
        <v>232</v>
      </c>
      <c r="G67" s="51" t="s">
        <v>233</v>
      </c>
      <c r="H67" s="51">
        <f>Anchoveta!F23</f>
        <v>206.41900000000001</v>
      </c>
      <c r="I67" s="11">
        <f>Anchoveta!G23</f>
        <v>-125.9</v>
      </c>
      <c r="J67" s="11">
        <f>Anchoveta!H23</f>
        <v>80.519000000000005</v>
      </c>
      <c r="K67" s="11">
        <f>Anchoveta!I23</f>
        <v>24.950998443603517</v>
      </c>
      <c r="L67">
        <f>Anchoveta!K23</f>
        <v>55.568001556396489</v>
      </c>
      <c r="M67" s="48">
        <f>Anchoveta!L23</f>
        <v>0.3098771525180829</v>
      </c>
      <c r="N67" s="246" t="str">
        <f>'IC Anch y SardC VIII'!O6</f>
        <v>-</v>
      </c>
      <c r="O67" s="34">
        <f>RESUMEN!$B$3</f>
        <v>44926</v>
      </c>
      <c r="P67" s="11">
        <v>2022</v>
      </c>
    </row>
    <row r="68" spans="1:16">
      <c r="A68" s="51" t="s">
        <v>228</v>
      </c>
      <c r="B68" s="51" t="s">
        <v>191</v>
      </c>
      <c r="C68" s="51" t="s">
        <v>250</v>
      </c>
      <c r="D68" s="51" t="s">
        <v>245</v>
      </c>
      <c r="E68" s="51" t="str">
        <f>Anchoveta!D24</f>
        <v>Agrupación de Armadores y Pescadores Artesanales Pelágicos Puerto Sur Isla Santa María. Personalidad Jurídica N° 1728</v>
      </c>
      <c r="F68" s="51" t="s">
        <v>232</v>
      </c>
      <c r="G68" s="51" t="s">
        <v>233</v>
      </c>
      <c r="H68" s="51">
        <f>Anchoveta!F24</f>
        <v>190.92</v>
      </c>
      <c r="I68" s="11">
        <f>Anchoveta!G24</f>
        <v>-99</v>
      </c>
      <c r="J68" s="11">
        <f>Anchoveta!H24</f>
        <v>91.919999999999987</v>
      </c>
      <c r="K68" s="11">
        <f>Anchoveta!I24</f>
        <v>0</v>
      </c>
      <c r="L68" s="11">
        <f>Anchoveta!K24</f>
        <v>91.919999999999987</v>
      </c>
      <c r="M68" s="48">
        <f>Anchoveta!L24</f>
        <v>0</v>
      </c>
      <c r="N68" s="246" t="str">
        <f>'IC Anch y SardC VIII'!O7</f>
        <v>-</v>
      </c>
      <c r="O68" s="34">
        <f>RESUMEN!$B$3</f>
        <v>44926</v>
      </c>
      <c r="P68" s="11">
        <v>2022</v>
      </c>
    </row>
    <row r="69" spans="1:16">
      <c r="A69" s="51" t="s">
        <v>228</v>
      </c>
      <c r="B69" s="51" t="s">
        <v>191</v>
      </c>
      <c r="C69" s="51" t="s">
        <v>250</v>
      </c>
      <c r="D69" s="51" t="s">
        <v>245</v>
      </c>
      <c r="E69" s="51" t="str">
        <f>Anchoveta!D25</f>
        <v>Agrupación de Armadores y Pescadores Pelágicos de Caleta Tubul, Registro de Organización Comunitaria Funcional 478-2007</v>
      </c>
      <c r="F69" s="51" t="s">
        <v>232</v>
      </c>
      <c r="G69" s="51" t="s">
        <v>233</v>
      </c>
      <c r="H69" s="51">
        <f>Anchoveta!F25</f>
        <v>850.29100000000005</v>
      </c>
      <c r="I69" s="11">
        <f>Anchoveta!G25</f>
        <v>-410</v>
      </c>
      <c r="J69" s="11">
        <f>Anchoveta!H25</f>
        <v>440.29100000000005</v>
      </c>
      <c r="K69" s="11">
        <f>Anchoveta!I25</f>
        <v>120.3430000002384</v>
      </c>
      <c r="L69" s="11">
        <f>Anchoveta!K25</f>
        <v>319.94799999976163</v>
      </c>
      <c r="M69" s="48">
        <f>Anchoveta!L25</f>
        <v>0.27332605027183926</v>
      </c>
      <c r="N69" s="246" t="str">
        <f>'IC Anch y SardC VIII'!O8</f>
        <v>-</v>
      </c>
      <c r="O69" s="34">
        <f>RESUMEN!$B$3</f>
        <v>44926</v>
      </c>
      <c r="P69" s="11">
        <v>2022</v>
      </c>
    </row>
    <row r="70" spans="1:16">
      <c r="A70" s="51" t="s">
        <v>228</v>
      </c>
      <c r="B70" s="51" t="s">
        <v>191</v>
      </c>
      <c r="C70" s="51" t="s">
        <v>250</v>
      </c>
      <c r="D70" s="51" t="s">
        <v>245</v>
      </c>
      <c r="E70" s="51" t="str">
        <f>Anchoveta!D26</f>
        <v>Agrupación Gremial de Productores Pelágicos, Armadores Artesanales de Talcahuano, Región del Bío Bío "AGREPAR BIO BIO A.G". Registro de Asociaciones Gremiales N° 468-8</v>
      </c>
      <c r="F70" s="51" t="s">
        <v>232</v>
      </c>
      <c r="G70" s="51" t="s">
        <v>233</v>
      </c>
      <c r="H70" s="51">
        <f>Anchoveta!F26</f>
        <v>2325.2040000000002</v>
      </c>
      <c r="I70" s="11">
        <f>Anchoveta!G26</f>
        <v>-38</v>
      </c>
      <c r="J70" s="11">
        <f>Anchoveta!H26</f>
        <v>2287.2040000000002</v>
      </c>
      <c r="K70" s="11">
        <f>Anchoveta!I26</f>
        <v>1532.1050014648438</v>
      </c>
      <c r="L70" s="11">
        <f>Anchoveta!K26</f>
        <v>755.0989985351564</v>
      </c>
      <c r="M70" s="48">
        <f>Anchoveta!L26</f>
        <v>0.66985935730474577</v>
      </c>
      <c r="N70" s="246" t="str">
        <f>'IC Anch y SardC VIII'!O9</f>
        <v>-</v>
      </c>
      <c r="O70" s="34">
        <f>RESUMEN!$B$3</f>
        <v>44926</v>
      </c>
      <c r="P70" s="11">
        <v>2022</v>
      </c>
    </row>
    <row r="71" spans="1:16">
      <c r="A71" s="51" t="s">
        <v>228</v>
      </c>
      <c r="B71" s="51" t="s">
        <v>191</v>
      </c>
      <c r="C71" s="51" t="s">
        <v>250</v>
      </c>
      <c r="D71" s="51" t="s">
        <v>245</v>
      </c>
      <c r="E71" s="51" t="str">
        <f>Anchoveta!D27</f>
        <v>Asociación de Armadores, Pescadores Artesanales y Actividades Afines de la Octava Región, Asociación Gremial ARPESCA A.G., Registro de Asociaciones Gremiales 429-8</v>
      </c>
      <c r="F71" s="51" t="s">
        <v>232</v>
      </c>
      <c r="G71" s="51" t="s">
        <v>233</v>
      </c>
      <c r="H71" s="51">
        <f>Anchoveta!F27</f>
        <v>2285.8490000000002</v>
      </c>
      <c r="I71" s="11">
        <f>Anchoveta!G27</f>
        <v>-2204.5</v>
      </c>
      <c r="J71" s="11">
        <f>Anchoveta!H27</f>
        <v>81.34900000000016</v>
      </c>
      <c r="K71" s="11">
        <f>Anchoveta!I27</f>
        <v>0</v>
      </c>
      <c r="L71" s="11">
        <f>Anchoveta!K27</f>
        <v>81.34900000000016</v>
      </c>
      <c r="M71" s="48">
        <f>Anchoveta!L27</f>
        <v>0.96441190997305593</v>
      </c>
      <c r="N71" s="246" t="str">
        <f>'IC Anch y SardC VIII'!O10</f>
        <v>-</v>
      </c>
      <c r="O71" s="34">
        <f>RESUMEN!$B$3</f>
        <v>44926</v>
      </c>
      <c r="P71" s="11">
        <v>2022</v>
      </c>
    </row>
    <row r="72" spans="1:16">
      <c r="A72" s="51" t="s">
        <v>228</v>
      </c>
      <c r="B72" s="51" t="s">
        <v>191</v>
      </c>
      <c r="C72" s="51" t="s">
        <v>250</v>
      </c>
      <c r="D72" s="51" t="s">
        <v>245</v>
      </c>
      <c r="E72" s="51" t="str">
        <f>Anchoveta!D28</f>
        <v>Asociación Gremial Armadores Artesanales Pelágico Coronel-Lota del Bío Bío, ARPES BIO BIO A.G., Registro de Asociaciones Gremiales 445-8</v>
      </c>
      <c r="F72" s="51" t="s">
        <v>232</v>
      </c>
      <c r="G72" s="51" t="s">
        <v>233</v>
      </c>
      <c r="H72" s="51">
        <f>Anchoveta!F28</f>
        <v>3951.165</v>
      </c>
      <c r="I72" s="11">
        <f>Anchoveta!G28</f>
        <v>-600</v>
      </c>
      <c r="J72" s="11">
        <f>Anchoveta!H28</f>
        <v>3351.165</v>
      </c>
      <c r="K72" s="11">
        <f>Anchoveta!I28</f>
        <v>2855.4339397277831</v>
      </c>
      <c r="L72" s="11">
        <f>Anchoveta!K28</f>
        <v>495.73106027221684</v>
      </c>
      <c r="M72" s="48">
        <f>Anchoveta!L28</f>
        <v>0.85207202263325832</v>
      </c>
      <c r="N72" s="246" t="str">
        <f>'IC Anch y SardC VIII'!O11</f>
        <v>-</v>
      </c>
      <c r="O72" s="34">
        <f>RESUMEN!$B$3</f>
        <v>44926</v>
      </c>
      <c r="P72" s="11">
        <v>2022</v>
      </c>
    </row>
    <row r="73" spans="1:16">
      <c r="A73" s="51" t="s">
        <v>228</v>
      </c>
      <c r="B73" s="51" t="s">
        <v>191</v>
      </c>
      <c r="C73" s="51" t="s">
        <v>250</v>
      </c>
      <c r="D73" s="51" t="s">
        <v>245</v>
      </c>
      <c r="E73" s="51" t="str">
        <f>Anchoveta!D29</f>
        <v>Asociación Gremial de Armadores Artesanales "ARMAR A.G.". Registro de Asociaciones Gremiales 384-8</v>
      </c>
      <c r="F73" s="51" t="s">
        <v>232</v>
      </c>
      <c r="G73" s="51" t="s">
        <v>233</v>
      </c>
      <c r="H73" s="51">
        <f>Anchoveta!F29</f>
        <v>5984.2510000000002</v>
      </c>
      <c r="I73" s="11">
        <f>Anchoveta!G29</f>
        <v>30</v>
      </c>
      <c r="J73" s="11">
        <f>Anchoveta!H29</f>
        <v>6014.2510000000002</v>
      </c>
      <c r="K73" s="11">
        <f>Anchoveta!I29</f>
        <v>5471.6710043745043</v>
      </c>
      <c r="L73" s="11">
        <f>Anchoveta!K29</f>
        <v>542.57999562549594</v>
      </c>
      <c r="M73" s="48">
        <f>Anchoveta!L29</f>
        <v>0.90978427810453943</v>
      </c>
      <c r="N73" s="246" t="str">
        <f>'IC Anch y SardC VIII'!O12</f>
        <v>-</v>
      </c>
      <c r="O73" s="34">
        <f>RESUMEN!$B$3</f>
        <v>44926</v>
      </c>
      <c r="P73" s="11">
        <v>2022</v>
      </c>
    </row>
    <row r="74" spans="1:16">
      <c r="A74" s="51" t="s">
        <v>228</v>
      </c>
      <c r="B74" s="51" t="s">
        <v>191</v>
      </c>
      <c r="C74" s="51" t="s">
        <v>250</v>
      </c>
      <c r="D74" s="51" t="s">
        <v>245</v>
      </c>
      <c r="E74" s="51" t="str">
        <f>Anchoveta!D30</f>
        <v xml:space="preserve">Asociación Gremial de Armadores Artesanales VALLEMAR LOTA, Registro de Asociaciones Gremiales 548-8 </v>
      </c>
      <c r="F74" s="51" t="s">
        <v>232</v>
      </c>
      <c r="G74" s="51" t="s">
        <v>233</v>
      </c>
      <c r="H74" s="51">
        <f>Anchoveta!F30</f>
        <v>2275.3159999999998</v>
      </c>
      <c r="I74" s="11">
        <f>Anchoveta!G30</f>
        <v>0</v>
      </c>
      <c r="J74" s="11">
        <f>Anchoveta!H30</f>
        <v>2275.3159999999998</v>
      </c>
      <c r="K74" s="11">
        <f>Anchoveta!I30</f>
        <v>1876.7959897484784</v>
      </c>
      <c r="L74" s="11">
        <f>Anchoveta!K30</f>
        <v>398.5200102515214</v>
      </c>
      <c r="M74" s="48">
        <f>Anchoveta!L30</f>
        <v>0.82485069755079232</v>
      </c>
      <c r="N74" s="246" t="str">
        <f>'IC Anch y SardC VIII'!O13</f>
        <v>-</v>
      </c>
      <c r="O74" s="34">
        <f>RESUMEN!$B$3</f>
        <v>44926</v>
      </c>
      <c r="P74" s="11">
        <v>2022</v>
      </c>
    </row>
    <row r="75" spans="1:16">
      <c r="A75" s="51" t="s">
        <v>228</v>
      </c>
      <c r="B75" s="51" t="s">
        <v>191</v>
      </c>
      <c r="C75" s="51" t="s">
        <v>250</v>
      </c>
      <c r="D75" s="51" t="s">
        <v>245</v>
      </c>
      <c r="E75" s="51" t="str">
        <f>Anchoveta!D31</f>
        <v>Asociación Gremial de Armadores Artesanales y Productores Pelágicos de la Caleta el Morro de Talcahuano - AGEMAPAR, Registro de Asociaciones Gremiales 376-8</v>
      </c>
      <c r="F75" s="51" t="s">
        <v>232</v>
      </c>
      <c r="G75" s="51" t="s">
        <v>233</v>
      </c>
      <c r="H75" s="51">
        <f>Anchoveta!F31</f>
        <v>2713.6869999999999</v>
      </c>
      <c r="I75" s="11">
        <f>Anchoveta!G31</f>
        <v>-445</v>
      </c>
      <c r="J75" s="11">
        <f>Anchoveta!H31</f>
        <v>2268.6869999999999</v>
      </c>
      <c r="K75" s="11">
        <f>Anchoveta!I31</f>
        <v>2682.5519999999997</v>
      </c>
      <c r="L75" s="11">
        <f>Anchoveta!K31</f>
        <v>-413.86499999999978</v>
      </c>
      <c r="M75" s="48">
        <f>Anchoveta!L31</f>
        <v>1.1824249003939282</v>
      </c>
      <c r="N75" s="246" t="str">
        <f>'IC Anch y SardC VIII'!O14</f>
        <v>-</v>
      </c>
      <c r="O75" s="34">
        <f>RESUMEN!$B$3</f>
        <v>44926</v>
      </c>
      <c r="P75" s="11">
        <v>2022</v>
      </c>
    </row>
    <row r="76" spans="1:16">
      <c r="A76" s="51" t="s">
        <v>228</v>
      </c>
      <c r="B76" s="51" t="s">
        <v>191</v>
      </c>
      <c r="C76" s="51" t="s">
        <v>250</v>
      </c>
      <c r="D76" s="51" t="s">
        <v>245</v>
      </c>
      <c r="E76" s="51" t="str">
        <f>Anchoveta!D32</f>
        <v>Asociación Gremial de Armadores Embarcaciones Menores "AG MENOR COLIUMO". Registro de Asociaciones Gremiales 507-8</v>
      </c>
      <c r="F76" s="51" t="s">
        <v>232</v>
      </c>
      <c r="G76" s="51" t="s">
        <v>233</v>
      </c>
      <c r="H76" s="51">
        <f>Anchoveta!F32</f>
        <v>268.97899999999998</v>
      </c>
      <c r="I76" s="11">
        <f>Anchoveta!G32</f>
        <v>-20</v>
      </c>
      <c r="J76" s="11">
        <f>Anchoveta!H32</f>
        <v>248.97899999999998</v>
      </c>
      <c r="K76" s="11">
        <f>Anchoveta!I32</f>
        <v>209.56100053024292</v>
      </c>
      <c r="L76" s="11">
        <f>Anchoveta!K32</f>
        <v>39.417999469757063</v>
      </c>
      <c r="M76" s="48">
        <f>Anchoveta!L32</f>
        <v>0.84168142907732357</v>
      </c>
      <c r="N76" s="246" t="str">
        <f>'IC Anch y SardC VIII'!O15</f>
        <v>-</v>
      </c>
      <c r="O76" s="34">
        <f>RESUMEN!$B$3</f>
        <v>44926</v>
      </c>
      <c r="P76" s="11">
        <v>2022</v>
      </c>
    </row>
    <row r="77" spans="1:16">
      <c r="A77" s="51" t="s">
        <v>228</v>
      </c>
      <c r="B77" s="51" t="s">
        <v>191</v>
      </c>
      <c r="C77" s="51" t="s">
        <v>250</v>
      </c>
      <c r="D77" s="51" t="s">
        <v>245</v>
      </c>
      <c r="E77" s="51" t="str">
        <f>Anchoveta!D33</f>
        <v>Asociación Gremial de Armadores y Pescadores Artesanales  Miramar BioBio " MIRAMAR BIOBIO  A.G." Registro de Organizaciones Gremiales 633-8</v>
      </c>
      <c r="F77" s="51" t="s">
        <v>232</v>
      </c>
      <c r="G77" s="51" t="s">
        <v>233</v>
      </c>
      <c r="H77" s="51">
        <f>Anchoveta!F33</f>
        <v>2515.8960000000002</v>
      </c>
      <c r="I77" s="11">
        <f>Anchoveta!G33</f>
        <v>-100</v>
      </c>
      <c r="J77" s="11">
        <f>Anchoveta!H33</f>
        <v>2415.8960000000002</v>
      </c>
      <c r="K77" s="11">
        <f>Anchoveta!I33</f>
        <v>2713.7510000000002</v>
      </c>
      <c r="L77" s="11">
        <f>Anchoveta!K33</f>
        <v>-297.85500000000002</v>
      </c>
      <c r="M77" s="48">
        <f>Anchoveta!L33</f>
        <v>1.1232896614754939</v>
      </c>
      <c r="N77" s="246" t="str">
        <f>'IC Anch y SardC VIII'!O16</f>
        <v>-</v>
      </c>
      <c r="O77" s="34">
        <f>RESUMEN!$B$3</f>
        <v>44926</v>
      </c>
      <c r="P77" s="11">
        <v>2022</v>
      </c>
    </row>
    <row r="78" spans="1:16">
      <c r="A78" s="51" t="s">
        <v>228</v>
      </c>
      <c r="B78" s="51" t="s">
        <v>191</v>
      </c>
      <c r="C78" s="51" t="s">
        <v>250</v>
      </c>
      <c r="D78" s="51" t="s">
        <v>245</v>
      </c>
      <c r="E78" s="51" t="str">
        <f>Anchoveta!D34</f>
        <v>Asociación Gremial de Armadores, Pescadores Artesanales y Actividades Afines, SIMBA A.G. Registro de Asociaciones Gremiales RAG N° 679-8</v>
      </c>
      <c r="F78" s="51" t="s">
        <v>232</v>
      </c>
      <c r="G78" s="51" t="s">
        <v>233</v>
      </c>
      <c r="H78" s="51">
        <f>Anchoveta!F34</f>
        <v>3543.35</v>
      </c>
      <c r="I78" s="11">
        <f>Anchoveta!G34</f>
        <v>3815.35</v>
      </c>
      <c r="J78" s="11">
        <f>Anchoveta!H34</f>
        <v>7358.7</v>
      </c>
      <c r="K78" s="11">
        <f>Anchoveta!I34</f>
        <v>6895.0530576171859</v>
      </c>
      <c r="L78" s="11">
        <f>Anchoveta!K34</f>
        <v>463.6469423828139</v>
      </c>
      <c r="M78" s="48">
        <f>Anchoveta!L34</f>
        <v>0.93699336263432209</v>
      </c>
      <c r="N78" s="246" t="str">
        <f>'IC Anch y SardC VIII'!O17</f>
        <v>-</v>
      </c>
      <c r="O78" s="34">
        <f>RESUMEN!$B$3</f>
        <v>44926</v>
      </c>
      <c r="P78" s="11">
        <v>2022</v>
      </c>
    </row>
    <row r="79" spans="1:16">
      <c r="A79" s="51" t="s">
        <v>228</v>
      </c>
      <c r="B79" s="51" t="s">
        <v>191</v>
      </c>
      <c r="C79" s="51" t="s">
        <v>250</v>
      </c>
      <c r="D79" s="51" t="s">
        <v>245</v>
      </c>
      <c r="E79" s="51" t="str">
        <f>Anchoveta!D35</f>
        <v>Asociación Gremial de Armadores, Pescadores Artesanales y Actividades Afines de Lota, Octava región, Registro de Asociaciones Gremiales 577-8</v>
      </c>
      <c r="F79" s="51" t="s">
        <v>232</v>
      </c>
      <c r="G79" s="51" t="s">
        <v>233</v>
      </c>
      <c r="H79" s="51">
        <f>Anchoveta!F35</f>
        <v>1932.85</v>
      </c>
      <c r="I79" s="11">
        <f>Anchoveta!G35</f>
        <v>2061.6999999999998</v>
      </c>
      <c r="J79" s="11">
        <f>Anchoveta!H35</f>
        <v>3994.5499999999997</v>
      </c>
      <c r="K79" s="11">
        <f>Anchoveta!I35</f>
        <v>3163.6980283203125</v>
      </c>
      <c r="L79" s="11">
        <f>Anchoveta!K35</f>
        <v>830.85197167968727</v>
      </c>
      <c r="M79" s="48">
        <f>Anchoveta!L35</f>
        <v>0.7920036120014301</v>
      </c>
      <c r="N79" s="246" t="str">
        <f>'IC Anch y SardC VIII'!O18</f>
        <v>-</v>
      </c>
      <c r="O79" s="34">
        <f>RESUMEN!$B$3</f>
        <v>44926</v>
      </c>
      <c r="P79" s="11">
        <v>2022</v>
      </c>
    </row>
    <row r="80" spans="1:16">
      <c r="A80" s="51" t="s">
        <v>228</v>
      </c>
      <c r="B80" s="51" t="s">
        <v>191</v>
      </c>
      <c r="C80" s="51" t="s">
        <v>250</v>
      </c>
      <c r="D80" s="51" t="s">
        <v>245</v>
      </c>
      <c r="E80" s="51" t="str">
        <f>Anchoveta!D36</f>
        <v>Asociación Gremial de Armadores, Pescadores Artesanales y Actividades Afines, CHALLWAFE A.G. Registro de Asociaciones Gremiales RAG N° 674-8</v>
      </c>
      <c r="F80" s="51" t="s">
        <v>232</v>
      </c>
      <c r="G80" s="51" t="s">
        <v>233</v>
      </c>
      <c r="H80" s="51">
        <f>Anchoveta!F36</f>
        <v>1533.173</v>
      </c>
      <c r="I80" s="11">
        <f>Anchoveta!G36</f>
        <v>573.09500000000003</v>
      </c>
      <c r="J80" s="11">
        <f>Anchoveta!H36</f>
        <v>2106.268</v>
      </c>
      <c r="K80" s="11">
        <f>Anchoveta!I36</f>
        <v>334.4909957275388</v>
      </c>
      <c r="L80" s="11">
        <f>Anchoveta!K36</f>
        <v>1771.7770042724612</v>
      </c>
      <c r="M80" s="48">
        <f>Anchoveta!L36</f>
        <v>0.15880742418701646</v>
      </c>
      <c r="N80" s="246" t="str">
        <f>'IC Anch y SardC VIII'!O19</f>
        <v>-</v>
      </c>
      <c r="O80" s="34">
        <f>RESUMEN!$B$3</f>
        <v>44926</v>
      </c>
      <c r="P80" s="11">
        <v>2022</v>
      </c>
    </row>
    <row r="81" spans="1:16" s="11" customFormat="1">
      <c r="A81" s="51" t="s">
        <v>228</v>
      </c>
      <c r="B81" s="51" t="s">
        <v>191</v>
      </c>
      <c r="C81" s="51" t="s">
        <v>250</v>
      </c>
      <c r="D81" s="51" t="s">
        <v>245</v>
      </c>
      <c r="E81" s="51" t="str">
        <f>Anchoveta!D37</f>
        <v>Asociación Gremial de Armadores, Pescadores Artesanales y Actividades Afines, de las Caletas de Coronel y Lota de la Región del Biobío PESCA SUR A.G. Registro de Asociaciones Gremiales RAG N° 680-8</v>
      </c>
      <c r="F81" s="51" t="s">
        <v>232</v>
      </c>
      <c r="G81" s="51" t="s">
        <v>233</v>
      </c>
      <c r="H81" s="51">
        <f>Anchoveta!F37</f>
        <v>116.54900000000001</v>
      </c>
      <c r="I81" s="11">
        <f>Anchoveta!G37</f>
        <v>4917.7000000000007</v>
      </c>
      <c r="J81" s="11">
        <f>Anchoveta!H37</f>
        <v>5034.2490000000007</v>
      </c>
      <c r="K81" s="11">
        <f>Anchoveta!I37</f>
        <v>1963.4059980468749</v>
      </c>
      <c r="L81" s="11">
        <f>Anchoveta!K37</f>
        <v>3070.8430019531261</v>
      </c>
      <c r="M81" s="48">
        <f>Anchoveta!L37</f>
        <v>0.39000971109034827</v>
      </c>
      <c r="N81" s="246" t="str">
        <f>'IC Anch y SardC VIII'!O20</f>
        <v>-</v>
      </c>
      <c r="O81" s="34">
        <f>RESUMEN!$B$3</f>
        <v>44926</v>
      </c>
      <c r="P81" s="11">
        <v>2022</v>
      </c>
    </row>
    <row r="82" spans="1:16">
      <c r="A82" s="51" t="s">
        <v>228</v>
      </c>
      <c r="B82" s="51" t="s">
        <v>191</v>
      </c>
      <c r="C82" s="51" t="s">
        <v>250</v>
      </c>
      <c r="D82" s="51" t="s">
        <v>245</v>
      </c>
      <c r="E82" s="51" t="str">
        <f>Anchoveta!D38</f>
        <v>Asociacion Gremial de Armadores, Pescadores artesanales, Buzos mariscadores, Recolectores de orilla y Ramos afines "A.G. ESCAFANDRAS CON HISTORIA DE TALCAHUANO" Registro Asociaciones Gremiales 62-8</v>
      </c>
      <c r="F82" s="51" t="s">
        <v>232</v>
      </c>
      <c r="G82" s="51" t="s">
        <v>233</v>
      </c>
      <c r="H82" s="51">
        <f>Anchoveta!F38</f>
        <v>655.95899999999995</v>
      </c>
      <c r="I82" s="11">
        <f>Anchoveta!G38</f>
        <v>0</v>
      </c>
      <c r="J82" s="11">
        <f>Anchoveta!H38</f>
        <v>655.95899999999995</v>
      </c>
      <c r="K82" s="11">
        <f>Anchoveta!I38</f>
        <v>685.58099719297888</v>
      </c>
      <c r="L82" s="11">
        <f>Anchoveta!K38</f>
        <v>-29.621997192978938</v>
      </c>
      <c r="M82" s="48">
        <f>Anchoveta!L38</f>
        <v>1.0451583059200025</v>
      </c>
      <c r="N82" s="246" t="str">
        <f>'IC Anch y SardC VIII'!O21</f>
        <v>-</v>
      </c>
      <c r="O82" s="34">
        <f>RESUMEN!$B$3</f>
        <v>44926</v>
      </c>
      <c r="P82" s="11">
        <v>2022</v>
      </c>
    </row>
    <row r="83" spans="1:16">
      <c r="A83" s="51" t="s">
        <v>228</v>
      </c>
      <c r="B83" s="51" t="s">
        <v>191</v>
      </c>
      <c r="C83" s="51" t="s">
        <v>250</v>
      </c>
      <c r="D83" s="51" t="s">
        <v>245</v>
      </c>
      <c r="E83" s="51" t="str">
        <f>Anchoveta!D39</f>
        <v>Asociación Gremial de Pescadores Artesanales BLUE A.G. – BLUE A.G. Registro de Asociaciones Gremiales RAG N° 661-8</v>
      </c>
      <c r="F83" s="51" t="s">
        <v>232</v>
      </c>
      <c r="G83" s="51" t="s">
        <v>233</v>
      </c>
      <c r="H83" s="51">
        <f>Anchoveta!F39</f>
        <v>2895.1590000000001</v>
      </c>
      <c r="I83" s="11">
        <f>Anchoveta!G39</f>
        <v>-2350</v>
      </c>
      <c r="J83" s="11">
        <f>Anchoveta!H39</f>
        <v>545.15900000000011</v>
      </c>
      <c r="K83" s="11">
        <f>Anchoveta!I39</f>
        <v>208.82899609375002</v>
      </c>
      <c r="L83" s="11">
        <f>Anchoveta!K39</f>
        <v>336.33000390625011</v>
      </c>
      <c r="M83" s="48">
        <f>Anchoveta!L39</f>
        <v>0.38306071456905227</v>
      </c>
      <c r="N83" s="246" t="str">
        <f>'IC Anch y SardC VIII'!O22</f>
        <v>-</v>
      </c>
      <c r="O83" s="34">
        <f>RESUMEN!$B$3</f>
        <v>44926</v>
      </c>
      <c r="P83" s="11">
        <v>2022</v>
      </c>
    </row>
    <row r="84" spans="1:16">
      <c r="A84" s="51" t="s">
        <v>228</v>
      </c>
      <c r="B84" s="51" t="s">
        <v>191</v>
      </c>
      <c r="C84" s="51" t="s">
        <v>250</v>
      </c>
      <c r="D84" s="51" t="s">
        <v>245</v>
      </c>
      <c r="E84" s="51" t="str">
        <f>Anchoveta!D40</f>
        <v>Asociación Gremial de Pescadores Artesanales de caleta INFIERNILLO, Registro de Asociaciones Gremiales 98-8</v>
      </c>
      <c r="F84" s="51" t="s">
        <v>232</v>
      </c>
      <c r="G84" s="51" t="s">
        <v>233</v>
      </c>
      <c r="H84" s="51">
        <f>Anchoveta!F40</f>
        <v>53.64</v>
      </c>
      <c r="I84" s="11">
        <f>Anchoveta!G40</f>
        <v>0</v>
      </c>
      <c r="J84" s="11">
        <f>Anchoveta!H40</f>
        <v>53.64</v>
      </c>
      <c r="K84" s="11">
        <f>Anchoveta!I40</f>
        <v>27.501000019073487</v>
      </c>
      <c r="L84" s="11">
        <f>Anchoveta!K40</f>
        <v>26.138999980926513</v>
      </c>
      <c r="M84" s="48">
        <f>Anchoveta!L40</f>
        <v>0.51269574979629917</v>
      </c>
      <c r="N84" s="246" t="str">
        <f>'IC Anch y SardC VIII'!O23</f>
        <v>-</v>
      </c>
      <c r="O84" s="34">
        <f>RESUMEN!$B$3</f>
        <v>44926</v>
      </c>
      <c r="P84" s="11">
        <v>2022</v>
      </c>
    </row>
    <row r="85" spans="1:16">
      <c r="A85" s="51" t="s">
        <v>228</v>
      </c>
      <c r="B85" s="51" t="s">
        <v>191</v>
      </c>
      <c r="C85" s="51" t="s">
        <v>250</v>
      </c>
      <c r="D85" s="51" t="s">
        <v>245</v>
      </c>
      <c r="E85" s="51" t="str">
        <f>Anchoveta!D41</f>
        <v>Asociación Gremial de Pescadores Artesanales de Coronel, Registro de Asociaciones Gremiales 5-8</v>
      </c>
      <c r="F85" s="51" t="s">
        <v>232</v>
      </c>
      <c r="G85" s="51" t="s">
        <v>233</v>
      </c>
      <c r="H85" s="51">
        <f>Anchoveta!F41</f>
        <v>15072.547</v>
      </c>
      <c r="I85" s="11">
        <f>Anchoveta!G41</f>
        <v>1004.5</v>
      </c>
      <c r="J85" s="11">
        <f>Anchoveta!H41</f>
        <v>16077.047</v>
      </c>
      <c r="K85" s="11">
        <f>Anchoveta!I41</f>
        <v>5020.8282323634685</v>
      </c>
      <c r="L85" s="11">
        <f>Anchoveta!K41</f>
        <v>11056.218767636532</v>
      </c>
      <c r="M85" s="48">
        <f>Anchoveta!L41</f>
        <v>0.31229791343917002</v>
      </c>
      <c r="N85" s="246" t="str">
        <f>'IC Anch y SardC VIII'!O24</f>
        <v>-</v>
      </c>
      <c r="O85" s="34">
        <f>RESUMEN!$B$3</f>
        <v>44926</v>
      </c>
      <c r="P85" s="11">
        <v>2022</v>
      </c>
    </row>
    <row r="86" spans="1:16">
      <c r="A86" s="51" t="s">
        <v>228</v>
      </c>
      <c r="B86" s="51" t="s">
        <v>191</v>
      </c>
      <c r="C86" s="51" t="s">
        <v>250</v>
      </c>
      <c r="D86" s="51" t="s">
        <v>245</v>
      </c>
      <c r="E86" s="51" t="str">
        <f>Anchoveta!D42</f>
        <v>Asociación Gremial de Pescadores Artesanales de Lota - A.G. APESCA Lota, Registro de Asociaciones Gremiales 428-8</v>
      </c>
      <c r="F86" s="51" t="s">
        <v>232</v>
      </c>
      <c r="G86" s="51" t="s">
        <v>233</v>
      </c>
      <c r="H86" s="51">
        <f>Anchoveta!F42</f>
        <v>232.22399999999999</v>
      </c>
      <c r="I86" s="11">
        <f>Anchoveta!G42</f>
        <v>0</v>
      </c>
      <c r="J86" s="11">
        <f>Anchoveta!H42</f>
        <v>232.22399999999999</v>
      </c>
      <c r="K86" s="11">
        <f>Anchoveta!I42</f>
        <v>21.759999999999998</v>
      </c>
      <c r="L86" s="11">
        <f>Anchoveta!K42</f>
        <v>210.464</v>
      </c>
      <c r="M86" s="48">
        <f>Anchoveta!L42</f>
        <v>9.3702631941573647E-2</v>
      </c>
      <c r="N86" s="246" t="str">
        <f>'IC Anch y SardC VIII'!O25</f>
        <v>-</v>
      </c>
      <c r="O86" s="34">
        <f>RESUMEN!$B$3</f>
        <v>44926</v>
      </c>
      <c r="P86" s="11">
        <v>2022</v>
      </c>
    </row>
    <row r="87" spans="1:16">
      <c r="A87" s="51" t="s">
        <v>228</v>
      </c>
      <c r="B87" s="51" t="s">
        <v>191</v>
      </c>
      <c r="C87" s="51" t="s">
        <v>250</v>
      </c>
      <c r="D87" s="51" t="s">
        <v>245</v>
      </c>
      <c r="E87" s="51" t="str">
        <f>Anchoveta!D43</f>
        <v>Asociación Gremial de Pescadores Artesanales de San Vicente – Talcahuano, Registro de Asociaciones Gremiales 18-8</v>
      </c>
      <c r="F87" s="51" t="s">
        <v>232</v>
      </c>
      <c r="G87" s="51" t="s">
        <v>233</v>
      </c>
      <c r="H87" s="51">
        <f>Anchoveta!F43</f>
        <v>2320.817</v>
      </c>
      <c r="I87" s="11">
        <f>Anchoveta!G43</f>
        <v>-20</v>
      </c>
      <c r="J87" s="11">
        <f>Anchoveta!H43</f>
        <v>2300.817</v>
      </c>
      <c r="K87" s="11">
        <f>Anchoveta!I43</f>
        <v>2141.5490064697265</v>
      </c>
      <c r="L87" s="11">
        <f>Anchoveta!K43</f>
        <v>158.90399353027351</v>
      </c>
      <c r="M87" s="48">
        <f>Anchoveta!L43</f>
        <v>0.93077763527900148</v>
      </c>
      <c r="N87" s="246" t="str">
        <f>'IC Anch y SardC VIII'!O26</f>
        <v>-</v>
      </c>
      <c r="O87" s="34">
        <f>RESUMEN!$B$3</f>
        <v>44926</v>
      </c>
      <c r="P87" s="11">
        <v>2022</v>
      </c>
    </row>
    <row r="88" spans="1:16">
      <c r="A88" s="51" t="s">
        <v>228</v>
      </c>
      <c r="B88" s="51" t="s">
        <v>191</v>
      </c>
      <c r="C88" s="51" t="s">
        <v>250</v>
      </c>
      <c r="D88" s="51" t="s">
        <v>245</v>
      </c>
      <c r="E88" s="51" t="str">
        <f>Anchoveta!D44</f>
        <v>Asociación Gremial de Pescadores Artesanales, Armadores Artesanales Pelágicos y actividades Afines de la Caleta de LOTA VIII Región A.G.-SIERRA AZUL A.G., Registro de Asociaciones Gremiales 576-8</v>
      </c>
      <c r="F88" s="51" t="s">
        <v>232</v>
      </c>
      <c r="G88" s="51" t="s">
        <v>233</v>
      </c>
      <c r="H88" s="51">
        <f>Anchoveta!F44</f>
        <v>1730.441</v>
      </c>
      <c r="I88" s="11">
        <f>Anchoveta!G44</f>
        <v>50</v>
      </c>
      <c r="J88" s="11">
        <f>Anchoveta!H44</f>
        <v>1780.441</v>
      </c>
      <c r="K88" s="96">
        <f>Anchoveta!I44</f>
        <v>1384.2739946289062</v>
      </c>
      <c r="L88" s="96">
        <f>Anchoveta!K44</f>
        <v>396.16700537109386</v>
      </c>
      <c r="M88" s="48">
        <f>Anchoveta!L44</f>
        <v>0.77748939427305153</v>
      </c>
      <c r="N88" s="246" t="str">
        <f>'IC Anch y SardC VIII'!O27</f>
        <v>-</v>
      </c>
      <c r="O88" s="34">
        <f>RESUMEN!$B$3</f>
        <v>44926</v>
      </c>
      <c r="P88" s="11">
        <v>2022</v>
      </c>
    </row>
    <row r="89" spans="1:16">
      <c r="A89" s="51" t="s">
        <v>228</v>
      </c>
      <c r="B89" s="51" t="s">
        <v>191</v>
      </c>
      <c r="C89" s="51" t="s">
        <v>250</v>
      </c>
      <c r="D89" s="51" t="s">
        <v>245</v>
      </c>
      <c r="E89" s="51" t="str">
        <f>Anchoveta!D45</f>
        <v>Asociación Gremial de Pescadores y Armadores Artesanales Pelágicos de la Región del Bío Bío, "PESCA MAR A.G.", Registro de Asociaciones Gremiales 450-8</v>
      </c>
      <c r="F89" s="51" t="s">
        <v>232</v>
      </c>
      <c r="G89" s="51" t="s">
        <v>233</v>
      </c>
      <c r="H89" s="51">
        <f>Anchoveta!F45</f>
        <v>1641.944</v>
      </c>
      <c r="I89" s="11">
        <f>Anchoveta!G45</f>
        <v>0</v>
      </c>
      <c r="J89" s="11">
        <f>Anchoveta!H45</f>
        <v>1641.944</v>
      </c>
      <c r="K89" s="11">
        <f>Anchoveta!I45</f>
        <v>1493.3880015258792</v>
      </c>
      <c r="L89" s="11">
        <f>Anchoveta!K45</f>
        <v>148.55599847412077</v>
      </c>
      <c r="M89" s="48">
        <f>Anchoveta!L45</f>
        <v>0.90952432088175916</v>
      </c>
      <c r="N89" s="246" t="str">
        <f>'IC Anch y SardC VIII'!O28</f>
        <v>-</v>
      </c>
      <c r="O89" s="34">
        <f>RESUMEN!$B$3</f>
        <v>44926</v>
      </c>
      <c r="P89" s="11">
        <v>2022</v>
      </c>
    </row>
    <row r="90" spans="1:16" s="11" customFormat="1">
      <c r="A90" s="51" t="s">
        <v>228</v>
      </c>
      <c r="B90" s="51" t="s">
        <v>191</v>
      </c>
      <c r="C90" s="51" t="s">
        <v>250</v>
      </c>
      <c r="D90" s="51" t="s">
        <v>245</v>
      </c>
      <c r="E90" s="51" t="str">
        <f>Anchoveta!D46</f>
        <v>Asociación Gremial de Pescadores y Armadores Artesanales Pelágicos Región Bío Bío A.G. ALTAMAR, Registro de Asociaciones Gremiales  555-8</v>
      </c>
      <c r="F90" s="51" t="s">
        <v>232</v>
      </c>
      <c r="G90" s="51" t="s">
        <v>233</v>
      </c>
      <c r="H90" s="51">
        <f>Anchoveta!F46</f>
        <v>3645.674</v>
      </c>
      <c r="I90" s="11">
        <f>Anchoveta!G46</f>
        <v>100</v>
      </c>
      <c r="J90" s="11">
        <f>Anchoveta!H46</f>
        <v>3745.674</v>
      </c>
      <c r="K90" s="11">
        <f>Anchoveta!I46</f>
        <v>2396.5039785156259</v>
      </c>
      <c r="L90" s="11">
        <f>Anchoveta!K46</f>
        <v>1349.170021484374</v>
      </c>
      <c r="M90" s="48">
        <f>Anchoveta!L46</f>
        <v>0.63980580758379557</v>
      </c>
      <c r="N90" s="246" t="str">
        <f>'IC Anch y SardC VIII'!O29</f>
        <v>-</v>
      </c>
      <c r="O90" s="34">
        <f>RESUMEN!$B$3</f>
        <v>44926</v>
      </c>
      <c r="P90" s="11">
        <v>2022</v>
      </c>
    </row>
    <row r="91" spans="1:16">
      <c r="A91" s="51" t="s">
        <v>228</v>
      </c>
      <c r="B91" s="51" t="s">
        <v>191</v>
      </c>
      <c r="C91" s="51" t="s">
        <v>250</v>
      </c>
      <c r="D91" s="51" t="s">
        <v>245</v>
      </c>
      <c r="E91" s="51" t="str">
        <f>Anchoveta!D47</f>
        <v>Asociación Gremial de Productores Pelágicos Artesanales de las Caletas de Talcahuano y San Vicente de la VIII Región GEMAR A.G., Registro de Asociaciones Gremiales 464-8</v>
      </c>
      <c r="F91" s="51" t="s">
        <v>232</v>
      </c>
      <c r="G91" s="51" t="s">
        <v>233</v>
      </c>
      <c r="H91" s="51">
        <f>Anchoveta!F47</f>
        <v>2917.5630000000001</v>
      </c>
      <c r="I91" s="11">
        <f>Anchoveta!G47</f>
        <v>600</v>
      </c>
      <c r="J91" s="11">
        <f>Anchoveta!H47</f>
        <v>3517.5630000000001</v>
      </c>
      <c r="K91" s="11">
        <f>Anchoveta!I47</f>
        <v>3214.5390114746115</v>
      </c>
      <c r="L91" s="11">
        <f>Anchoveta!K47</f>
        <v>303.02398852538863</v>
      </c>
      <c r="M91" s="48">
        <f>Anchoveta!L47</f>
        <v>0.91385399820120106</v>
      </c>
      <c r="N91" s="246" t="str">
        <f>'IC Anch y SardC VIII'!O30</f>
        <v>-</v>
      </c>
      <c r="O91" s="34">
        <f>RESUMEN!$B$3</f>
        <v>44926</v>
      </c>
      <c r="P91" s="11">
        <v>2022</v>
      </c>
    </row>
    <row r="92" spans="1:16">
      <c r="A92" s="51" t="s">
        <v>228</v>
      </c>
      <c r="B92" s="51" t="s">
        <v>191</v>
      </c>
      <c r="C92" s="51" t="s">
        <v>250</v>
      </c>
      <c r="D92" s="51" t="s">
        <v>245</v>
      </c>
      <c r="E92" s="51" t="str">
        <f>Anchoveta!D48</f>
        <v>Cooperativa de Pescadores Sol de Israel Limitada "COOPES LTDA". Rol 5483</v>
      </c>
      <c r="F92" s="51" t="s">
        <v>232</v>
      </c>
      <c r="G92" s="51" t="s">
        <v>233</v>
      </c>
      <c r="H92" s="51">
        <f>Anchoveta!F48</f>
        <v>177.334</v>
      </c>
      <c r="I92" s="11">
        <f>Anchoveta!G48</f>
        <v>290</v>
      </c>
      <c r="J92" s="11">
        <f>Anchoveta!H48</f>
        <v>467.334</v>
      </c>
      <c r="K92" s="11">
        <f>Anchoveta!I48</f>
        <v>56.448999999463567</v>
      </c>
      <c r="L92" s="11">
        <f>Anchoveta!K48</f>
        <v>410.88500000053642</v>
      </c>
      <c r="M92" s="48">
        <f>Anchoveta!L48</f>
        <v>0.12078941399398196</v>
      </c>
      <c r="N92" s="246" t="str">
        <f>'IC Anch y SardC VIII'!O31</f>
        <v>-</v>
      </c>
      <c r="O92" s="34">
        <f>RESUMEN!$B$3</f>
        <v>44926</v>
      </c>
      <c r="P92" s="11">
        <v>2022</v>
      </c>
    </row>
    <row r="93" spans="1:16">
      <c r="A93" s="51" t="s">
        <v>228</v>
      </c>
      <c r="B93" s="51" t="s">
        <v>191</v>
      </c>
      <c r="C93" s="51" t="s">
        <v>250</v>
      </c>
      <c r="D93" s="51" t="s">
        <v>245</v>
      </c>
      <c r="E93" s="51" t="str">
        <f>Anchoveta!D49</f>
        <v>Cooperativa de Pescadores y Armadores Artesanales de Lota "GEVIMAR". Registro de Cooperativa Rol 4465</v>
      </c>
      <c r="F93" s="51" t="s">
        <v>232</v>
      </c>
      <c r="G93" s="51" t="s">
        <v>233</v>
      </c>
      <c r="H93" s="51">
        <f>Anchoveta!F49</f>
        <v>2247.5500000000002</v>
      </c>
      <c r="I93" s="11">
        <f>Anchoveta!G49</f>
        <v>0</v>
      </c>
      <c r="J93" s="11">
        <f>Anchoveta!H49</f>
        <v>2247.5500000000002</v>
      </c>
      <c r="K93" s="11">
        <f>Anchoveta!I49</f>
        <v>3002.6420075759893</v>
      </c>
      <c r="L93" s="11">
        <f>Anchoveta!K49</f>
        <v>-755.0920075759891</v>
      </c>
      <c r="M93" s="48">
        <f>Anchoveta!L49</f>
        <v>1.3359622733981398</v>
      </c>
      <c r="N93" s="246" t="str">
        <f>'IC Anch y SardC VIII'!O32</f>
        <v>-</v>
      </c>
      <c r="O93" s="34">
        <f>RESUMEN!$B$3</f>
        <v>44926</v>
      </c>
      <c r="P93" s="11">
        <v>2022</v>
      </c>
    </row>
    <row r="94" spans="1:16">
      <c r="A94" s="51" t="s">
        <v>228</v>
      </c>
      <c r="B94" s="51" t="s">
        <v>191</v>
      </c>
      <c r="C94" s="51" t="s">
        <v>250</v>
      </c>
      <c r="D94" s="51" t="s">
        <v>245</v>
      </c>
      <c r="E94" s="51" t="str">
        <f>Anchoveta!D50</f>
        <v>Sindicato de  Pescadores Artesanales, Armadores Pelágicos y Actividades Conexas de la Caleta Vegas de Coliumo. Registro Sindical Único 08.06.0113</v>
      </c>
      <c r="F94" s="51" t="s">
        <v>232</v>
      </c>
      <c r="G94" s="51" t="s">
        <v>233</v>
      </c>
      <c r="H94" s="51">
        <f>Anchoveta!F50</f>
        <v>1753.9280000000001</v>
      </c>
      <c r="I94" s="11">
        <f>Anchoveta!G50</f>
        <v>0</v>
      </c>
      <c r="J94" s="11">
        <f>Anchoveta!H50</f>
        <v>1753.9280000000001</v>
      </c>
      <c r="K94" s="11">
        <f>Anchoveta!I50</f>
        <v>1242.45</v>
      </c>
      <c r="L94" s="11">
        <f>Anchoveta!K50</f>
        <v>511.47800000000007</v>
      </c>
      <c r="M94" s="48">
        <f>Anchoveta!L50</f>
        <v>0.70838141588480252</v>
      </c>
      <c r="N94" s="246" t="str">
        <f>'IC Anch y SardC VIII'!O33</f>
        <v>-</v>
      </c>
      <c r="O94" s="34">
        <f>RESUMEN!$B$3</f>
        <v>44926</v>
      </c>
      <c r="P94" s="11">
        <v>2022</v>
      </c>
    </row>
    <row r="95" spans="1:16">
      <c r="A95" s="51" t="s">
        <v>228</v>
      </c>
      <c r="B95" s="51" t="s">
        <v>191</v>
      </c>
      <c r="C95" s="51" t="s">
        <v>250</v>
      </c>
      <c r="D95" s="51" t="s">
        <v>245</v>
      </c>
      <c r="E95" s="51" t="str">
        <f>Anchoveta!D51</f>
        <v>Sindicato de Armadores y Pescadores Mares Profundo. Registro Sindical Unico 08.04.0179</v>
      </c>
      <c r="F95" s="51" t="s">
        <v>232</v>
      </c>
      <c r="G95" s="51" t="s">
        <v>233</v>
      </c>
      <c r="H95" s="51">
        <f>Anchoveta!F51</f>
        <v>68.117999999999995</v>
      </c>
      <c r="I95" s="11">
        <f>Anchoveta!G51</f>
        <v>-48.7</v>
      </c>
      <c r="J95" s="11">
        <f>Anchoveta!H51</f>
        <v>19.417999999999992</v>
      </c>
      <c r="K95" s="11">
        <f>Anchoveta!I51</f>
        <v>0</v>
      </c>
      <c r="L95" s="11">
        <f>Anchoveta!K51</f>
        <v>19.417999999999992</v>
      </c>
      <c r="M95" s="48">
        <f>Anchoveta!L51</f>
        <v>0.71493584661910226</v>
      </c>
      <c r="N95" s="246" t="str">
        <f>'IC Anch y SardC VIII'!O34</f>
        <v>-</v>
      </c>
      <c r="O95" s="34">
        <f>RESUMEN!$B$3</f>
        <v>44926</v>
      </c>
      <c r="P95" s="11">
        <v>2022</v>
      </c>
    </row>
    <row r="96" spans="1:16">
      <c r="A96" s="51" t="s">
        <v>228</v>
      </c>
      <c r="B96" s="51" t="s">
        <v>191</v>
      </c>
      <c r="C96" s="51" t="s">
        <v>250</v>
      </c>
      <c r="D96" s="51" t="s">
        <v>245</v>
      </c>
      <c r="E96" s="51" t="str">
        <f>Anchoveta!D52</f>
        <v>Sindicato de Pescadores Artesanales y Armadores Artesanales de la Octava Región "SPAADA SD". Registro Sindical Único 08.05.0339</v>
      </c>
      <c r="F96" s="51" t="s">
        <v>232</v>
      </c>
      <c r="G96" s="51" t="s">
        <v>233</v>
      </c>
      <c r="H96" s="51">
        <f>Anchoveta!F52</f>
        <v>3025.0970000000002</v>
      </c>
      <c r="I96" s="11">
        <f>Anchoveta!G52</f>
        <v>-90</v>
      </c>
      <c r="J96" s="11">
        <f>Anchoveta!H52</f>
        <v>2935.0970000000002</v>
      </c>
      <c r="K96" s="11">
        <f>Anchoveta!I52</f>
        <v>2905.8290141601565</v>
      </c>
      <c r="L96" s="11">
        <f>Anchoveta!K52</f>
        <v>29.267985839843732</v>
      </c>
      <c r="M96" s="48">
        <f>Anchoveta!L52</f>
        <v>0.99002827305542418</v>
      </c>
      <c r="N96" s="246" t="str">
        <f>'IC Anch y SardC VIII'!O35</f>
        <v>-</v>
      </c>
      <c r="O96" s="34">
        <f>RESUMEN!$B$3</f>
        <v>44926</v>
      </c>
      <c r="P96" s="11">
        <v>2022</v>
      </c>
    </row>
    <row r="97" spans="1:16">
      <c r="A97" s="51" t="s">
        <v>228</v>
      </c>
      <c r="B97" s="51" t="s">
        <v>191</v>
      </c>
      <c r="C97" s="51" t="s">
        <v>250</v>
      </c>
      <c r="D97" s="51" t="s">
        <v>245</v>
      </c>
      <c r="E97" s="51" t="str">
        <f>Anchoveta!D53</f>
        <v>Sindicato de Pescadores y Armadores Artesanales del Mar "SIPARMAR - Talcahuano". Registro Sindical Único 08.05.0399</v>
      </c>
      <c r="F97" s="51" t="s">
        <v>232</v>
      </c>
      <c r="G97" s="51" t="s">
        <v>233</v>
      </c>
      <c r="H97" s="51">
        <f>Anchoveta!F53</f>
        <v>2512.8119999999999</v>
      </c>
      <c r="I97" s="11">
        <f>Anchoveta!G53</f>
        <v>10</v>
      </c>
      <c r="J97" s="11">
        <f>Anchoveta!H53</f>
        <v>2522.8119999999999</v>
      </c>
      <c r="K97" s="11">
        <f>Anchoveta!I53</f>
        <v>2871.5939956054681</v>
      </c>
      <c r="L97" s="11">
        <f>Anchoveta!K53</f>
        <v>-348.78199560546818</v>
      </c>
      <c r="M97" s="48">
        <f>Anchoveta!L53</f>
        <v>1.1382512829356559</v>
      </c>
      <c r="N97" s="246" t="str">
        <f>'IC Anch y SardC VIII'!O36</f>
        <v>-</v>
      </c>
      <c r="O97" s="34">
        <f>RESUMEN!$B$3</f>
        <v>44926</v>
      </c>
      <c r="P97" s="11">
        <v>2022</v>
      </c>
    </row>
    <row r="98" spans="1:16" s="11" customFormat="1">
      <c r="A98" s="51" t="s">
        <v>228</v>
      </c>
      <c r="B98" s="51" t="s">
        <v>191</v>
      </c>
      <c r="C98" s="51" t="s">
        <v>250</v>
      </c>
      <c r="D98" s="51" t="s">
        <v>245</v>
      </c>
      <c r="E98" s="36" t="s">
        <v>318</v>
      </c>
      <c r="F98" s="51" t="s">
        <v>232</v>
      </c>
      <c r="G98" s="51" t="s">
        <v>233</v>
      </c>
      <c r="H98" s="51">
        <f>Anchoveta!F54</f>
        <v>320.64800000000002</v>
      </c>
      <c r="I98" s="11">
        <f>Anchoveta!G54</f>
        <v>-89</v>
      </c>
      <c r="J98" s="11">
        <f>Anchoveta!H54</f>
        <v>231.64800000000002</v>
      </c>
      <c r="K98" s="11">
        <f>Anchoveta!I54</f>
        <v>195.65600000250342</v>
      </c>
      <c r="L98" s="11">
        <f>Anchoveta!K54</f>
        <v>35.991999997496606</v>
      </c>
      <c r="M98" s="48">
        <f>Anchoveta!L54</f>
        <v>0.84462632961434325</v>
      </c>
      <c r="N98" s="246" t="str">
        <f>'IC Anch y SardC VIII'!O37</f>
        <v>-</v>
      </c>
      <c r="O98" s="34">
        <f>RESUMEN!$B$3</f>
        <v>44926</v>
      </c>
      <c r="P98" s="11">
        <v>2022</v>
      </c>
    </row>
    <row r="99" spans="1:16">
      <c r="A99" s="51" t="s">
        <v>228</v>
      </c>
      <c r="B99" s="51" t="s">
        <v>191</v>
      </c>
      <c r="C99" s="51" t="s">
        <v>250</v>
      </c>
      <c r="D99" s="51" t="s">
        <v>245</v>
      </c>
      <c r="E99" s="51" t="str">
        <f>Anchoveta!D55</f>
        <v>Sindicato de Trabajadores Independientes "Brisas del Mar". Registro Sindical Único 08.04.0115</v>
      </c>
      <c r="F99" s="51" t="s">
        <v>232</v>
      </c>
      <c r="G99" s="51" t="s">
        <v>233</v>
      </c>
      <c r="H99" s="51">
        <f>Anchoveta!F55</f>
        <v>1.2999999999999999E-2</v>
      </c>
      <c r="I99" s="11">
        <f>Anchoveta!G55</f>
        <v>0</v>
      </c>
      <c r="J99" s="11">
        <f>Anchoveta!H55</f>
        <v>1.2999999999999999E-2</v>
      </c>
      <c r="K99" s="11">
        <f>Anchoveta!I55</f>
        <v>0</v>
      </c>
      <c r="L99" s="11">
        <f>Anchoveta!K55</f>
        <v>1.2999999999999999E-2</v>
      </c>
      <c r="M99" s="48">
        <f>Anchoveta!L55</f>
        <v>0</v>
      </c>
      <c r="N99" s="246" t="str">
        <f>'IC Anch y SardC VIII'!O38</f>
        <v>-</v>
      </c>
      <c r="O99" s="34">
        <f>RESUMEN!$B$3</f>
        <v>44926</v>
      </c>
      <c r="P99" s="11">
        <v>2022</v>
      </c>
    </row>
    <row r="100" spans="1:16">
      <c r="A100" s="51" t="s">
        <v>228</v>
      </c>
      <c r="B100" s="51" t="s">
        <v>191</v>
      </c>
      <c r="C100" s="51" t="s">
        <v>250</v>
      </c>
      <c r="D100" s="51" t="s">
        <v>245</v>
      </c>
      <c r="E100" s="51" t="str">
        <f>Anchoveta!D56</f>
        <v>Sindicato de Trabajadores Independientes Armadores  y Pescadores Artesanales, Buzos Mariscadores, Algueros acuicultores y Actividades conexas de la Región del Bio Bio (BIO BIO PESCA), Registro Sindical Único 08.05.0555</v>
      </c>
      <c r="F100" s="51" t="s">
        <v>232</v>
      </c>
      <c r="G100" s="51" t="s">
        <v>233</v>
      </c>
      <c r="H100" s="51">
        <f>Anchoveta!F56</f>
        <v>414.065</v>
      </c>
      <c r="I100" s="11">
        <f>Anchoveta!G56</f>
        <v>-83.997999999999962</v>
      </c>
      <c r="J100" s="11">
        <f>Anchoveta!H56</f>
        <v>330.06700000000001</v>
      </c>
      <c r="K100" s="11">
        <f>Anchoveta!I56</f>
        <v>-2.9802293965985882E-9</v>
      </c>
      <c r="L100" s="11">
        <f>Anchoveta!K56</f>
        <v>330.06700000298025</v>
      </c>
      <c r="M100" s="48">
        <f>Anchoveta!L56</f>
        <v>-9.0291649774093997E-12</v>
      </c>
      <c r="N100" s="246" t="str">
        <f>'IC Anch y SardC VIII'!O39</f>
        <v>-</v>
      </c>
      <c r="O100" s="34">
        <f>RESUMEN!$B$3</f>
        <v>44926</v>
      </c>
      <c r="P100" s="11">
        <v>2022</v>
      </c>
    </row>
    <row r="101" spans="1:16">
      <c r="A101" s="51" t="s">
        <v>228</v>
      </c>
      <c r="B101" s="51" t="s">
        <v>191</v>
      </c>
      <c r="C101" s="51" t="s">
        <v>250</v>
      </c>
      <c r="D101" s="51" t="s">
        <v>245</v>
      </c>
      <c r="E101" s="51" t="str">
        <f>Anchoveta!D57</f>
        <v>Sindicato de Trabajadores Independientes Armadores Pescadores Artesanales, Algueros y Ramos Afines "MEDITERRANEO". Registro Sindical Único 08.05.0605</v>
      </c>
      <c r="F101" s="51" t="s">
        <v>232</v>
      </c>
      <c r="G101" s="51" t="s">
        <v>233</v>
      </c>
      <c r="H101" s="51">
        <f>Anchoveta!F57</f>
        <v>1316.085</v>
      </c>
      <c r="I101" s="11">
        <f>Anchoveta!G57</f>
        <v>0</v>
      </c>
      <c r="J101" s="11">
        <f>Anchoveta!H57</f>
        <v>1316.085</v>
      </c>
      <c r="K101" s="11">
        <f>Anchoveta!I57</f>
        <v>1190.6779993896487</v>
      </c>
      <c r="L101" s="11">
        <f>Anchoveta!K57</f>
        <v>125.40700061035136</v>
      </c>
      <c r="M101" s="48">
        <f>Anchoveta!L57</f>
        <v>0.90471208120269486</v>
      </c>
      <c r="N101" s="246" t="str">
        <f>'IC Anch y SardC VIII'!O40</f>
        <v>-</v>
      </c>
      <c r="O101" s="34">
        <f>RESUMEN!$B$3</f>
        <v>44926</v>
      </c>
      <c r="P101" s="11">
        <v>2022</v>
      </c>
    </row>
    <row r="102" spans="1:16">
      <c r="A102" s="51" t="s">
        <v>228</v>
      </c>
      <c r="B102" s="51" t="s">
        <v>191</v>
      </c>
      <c r="C102" s="51" t="s">
        <v>250</v>
      </c>
      <c r="D102" s="51" t="s">
        <v>245</v>
      </c>
      <c r="E102" s="51" t="str">
        <f>Anchoveta!D58</f>
        <v>Sindicato de Trabajadores Independientes Armadores Pescadores del Mar "SIARPEMAR". Registro Sindical Único 08.05.0459.</v>
      </c>
      <c r="F102" s="51" t="s">
        <v>232</v>
      </c>
      <c r="G102" s="51" t="s">
        <v>233</v>
      </c>
      <c r="H102" s="51">
        <f>Anchoveta!F58</f>
        <v>439.94099999999997</v>
      </c>
      <c r="I102" s="11">
        <f>Anchoveta!G58</f>
        <v>-155.89999999999998</v>
      </c>
      <c r="J102" s="11">
        <f>Anchoveta!H58</f>
        <v>284.041</v>
      </c>
      <c r="K102" s="11">
        <f>Anchoveta!I58</f>
        <v>250.851</v>
      </c>
      <c r="L102" s="11">
        <f>Anchoveta!K58</f>
        <v>33.19</v>
      </c>
      <c r="M102" s="48">
        <f>Anchoveta!L58</f>
        <v>0.88315067191004115</v>
      </c>
      <c r="N102" s="246" t="str">
        <f>'IC Anch y SardC VIII'!O41</f>
        <v>-</v>
      </c>
      <c r="O102" s="34">
        <f>RESUMEN!$B$3</f>
        <v>44926</v>
      </c>
      <c r="P102" s="11">
        <v>2022</v>
      </c>
    </row>
    <row r="103" spans="1:16">
      <c r="A103" s="51" t="s">
        <v>228</v>
      </c>
      <c r="B103" s="51" t="s">
        <v>191</v>
      </c>
      <c r="C103" s="51" t="s">
        <v>250</v>
      </c>
      <c r="D103" s="51" t="s">
        <v>245</v>
      </c>
      <c r="E103" s="51" t="str">
        <f>Anchoveta!D59</f>
        <v xml:space="preserve"> Sindicato de Trabajadores Independientes Armadores y Pescadores Artesanales y Ramos Afines  Caleta La Gloria comuna de Talcahuano, Registro Sindical Único 08.05.0603</v>
      </c>
      <c r="F103" s="51" t="s">
        <v>232</v>
      </c>
      <c r="G103" s="51" t="s">
        <v>233</v>
      </c>
      <c r="H103" s="51">
        <f>Anchoveta!F59</f>
        <v>2717.64</v>
      </c>
      <c r="I103" s="11">
        <f>Anchoveta!G59</f>
        <v>350</v>
      </c>
      <c r="J103" s="11">
        <f>Anchoveta!H59</f>
        <v>3067.64</v>
      </c>
      <c r="K103" s="11">
        <f>Anchoveta!I59</f>
        <v>1758.8630039062496</v>
      </c>
      <c r="L103" s="11">
        <f>Anchoveta!K59</f>
        <v>1308.7769960937503</v>
      </c>
      <c r="M103" s="48">
        <f>Anchoveta!L59</f>
        <v>0.57336030430762719</v>
      </c>
      <c r="N103" s="246" t="str">
        <f>'IC Anch y SardC VIII'!O42</f>
        <v>-</v>
      </c>
      <c r="O103" s="34">
        <f>RESUMEN!$B$3</f>
        <v>44926</v>
      </c>
      <c r="P103" s="11">
        <v>2022</v>
      </c>
    </row>
    <row r="104" spans="1:16">
      <c r="A104" s="51" t="s">
        <v>228</v>
      </c>
      <c r="B104" s="51" t="s">
        <v>191</v>
      </c>
      <c r="C104" s="51" t="s">
        <v>250</v>
      </c>
      <c r="D104" s="51" t="s">
        <v>245</v>
      </c>
      <c r="E104" s="51" t="str">
        <f>Anchoveta!D60</f>
        <v>Sindicato de Trabajadores Independientes Armadores y Pescadores y Ramos Afines de la Pesca Artesanal de la Caleta Lo Rojas "SITRAL", Registro Sindical Único 08.07.0322</v>
      </c>
      <c r="F104" s="51" t="s">
        <v>232</v>
      </c>
      <c r="G104" s="51" t="s">
        <v>233</v>
      </c>
      <c r="H104" s="51">
        <f>Anchoveta!F60</f>
        <v>909.21699999999998</v>
      </c>
      <c r="I104" s="11">
        <f>Anchoveta!G60</f>
        <v>-223</v>
      </c>
      <c r="J104" s="11">
        <f>Anchoveta!H60</f>
        <v>686.21699999999998</v>
      </c>
      <c r="K104" s="11">
        <f>Anchoveta!I60</f>
        <v>256.37000000033527</v>
      </c>
      <c r="L104" s="11">
        <f>Anchoveta!K60</f>
        <v>429.84699999966472</v>
      </c>
      <c r="M104" s="48">
        <f>Anchoveta!L60</f>
        <v>0.37359902188423671</v>
      </c>
      <c r="N104" s="246" t="str">
        <f>'IC Anch y SardC VIII'!O43</f>
        <v>-</v>
      </c>
      <c r="O104" s="34">
        <f>RESUMEN!$B$3</f>
        <v>44926</v>
      </c>
      <c r="P104" s="11">
        <v>2022</v>
      </c>
    </row>
    <row r="105" spans="1:16">
      <c r="A105" s="51" t="s">
        <v>228</v>
      </c>
      <c r="B105" s="51" t="s">
        <v>191</v>
      </c>
      <c r="C105" s="51" t="s">
        <v>250</v>
      </c>
      <c r="D105" s="51" t="s">
        <v>245</v>
      </c>
      <c r="E105" s="51" t="str">
        <f>Anchoveta!D61</f>
        <v>Sindicato de Trabajadores Independientes Armadores, Pescadores y Ramos Afines de la Pesca Artesanal de la Región del  Bio-Bio, "SARPAR BIO-BIO". Registro Sindical Único 08.05.0378</v>
      </c>
      <c r="F105" s="51" t="s">
        <v>232</v>
      </c>
      <c r="G105" s="51" t="s">
        <v>233</v>
      </c>
      <c r="H105" s="51">
        <f>Anchoveta!F61</f>
        <v>708.82600000000002</v>
      </c>
      <c r="I105" s="11">
        <f>Anchoveta!G61</f>
        <v>0</v>
      </c>
      <c r="J105" s="11">
        <f>Anchoveta!H61</f>
        <v>708.82600000000002</v>
      </c>
      <c r="K105" s="11">
        <f>Anchoveta!I61</f>
        <v>432.84099584007254</v>
      </c>
      <c r="L105" s="11">
        <f>Anchoveta!K61</f>
        <v>275.98500415992748</v>
      </c>
      <c r="M105" s="48">
        <f>Anchoveta!L61</f>
        <v>0.61064491968419965</v>
      </c>
      <c r="N105" s="246" t="str">
        <f>'IC Anch y SardC VIII'!O44</f>
        <v>-</v>
      </c>
      <c r="O105" s="34">
        <f>RESUMEN!$B$3</f>
        <v>44926</v>
      </c>
      <c r="P105" s="11">
        <v>2022</v>
      </c>
    </row>
    <row r="106" spans="1:16">
      <c r="A106" s="51" t="s">
        <v>228</v>
      </c>
      <c r="B106" s="51" t="s">
        <v>191</v>
      </c>
      <c r="C106" s="51" t="s">
        <v>250</v>
      </c>
      <c r="D106" s="51" t="s">
        <v>245</v>
      </c>
      <c r="E106" s="51" t="str">
        <f>Anchoveta!D62</f>
        <v>Sindicato de Trabajadores Independientes de Armadores y Pescadores Artesanales y Ramas afines, Registro Sindical Único 08.05.0512</v>
      </c>
      <c r="F106" s="51" t="s">
        <v>232</v>
      </c>
      <c r="G106" s="51" t="s">
        <v>233</v>
      </c>
      <c r="H106" s="51">
        <f>Anchoveta!F62</f>
        <v>2219.6729999999998</v>
      </c>
      <c r="I106" s="11">
        <f>Anchoveta!G62</f>
        <v>-770</v>
      </c>
      <c r="J106" s="11">
        <f>Anchoveta!H62</f>
        <v>1449.6729999999998</v>
      </c>
      <c r="K106" s="11">
        <f>Anchoveta!I62</f>
        <v>1616.8289946289067</v>
      </c>
      <c r="L106" s="11">
        <f>Anchoveta!K62</f>
        <v>-167.15599462890691</v>
      </c>
      <c r="M106" s="48">
        <f>Anchoveta!L62</f>
        <v>1.1153059997867842</v>
      </c>
      <c r="N106" s="246" t="str">
        <f>'IC Anch y SardC VIII'!O45</f>
        <v>-</v>
      </c>
      <c r="O106" s="34">
        <f>RESUMEN!$B$3</f>
        <v>44926</v>
      </c>
      <c r="P106" s="11">
        <v>2022</v>
      </c>
    </row>
    <row r="107" spans="1:16">
      <c r="A107" s="51" t="s">
        <v>228</v>
      </c>
      <c r="B107" s="51" t="s">
        <v>191</v>
      </c>
      <c r="C107" s="51" t="s">
        <v>250</v>
      </c>
      <c r="D107" s="51" t="s">
        <v>245</v>
      </c>
      <c r="E107" s="51" t="str">
        <f>Anchoveta!D63</f>
        <v>Sindicato de Trabajadores Independientes de la Pesca Artesanal de la Peninsula de Hualpen. Registro Sindical Único 08.05.0502</v>
      </c>
      <c r="F107" s="51" t="s">
        <v>232</v>
      </c>
      <c r="G107" s="51" t="s">
        <v>233</v>
      </c>
      <c r="H107" s="51">
        <f>Anchoveta!F63</f>
        <v>130.02799999999999</v>
      </c>
      <c r="I107" s="11">
        <f>Anchoveta!G63</f>
        <v>-126.5</v>
      </c>
      <c r="J107" s="11">
        <f>Anchoveta!H63</f>
        <v>3.5279999999999916</v>
      </c>
      <c r="K107" s="11">
        <f>Anchoveta!I63</f>
        <v>0</v>
      </c>
      <c r="L107" s="11">
        <f>Anchoveta!K63</f>
        <v>3.5279999999999916</v>
      </c>
      <c r="M107" s="48">
        <f>Anchoveta!L63</f>
        <v>0</v>
      </c>
      <c r="N107" s="246" t="str">
        <f>'IC Anch y SardC VIII'!O46</f>
        <v>-</v>
      </c>
      <c r="O107" s="34">
        <f>RESUMEN!$B$3</f>
        <v>44926</v>
      </c>
      <c r="P107" s="11">
        <v>2022</v>
      </c>
    </row>
    <row r="108" spans="1:16">
      <c r="A108" s="51" t="s">
        <v>228</v>
      </c>
      <c r="B108" s="51" t="s">
        <v>191</v>
      </c>
      <c r="C108" s="51" t="s">
        <v>250</v>
      </c>
      <c r="D108" s="51" t="s">
        <v>245</v>
      </c>
      <c r="E108" s="51" t="str">
        <f>Anchoveta!D64</f>
        <v>Sindicato de Trabajadores Independientes de la Pesca Artesanal, Armadores Artesanales Pelágicos Actividades Afines y Actividades Conexas de la Comuna de Talcahuano, "MAR AZUL".  Registro Sindical Único 08.05.0434</v>
      </c>
      <c r="F108" s="51" t="s">
        <v>232</v>
      </c>
      <c r="G108" s="51" t="s">
        <v>233</v>
      </c>
      <c r="H108" s="51">
        <f>Anchoveta!F64</f>
        <v>1022.3049999999999</v>
      </c>
      <c r="I108" s="11">
        <f>Anchoveta!G64</f>
        <v>0</v>
      </c>
      <c r="J108" s="11">
        <f>Anchoveta!H64</f>
        <v>1022.3049999999999</v>
      </c>
      <c r="K108" s="11">
        <f>Anchoveta!I64</f>
        <v>678.07799999999997</v>
      </c>
      <c r="L108" s="11">
        <f>Anchoveta!K64</f>
        <v>344.22699999999998</v>
      </c>
      <c r="M108" s="48">
        <f>Anchoveta!L64</f>
        <v>0.66328346237179703</v>
      </c>
      <c r="N108" s="246" t="str">
        <f>'IC Anch y SardC VIII'!O47</f>
        <v>-</v>
      </c>
      <c r="O108" s="34">
        <f>RESUMEN!$B$3</f>
        <v>44926</v>
      </c>
      <c r="P108" s="11">
        <v>2022</v>
      </c>
    </row>
    <row r="109" spans="1:16">
      <c r="A109" s="51" t="s">
        <v>228</v>
      </c>
      <c r="B109" s="51" t="s">
        <v>191</v>
      </c>
      <c r="C109" s="51" t="s">
        <v>250</v>
      </c>
      <c r="D109" s="51" t="s">
        <v>245</v>
      </c>
      <c r="E109" s="51" t="str">
        <f>Anchoveta!D65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109" s="51" t="s">
        <v>232</v>
      </c>
      <c r="G109" s="51" t="s">
        <v>233</v>
      </c>
      <c r="H109" s="51">
        <f>Anchoveta!F65</f>
        <v>2163.7629999999999</v>
      </c>
      <c r="I109" s="11">
        <f>Anchoveta!G65</f>
        <v>0</v>
      </c>
      <c r="J109" s="11">
        <f>Anchoveta!H65</f>
        <v>2163.7629999999999</v>
      </c>
      <c r="K109" s="11">
        <f>Anchoveta!I65</f>
        <v>2569.6070001583093</v>
      </c>
      <c r="L109" s="11">
        <f>Anchoveta!K65</f>
        <v>-405.84400015830943</v>
      </c>
      <c r="M109" s="48">
        <f>Anchoveta!L65</f>
        <v>1.1875639800469411</v>
      </c>
      <c r="N109" s="246" t="str">
        <f>'IC Anch y SardC VIII'!O48</f>
        <v>-</v>
      </c>
      <c r="O109" s="34">
        <f>RESUMEN!$B$3</f>
        <v>44926</v>
      </c>
      <c r="P109" s="11">
        <v>2022</v>
      </c>
    </row>
    <row r="110" spans="1:16">
      <c r="A110" s="51" t="s">
        <v>228</v>
      </c>
      <c r="B110" s="51" t="s">
        <v>191</v>
      </c>
      <c r="C110" s="51" t="s">
        <v>250</v>
      </c>
      <c r="D110" s="51" t="s">
        <v>245</v>
      </c>
      <c r="E110" s="51" t="str">
        <f>Anchoveta!D66</f>
        <v>Sindicato de Trabajadores Independientes de Pescadores Artesanales Caleta Lo Rojas "SITRAINPAR". Registro Sindical Único 08.07.0287.</v>
      </c>
      <c r="F110" s="51" t="s">
        <v>232</v>
      </c>
      <c r="G110" s="51" t="s">
        <v>233</v>
      </c>
      <c r="H110" s="51">
        <f>Anchoveta!F66</f>
        <v>1573.963</v>
      </c>
      <c r="I110" s="11">
        <f>Anchoveta!G66</f>
        <v>246</v>
      </c>
      <c r="J110" s="11">
        <f>Anchoveta!H66</f>
        <v>1819.963</v>
      </c>
      <c r="K110" s="11">
        <f>Anchoveta!I66</f>
        <v>2978.1219907226568</v>
      </c>
      <c r="L110" s="11">
        <f>Anchoveta!K66</f>
        <v>-1158.1589907226569</v>
      </c>
      <c r="M110" s="48">
        <f>Anchoveta!L66</f>
        <v>1.636364030874615</v>
      </c>
      <c r="N110" s="246" t="str">
        <f>'IC Anch y SardC VIII'!O49</f>
        <v>-</v>
      </c>
      <c r="O110" s="34">
        <f>RESUMEN!$B$3</f>
        <v>44926</v>
      </c>
      <c r="P110" s="11">
        <v>2022</v>
      </c>
    </row>
    <row r="111" spans="1:16">
      <c r="A111" s="51" t="s">
        <v>228</v>
      </c>
      <c r="B111" s="51" t="s">
        <v>191</v>
      </c>
      <c r="C111" s="51" t="s">
        <v>250</v>
      </c>
      <c r="D111" s="51" t="s">
        <v>245</v>
      </c>
      <c r="E111" s="51" t="str">
        <f>Anchoveta!D67</f>
        <v>Sindicato de Trabajadores Independientes de Pescadores Artesanales Lo Rojas y Caletas Anexas del Golfo de Arauco. Registro Sindical Único 08.07.0307</v>
      </c>
      <c r="F111" s="51" t="s">
        <v>232</v>
      </c>
      <c r="G111" s="51" t="s">
        <v>233</v>
      </c>
      <c r="H111" s="51">
        <f>Anchoveta!F67</f>
        <v>2666.9969999999998</v>
      </c>
      <c r="I111" s="11">
        <f>Anchoveta!G67</f>
        <v>-2646</v>
      </c>
      <c r="J111" s="11">
        <f>Anchoveta!H67</f>
        <v>20.996999999999844</v>
      </c>
      <c r="K111" s="11">
        <f>Anchoveta!I67</f>
        <v>18.512000000953673</v>
      </c>
      <c r="L111" s="11">
        <f>Anchoveta!K67</f>
        <v>2.4849999990461704</v>
      </c>
      <c r="M111" s="48">
        <f>Anchoveta!L67</f>
        <v>0.99212710025545592</v>
      </c>
      <c r="N111" s="246">
        <f>'IC Anch y SardC VIII'!O50</f>
        <v>44797</v>
      </c>
      <c r="O111" s="34">
        <f>RESUMEN!$B$3</f>
        <v>44926</v>
      </c>
      <c r="P111" s="11">
        <v>2022</v>
      </c>
    </row>
    <row r="112" spans="1:16">
      <c r="A112" s="51" t="s">
        <v>228</v>
      </c>
      <c r="B112" s="51" t="s">
        <v>191</v>
      </c>
      <c r="C112" s="51" t="s">
        <v>250</v>
      </c>
      <c r="D112" s="51" t="s">
        <v>245</v>
      </c>
      <c r="E112" s="51" t="str">
        <f>Anchoveta!D68</f>
        <v>Sindicato de Trabajadores Independientes de Pescadores Artesanales y Actividades Conexas Caleta de Pueblo Hundido, La Conchilla y El Morro - LOTA. Registro Sindical Único 08.07.0061</v>
      </c>
      <c r="F112" s="51" t="s">
        <v>232</v>
      </c>
      <c r="G112" s="51" t="s">
        <v>233</v>
      </c>
      <c r="H112" s="51">
        <f>Anchoveta!F68</f>
        <v>16.547999999999998</v>
      </c>
      <c r="I112" s="11">
        <f>Anchoveta!G68</f>
        <v>-11.8</v>
      </c>
      <c r="J112" s="11">
        <f>Anchoveta!H68</f>
        <v>4.7479999999999976</v>
      </c>
      <c r="K112" s="11">
        <f>Anchoveta!I68</f>
        <v>0</v>
      </c>
      <c r="L112" s="11">
        <f>Anchoveta!K68</f>
        <v>4.7479999999999976</v>
      </c>
      <c r="M112" s="48">
        <f>Anchoveta!L68</f>
        <v>0</v>
      </c>
      <c r="N112" s="246" t="str">
        <f>'IC Anch y SardC VIII'!O51</f>
        <v>-</v>
      </c>
      <c r="O112" s="34">
        <f>RESUMEN!$B$3</f>
        <v>44926</v>
      </c>
      <c r="P112" s="11">
        <v>2022</v>
      </c>
    </row>
    <row r="113" spans="1:16">
      <c r="A113" s="51" t="s">
        <v>228</v>
      </c>
      <c r="B113" s="51" t="s">
        <v>191</v>
      </c>
      <c r="C113" s="51" t="s">
        <v>250</v>
      </c>
      <c r="D113" s="51" t="s">
        <v>245</v>
      </c>
      <c r="E113" s="51" t="str">
        <f>Anchoveta!D69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113" s="51" t="s">
        <v>232</v>
      </c>
      <c r="G113" s="51" t="s">
        <v>233</v>
      </c>
      <c r="H113" s="51">
        <f>Anchoveta!F69</f>
        <v>3169.567</v>
      </c>
      <c r="I113" s="11">
        <f>Anchoveta!G69</f>
        <v>-194.41</v>
      </c>
      <c r="J113" s="11">
        <f>Anchoveta!H69</f>
        <v>2975.1570000000002</v>
      </c>
      <c r="K113" s="11">
        <f>Anchoveta!I69</f>
        <v>4307.3889999999992</v>
      </c>
      <c r="L113" s="11">
        <f>Anchoveta!K69</f>
        <v>-1332.2319999999991</v>
      </c>
      <c r="M113" s="48">
        <f>Anchoveta!L69</f>
        <v>1.4477854446000662</v>
      </c>
      <c r="N113" s="246" t="str">
        <f>'IC Anch y SardC VIII'!O52</f>
        <v>-</v>
      </c>
      <c r="O113" s="34">
        <f>RESUMEN!$B$3</f>
        <v>44926</v>
      </c>
      <c r="P113" s="11">
        <v>2022</v>
      </c>
    </row>
    <row r="114" spans="1:16">
      <c r="A114" s="51" t="s">
        <v>228</v>
      </c>
      <c r="B114" s="51" t="s">
        <v>191</v>
      </c>
      <c r="C114" s="51" t="s">
        <v>250</v>
      </c>
      <c r="D114" s="51" t="s">
        <v>245</v>
      </c>
      <c r="E114" s="51" t="str">
        <f>Anchoveta!D70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114" s="51" t="s">
        <v>232</v>
      </c>
      <c r="G114" s="51" t="s">
        <v>233</v>
      </c>
      <c r="H114" s="51">
        <f>Anchoveta!F70</f>
        <v>285.43</v>
      </c>
      <c r="I114" s="11">
        <f>Anchoveta!G70</f>
        <v>-204</v>
      </c>
      <c r="J114" s="11">
        <f>Anchoveta!H70</f>
        <v>81.430000000000007</v>
      </c>
      <c r="K114" s="11">
        <f>Anchoveta!I70</f>
        <v>0</v>
      </c>
      <c r="L114" s="11">
        <f>Anchoveta!K70</f>
        <v>81.430000000000007</v>
      </c>
      <c r="M114" s="48">
        <f>Anchoveta!L70</f>
        <v>0</v>
      </c>
      <c r="N114" s="246" t="str">
        <f>'IC Anch y SardC VIII'!O53</f>
        <v>-</v>
      </c>
      <c r="O114" s="34">
        <f>RESUMEN!$B$3</f>
        <v>44926</v>
      </c>
      <c r="P114" s="11">
        <v>2022</v>
      </c>
    </row>
    <row r="115" spans="1:16">
      <c r="A115" s="51" t="s">
        <v>228</v>
      </c>
      <c r="B115" s="51" t="s">
        <v>191</v>
      </c>
      <c r="C115" s="51" t="s">
        <v>250</v>
      </c>
      <c r="D115" s="51" t="s">
        <v>245</v>
      </c>
      <c r="E115" s="51" t="str">
        <f>Anchoveta!D71</f>
        <v>Sindicato de Trabajadores Independientes Pescadores Armadores y Ramos Afines de la Pesca Artesanal, APAT, Registro Sindical Único 08.05.0380</v>
      </c>
      <c r="F115" s="51" t="s">
        <v>232</v>
      </c>
      <c r="G115" s="51" t="s">
        <v>233</v>
      </c>
      <c r="H115" s="51">
        <f>Anchoveta!F71</f>
        <v>1298.5530000000001</v>
      </c>
      <c r="I115" s="11">
        <f>Anchoveta!G71</f>
        <v>-250</v>
      </c>
      <c r="J115" s="11">
        <f>Anchoveta!H71</f>
        <v>1048.5530000000001</v>
      </c>
      <c r="K115" s="11">
        <f>Anchoveta!I71</f>
        <v>767.34500878906238</v>
      </c>
      <c r="L115" s="11">
        <f>Anchoveta!K71</f>
        <v>281.20799121093773</v>
      </c>
      <c r="M115" s="48">
        <f>Anchoveta!L71</f>
        <v>0.73181327866980717</v>
      </c>
      <c r="N115" s="246" t="str">
        <f>'IC Anch y SardC VIII'!O54</f>
        <v>-</v>
      </c>
      <c r="O115" s="34">
        <f>RESUMEN!$B$3</f>
        <v>44926</v>
      </c>
      <c r="P115" s="11">
        <v>2022</v>
      </c>
    </row>
    <row r="116" spans="1:16">
      <c r="A116" s="51" t="s">
        <v>228</v>
      </c>
      <c r="B116" s="51" t="s">
        <v>191</v>
      </c>
      <c r="C116" s="51" t="s">
        <v>250</v>
      </c>
      <c r="D116" s="51" t="s">
        <v>245</v>
      </c>
      <c r="E116" s="51" t="str">
        <f>Anchoveta!D72</f>
        <v>Sindicato de Trabajadores Independientes Pescadores Artesanales de Caleta Tumbes - Talcahuano, Registro Sindical Único 08.05.0057</v>
      </c>
      <c r="F116" s="51" t="s">
        <v>232</v>
      </c>
      <c r="G116" s="51" t="s">
        <v>233</v>
      </c>
      <c r="H116" s="51">
        <f>Anchoveta!F72</f>
        <v>4386.3140000000003</v>
      </c>
      <c r="I116" s="11">
        <f>Anchoveta!G72</f>
        <v>-184</v>
      </c>
      <c r="J116" s="11">
        <f>Anchoveta!H72</f>
        <v>4202.3140000000003</v>
      </c>
      <c r="K116" s="11">
        <f>Anchoveta!I72</f>
        <v>3779.2060000000006</v>
      </c>
      <c r="L116" s="11">
        <f>Anchoveta!K72</f>
        <v>423.10799999999972</v>
      </c>
      <c r="M116" s="48">
        <f>Anchoveta!L72</f>
        <v>0.89931547238021725</v>
      </c>
      <c r="N116" s="246" t="str">
        <f>'IC Anch y SardC VIII'!O55</f>
        <v>-</v>
      </c>
      <c r="O116" s="34">
        <f>RESUMEN!$B$3</f>
        <v>44926</v>
      </c>
      <c r="P116" s="11">
        <v>2022</v>
      </c>
    </row>
    <row r="117" spans="1:16">
      <c r="A117" s="51" t="s">
        <v>228</v>
      </c>
      <c r="B117" s="51" t="s">
        <v>191</v>
      </c>
      <c r="C117" s="51" t="s">
        <v>250</v>
      </c>
      <c r="D117" s="51" t="s">
        <v>245</v>
      </c>
      <c r="E117" s="51" t="str">
        <f>Anchoveta!D73</f>
        <v>Sindicato de Trabajadores Independientes Pescadores Artesanales Históricos de Talcahuano, "SPARHITAL". Registro Sindical Único 08.05.0382</v>
      </c>
      <c r="F117" s="51" t="s">
        <v>232</v>
      </c>
      <c r="G117" s="51" t="s">
        <v>233</v>
      </c>
      <c r="H117" s="51">
        <f>Anchoveta!F73</f>
        <v>1343.4090000000001</v>
      </c>
      <c r="I117" s="11">
        <f>Anchoveta!G73</f>
        <v>-929</v>
      </c>
      <c r="J117" s="11">
        <f>Anchoveta!H73</f>
        <v>414.40900000000011</v>
      </c>
      <c r="K117" s="11">
        <f>Anchoveta!I73</f>
        <v>406.19999707031252</v>
      </c>
      <c r="L117" s="11">
        <f>Anchoveta!K73</f>
        <v>8.2090029296875855</v>
      </c>
      <c r="M117" s="48">
        <f>Anchoveta!L73</f>
        <v>0.9801910602093884</v>
      </c>
      <c r="N117" s="246" t="str">
        <f>'IC Anch y SardC VIII'!O56</f>
        <v>-</v>
      </c>
      <c r="O117" s="34">
        <f>RESUMEN!$B$3</f>
        <v>44926</v>
      </c>
      <c r="P117" s="11">
        <v>2022</v>
      </c>
    </row>
    <row r="118" spans="1:16">
      <c r="A118" s="51" t="s">
        <v>228</v>
      </c>
      <c r="B118" s="51" t="s">
        <v>191</v>
      </c>
      <c r="C118" s="51" t="s">
        <v>250</v>
      </c>
      <c r="D118" s="51" t="s">
        <v>245</v>
      </c>
      <c r="E118" s="51" t="str">
        <f>Anchoveta!D74</f>
        <v>Sindicato de Trabajadores Independientes Pescadores Artesanales Península de Tumbes, Registro Sindical Único 08.05.0391</v>
      </c>
      <c r="F118" s="51" t="s">
        <v>232</v>
      </c>
      <c r="G118" s="51" t="s">
        <v>233</v>
      </c>
      <c r="H118" s="51">
        <f>Anchoveta!F74</f>
        <v>2198.105</v>
      </c>
      <c r="I118" s="11">
        <f>Anchoveta!G74</f>
        <v>10</v>
      </c>
      <c r="J118" s="11">
        <f>Anchoveta!H74</f>
        <v>2208.105</v>
      </c>
      <c r="K118" s="11">
        <f>Anchoveta!I74</f>
        <v>2593.395</v>
      </c>
      <c r="L118" s="11">
        <f>Anchoveta!K74</f>
        <v>-385.42200000000003</v>
      </c>
      <c r="M118" s="48">
        <f>Anchoveta!L74</f>
        <v>1.174488984898816</v>
      </c>
      <c r="N118" s="246" t="str">
        <f>'IC Anch y SardC VIII'!O57</f>
        <v>-</v>
      </c>
      <c r="O118" s="34">
        <f>RESUMEN!$B$3</f>
        <v>44926</v>
      </c>
      <c r="P118" s="11">
        <v>2022</v>
      </c>
    </row>
    <row r="119" spans="1:16">
      <c r="A119" s="51" t="s">
        <v>228</v>
      </c>
      <c r="B119" s="51" t="s">
        <v>191</v>
      </c>
      <c r="C119" s="51" t="s">
        <v>250</v>
      </c>
      <c r="D119" s="51" t="s">
        <v>245</v>
      </c>
      <c r="E119" s="51" t="str">
        <f>Anchoveta!D75</f>
        <v>Sindicato de Trabajadores Independientes Pescadores Artesanales, Armadores y Actividades Conexas de la Caleta Coliumo, Registro Sindical Único 08.06.0150</v>
      </c>
      <c r="F119" s="51" t="s">
        <v>232</v>
      </c>
      <c r="G119" s="51" t="s">
        <v>233</v>
      </c>
      <c r="H119" s="51">
        <f>Anchoveta!F75</f>
        <v>4927.8760000000002</v>
      </c>
      <c r="I119" s="11">
        <f>Anchoveta!G75</f>
        <v>514</v>
      </c>
      <c r="J119" s="11">
        <f>Anchoveta!H75</f>
        <v>5441.8760000000002</v>
      </c>
      <c r="K119" s="11">
        <f>Anchoveta!I75</f>
        <v>6265.0280398407031</v>
      </c>
      <c r="L119" s="11">
        <f>Anchoveta!K75</f>
        <v>-823.34903984070297</v>
      </c>
      <c r="M119" s="48">
        <f>Anchoveta!L75</f>
        <v>1.1512625498707987</v>
      </c>
      <c r="N119" s="246" t="str">
        <f>'IC Anch y SardC VIII'!O58</f>
        <v>-</v>
      </c>
      <c r="O119" s="34">
        <f>RESUMEN!$B$3</f>
        <v>44926</v>
      </c>
      <c r="P119" s="11">
        <v>2022</v>
      </c>
    </row>
    <row r="120" spans="1:16">
      <c r="A120" s="51" t="s">
        <v>228</v>
      </c>
      <c r="B120" s="51" t="s">
        <v>191</v>
      </c>
      <c r="C120" s="51" t="s">
        <v>250</v>
      </c>
      <c r="D120" s="51" t="s">
        <v>245</v>
      </c>
      <c r="E120" s="51" t="str">
        <f>Anchoveta!D76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120" s="51" t="s">
        <v>232</v>
      </c>
      <c r="G120" s="51" t="s">
        <v>233</v>
      </c>
      <c r="H120" s="51">
        <f>Anchoveta!F76</f>
        <v>209.81700000000001</v>
      </c>
      <c r="I120" s="11">
        <f>Anchoveta!G76</f>
        <v>-204.5</v>
      </c>
      <c r="J120" s="11">
        <f>Anchoveta!H76</f>
        <v>5.3170000000000073</v>
      </c>
      <c r="K120" s="11">
        <f>Anchoveta!I76</f>
        <v>0</v>
      </c>
      <c r="L120" s="11">
        <f>Anchoveta!K76</f>
        <v>5.3170000000000073</v>
      </c>
      <c r="M120" s="48">
        <f>Anchoveta!L76</f>
        <v>0</v>
      </c>
      <c r="N120" s="246" t="str">
        <f>'IC Anch y SardC VIII'!O59</f>
        <v>-</v>
      </c>
      <c r="O120" s="34">
        <f>RESUMEN!$B$3</f>
        <v>44926</v>
      </c>
      <c r="P120" s="11">
        <v>2022</v>
      </c>
    </row>
    <row r="121" spans="1:16">
      <c r="A121" s="51" t="s">
        <v>228</v>
      </c>
      <c r="B121" s="51" t="s">
        <v>191</v>
      </c>
      <c r="C121" s="51" t="s">
        <v>250</v>
      </c>
      <c r="D121" s="51" t="s">
        <v>245</v>
      </c>
      <c r="E121" s="51" t="str">
        <f>Anchoveta!D77</f>
        <v>Sindicato de Trabajadores Independientes Pescadores Artesanales, Buzos Mariscadores, Armadores Artesanales y Actividades Conexas de Coronel y del Golfo de Arauco VIII Region "SIPARBUMAR CORONEL". Registro Sindical Único 08.07.0183</v>
      </c>
      <c r="F121" s="51" t="s">
        <v>232</v>
      </c>
      <c r="G121" s="51" t="s">
        <v>233</v>
      </c>
      <c r="H121" s="51">
        <f>Anchoveta!F77</f>
        <v>5804.5649999999996</v>
      </c>
      <c r="I121" s="11">
        <f>Anchoveta!G77</f>
        <v>3376.3700000000003</v>
      </c>
      <c r="J121" s="11">
        <f>Anchoveta!H77</f>
        <v>9180.9349999999995</v>
      </c>
      <c r="K121" s="11">
        <f>Anchoveta!I77</f>
        <v>4726.2368936762814</v>
      </c>
      <c r="L121" s="11">
        <f>Anchoveta!K77</f>
        <v>4453.0631063237179</v>
      </c>
      <c r="M121" s="48">
        <f>Anchoveta!L77</f>
        <v>0.51478818809590543</v>
      </c>
      <c r="N121" s="246" t="str">
        <f>'IC Anch y SardC VIII'!O60</f>
        <v>-</v>
      </c>
      <c r="O121" s="34">
        <f>RESUMEN!$B$3</f>
        <v>44926</v>
      </c>
      <c r="P121" s="11">
        <v>2022</v>
      </c>
    </row>
    <row r="122" spans="1:16">
      <c r="A122" s="51" t="s">
        <v>228</v>
      </c>
      <c r="B122" s="51" t="s">
        <v>191</v>
      </c>
      <c r="C122" s="51" t="s">
        <v>250</v>
      </c>
      <c r="D122" s="51" t="s">
        <v>245</v>
      </c>
      <c r="E122" s="51" t="str">
        <f>Anchoveta!D78</f>
        <v>Sindicato de Trabajadores Independientes Pescadores Artesanales, Lancheros, Acuicultores y Actividades Conexas de Caleta Lota Bajo "SIPESCA", Registro Sindical Único 08.07.0106</v>
      </c>
      <c r="F122" s="51" t="s">
        <v>232</v>
      </c>
      <c r="G122" s="51" t="s">
        <v>233</v>
      </c>
      <c r="H122" s="51">
        <f>Anchoveta!F78</f>
        <v>63.822000000000003</v>
      </c>
      <c r="I122" s="11">
        <f>Anchoveta!G78</f>
        <v>-17</v>
      </c>
      <c r="J122" s="11">
        <f>Anchoveta!H78</f>
        <v>46.822000000000003</v>
      </c>
      <c r="K122" s="11">
        <f>Anchoveta!I78</f>
        <v>15.278999999783933</v>
      </c>
      <c r="L122" s="11">
        <f>Anchoveta!K78</f>
        <v>31.543000000216068</v>
      </c>
      <c r="M122" s="48">
        <f>Anchoveta!L78</f>
        <v>0.32632096022775475</v>
      </c>
      <c r="N122" s="246" t="str">
        <f>'IC Anch y SardC VIII'!O61</f>
        <v>-</v>
      </c>
      <c r="O122" s="34">
        <f>RESUMEN!$B$3</f>
        <v>44926</v>
      </c>
      <c r="P122" s="11">
        <v>2022</v>
      </c>
    </row>
    <row r="123" spans="1:16">
      <c r="A123" s="51" t="s">
        <v>228</v>
      </c>
      <c r="B123" s="51" t="s">
        <v>191</v>
      </c>
      <c r="C123" s="51" t="s">
        <v>250</v>
      </c>
      <c r="D123" s="51" t="s">
        <v>245</v>
      </c>
      <c r="E123" s="51" t="str">
        <f>Anchoveta!D79</f>
        <v>Sindicato de Trabajadores Independientes Pescadores de la Caleta Cocholgüe, Registro Sindical Único 08.06.0023</v>
      </c>
      <c r="F123" s="51" t="s">
        <v>232</v>
      </c>
      <c r="G123" s="51" t="s">
        <v>233</v>
      </c>
      <c r="H123" s="51">
        <f>Anchoveta!F79</f>
        <v>1.9970000000000001</v>
      </c>
      <c r="I123" s="11">
        <f>Anchoveta!G79</f>
        <v>-1.4</v>
      </c>
      <c r="J123" s="11">
        <f>Anchoveta!H79</f>
        <v>0.5970000000000002</v>
      </c>
      <c r="K123" s="11">
        <f>Anchoveta!I79</f>
        <v>0</v>
      </c>
      <c r="L123" s="11">
        <f>Anchoveta!K79</f>
        <v>0.5970000000000002</v>
      </c>
      <c r="M123" s="48">
        <f>Anchoveta!L79</f>
        <v>0.70105157736604895</v>
      </c>
      <c r="N123" s="246" t="str">
        <f>'IC Anch y SardC VIII'!O62</f>
        <v>-</v>
      </c>
      <c r="O123" s="34">
        <f>RESUMEN!$B$3</f>
        <v>44926</v>
      </c>
      <c r="P123" s="11">
        <v>2022</v>
      </c>
    </row>
    <row r="124" spans="1:16">
      <c r="A124" s="51" t="s">
        <v>228</v>
      </c>
      <c r="B124" s="51" t="s">
        <v>191</v>
      </c>
      <c r="C124" s="51" t="s">
        <v>250</v>
      </c>
      <c r="D124" s="51" t="s">
        <v>245</v>
      </c>
      <c r="E124" s="51" t="str">
        <f>Anchoveta!D80</f>
        <v>Sindicato de Trabajadores Independientes Pescadores de la Caleta Coliumo, Registro Sindical Único 08.06.0027</v>
      </c>
      <c r="F124" s="51" t="s">
        <v>232</v>
      </c>
      <c r="G124" s="51" t="s">
        <v>233</v>
      </c>
      <c r="H124" s="51">
        <f>Anchoveta!F80</f>
        <v>6543.5219999999999</v>
      </c>
      <c r="I124" s="11">
        <f>Anchoveta!G80</f>
        <v>0</v>
      </c>
      <c r="J124" s="11">
        <f>Anchoveta!H80</f>
        <v>6543.5219999999999</v>
      </c>
      <c r="K124" s="11">
        <f>Anchoveta!I80</f>
        <v>9825.7539806547156</v>
      </c>
      <c r="L124" s="11">
        <f>Anchoveta!K80</f>
        <v>-3282.2319806547157</v>
      </c>
      <c r="M124" s="48">
        <f>Anchoveta!L80</f>
        <v>1.5016002056162898</v>
      </c>
      <c r="N124" s="246" t="str">
        <f>'IC Anch y SardC VIII'!O63</f>
        <v>-</v>
      </c>
      <c r="O124" s="34">
        <f>RESUMEN!$B$3</f>
        <v>44926</v>
      </c>
      <c r="P124" s="11">
        <v>2022</v>
      </c>
    </row>
    <row r="125" spans="1:16">
      <c r="A125" s="51" t="s">
        <v>228</v>
      </c>
      <c r="B125" s="51" t="s">
        <v>191</v>
      </c>
      <c r="C125" s="51" t="s">
        <v>250</v>
      </c>
      <c r="D125" s="51" t="s">
        <v>245</v>
      </c>
      <c r="E125" s="51" t="str">
        <f>Anchoveta!D81</f>
        <v>Sindicato de Trabajadores Independientes Pescadores,  Armadores y  Buzos Mariscadores  y Actividades conexas de Talcahuano "SIPARBUM". Registro Sindical Único 08.05.0424</v>
      </c>
      <c r="F125" s="51" t="s">
        <v>232</v>
      </c>
      <c r="G125" s="51" t="s">
        <v>233</v>
      </c>
      <c r="H125" s="51">
        <f>Anchoveta!F81</f>
        <v>581.15800000000002</v>
      </c>
      <c r="I125" s="11">
        <f>Anchoveta!G81</f>
        <v>-137.40799999999999</v>
      </c>
      <c r="J125" s="11">
        <f>Anchoveta!H81</f>
        <v>443.75</v>
      </c>
      <c r="K125" s="11">
        <f>Anchoveta!I81</f>
        <v>419.49200012207029</v>
      </c>
      <c r="L125" s="11">
        <f>Anchoveta!K81</f>
        <v>24.257999877929706</v>
      </c>
      <c r="M125" s="48">
        <f>Anchoveta!L81</f>
        <v>0.94533408478213021</v>
      </c>
      <c r="N125" s="246" t="str">
        <f>'IC Anch y SardC VIII'!O64</f>
        <v>-</v>
      </c>
      <c r="O125" s="34">
        <f>RESUMEN!$B$3</f>
        <v>44926</v>
      </c>
      <c r="P125" s="11">
        <v>2022</v>
      </c>
    </row>
    <row r="126" spans="1:16">
      <c r="A126" s="51" t="s">
        <v>228</v>
      </c>
      <c r="B126" s="51" t="s">
        <v>191</v>
      </c>
      <c r="C126" s="51" t="s">
        <v>250</v>
      </c>
      <c r="D126" s="51" t="s">
        <v>245</v>
      </c>
      <c r="E126" s="51" t="str">
        <f>Anchoveta!D82</f>
        <v>Sindicato de Trabajadores Independientes Pescadores, Armadores  y ramas afines de la Pesca Artesanal "JUANOVOAARCE-LOTA" Registro Sindical Unico 08.07.0485</v>
      </c>
      <c r="F126" s="51" t="s">
        <v>232</v>
      </c>
      <c r="G126" s="51" t="s">
        <v>233</v>
      </c>
      <c r="H126" s="51">
        <f>Anchoveta!F82</f>
        <v>509.08600000000001</v>
      </c>
      <c r="I126" s="11">
        <f>Anchoveta!G82</f>
        <v>-150</v>
      </c>
      <c r="J126" s="11">
        <f>Anchoveta!H82</f>
        <v>359.08600000000001</v>
      </c>
      <c r="K126" s="11">
        <f>Anchoveta!I82</f>
        <v>102.25400646967429</v>
      </c>
      <c r="L126" s="11">
        <f>Anchoveta!K82</f>
        <v>256.83199353032569</v>
      </c>
      <c r="M126" s="48">
        <f>Anchoveta!L82</f>
        <v>0.28476188564765625</v>
      </c>
      <c r="N126" s="246" t="str">
        <f>'IC Anch y SardC VIII'!O65</f>
        <v>-</v>
      </c>
      <c r="O126" s="34">
        <f>RESUMEN!$B$3</f>
        <v>44926</v>
      </c>
      <c r="P126" s="11">
        <v>2022</v>
      </c>
    </row>
    <row r="127" spans="1:16" s="11" customFormat="1">
      <c r="A127" s="51" t="s">
        <v>228</v>
      </c>
      <c r="B127" s="51" t="s">
        <v>191</v>
      </c>
      <c r="C127" s="51" t="s">
        <v>250</v>
      </c>
      <c r="D127" s="51" t="s">
        <v>245</v>
      </c>
      <c r="E127" s="36" t="s">
        <v>319</v>
      </c>
      <c r="F127" s="51" t="s">
        <v>232</v>
      </c>
      <c r="G127" s="51" t="s">
        <v>233</v>
      </c>
      <c r="H127" s="51">
        <f>Anchoveta!F83</f>
        <v>1284.3679999999999</v>
      </c>
      <c r="I127" s="11">
        <f>Anchoveta!G83</f>
        <v>-100</v>
      </c>
      <c r="J127" s="11">
        <f>Anchoveta!H83</f>
        <v>1184.3679999999999</v>
      </c>
      <c r="K127" s="11">
        <f>Anchoveta!I83</f>
        <v>1111.941</v>
      </c>
      <c r="L127" s="11">
        <f>Anchoveta!K83</f>
        <v>72.426999999999907</v>
      </c>
      <c r="M127" s="48">
        <f>Anchoveta!L83</f>
        <v>0.93884755413857868</v>
      </c>
      <c r="N127" s="246" t="str">
        <f>'IC Anch y SardC VIII'!O66</f>
        <v>-</v>
      </c>
      <c r="O127" s="34">
        <f>RESUMEN!$B$3</f>
        <v>44926</v>
      </c>
      <c r="P127" s="11">
        <v>2022</v>
      </c>
    </row>
    <row r="128" spans="1:16">
      <c r="A128" s="51" t="s">
        <v>228</v>
      </c>
      <c r="B128" s="51" t="s">
        <v>191</v>
      </c>
      <c r="C128" s="51" t="s">
        <v>250</v>
      </c>
      <c r="D128" s="51" t="s">
        <v>245</v>
      </c>
      <c r="E128" s="51" t="str">
        <f>Anchoveta!D84</f>
        <v>Sindicato de Trabajadores Independientes Pescadores, Armadores Artesanales, Buzos, Acuicultores y Ramos Afines de la Pesca Artesanal, Comuna de Talcahuano "SIPEARTAL". Registro Sindical Único 08.05.0487.</v>
      </c>
      <c r="F128" s="51" t="s">
        <v>232</v>
      </c>
      <c r="G128" s="51" t="s">
        <v>233</v>
      </c>
      <c r="H128" s="51">
        <f>Anchoveta!F84</f>
        <v>2068.3960000000002</v>
      </c>
      <c r="I128" s="11">
        <f>Anchoveta!G84</f>
        <v>-156.80000000000001</v>
      </c>
      <c r="J128" s="11">
        <f>Anchoveta!H84</f>
        <v>1911.5960000000002</v>
      </c>
      <c r="K128" s="11">
        <f>Anchoveta!I84</f>
        <v>1943.500997558594</v>
      </c>
      <c r="L128" s="11">
        <f>Anchoveta!K84</f>
        <v>-31.904997558593777</v>
      </c>
      <c r="M128" s="48">
        <f>Anchoveta!L84</f>
        <v>1.0166902408032836</v>
      </c>
      <c r="N128" s="246" t="str">
        <f>'IC Anch y SardC VIII'!O67</f>
        <v>-</v>
      </c>
      <c r="O128" s="34">
        <f>RESUMEN!$B$3</f>
        <v>44926</v>
      </c>
      <c r="P128" s="11">
        <v>2022</v>
      </c>
    </row>
    <row r="129" spans="1:16">
      <c r="A129" s="51" t="s">
        <v>228</v>
      </c>
      <c r="B129" s="51" t="s">
        <v>191</v>
      </c>
      <c r="C129" s="51" t="s">
        <v>250</v>
      </c>
      <c r="D129" s="51" t="s">
        <v>245</v>
      </c>
      <c r="E129" s="51" t="str">
        <f>Anchoveta!D85</f>
        <v>Sindicato de Trabajadores Independientes Pescadores, Armadores y Ramas Afines de la Pesca Artesanal de Coronel "SIPESMAFESA". Registro Sindical Único 08.07.0332</v>
      </c>
      <c r="F129" s="51" t="s">
        <v>232</v>
      </c>
      <c r="G129" s="51" t="s">
        <v>233</v>
      </c>
      <c r="H129" s="51">
        <f>Anchoveta!F85</f>
        <v>2734.1909999999998</v>
      </c>
      <c r="I129" s="11">
        <f>Anchoveta!G85</f>
        <v>-120</v>
      </c>
      <c r="J129" s="11">
        <f>Anchoveta!H85</f>
        <v>2614.1909999999998</v>
      </c>
      <c r="K129" s="11">
        <f>Anchoveta!I85</f>
        <v>2394.4619919433594</v>
      </c>
      <c r="L129" s="11">
        <f>Anchoveta!K85</f>
        <v>219.7290080566404</v>
      </c>
      <c r="M129" s="48">
        <f>Anchoveta!L85</f>
        <v>0.9159476074790861</v>
      </c>
      <c r="N129" s="246" t="str">
        <f>'IC Anch y SardC VIII'!O68</f>
        <v>-</v>
      </c>
      <c r="O129" s="34">
        <f>RESUMEN!$B$3</f>
        <v>44926</v>
      </c>
      <c r="P129" s="11">
        <v>2022</v>
      </c>
    </row>
    <row r="130" spans="1:16">
      <c r="A130" s="51" t="s">
        <v>228</v>
      </c>
      <c r="B130" s="51" t="s">
        <v>191</v>
      </c>
      <c r="C130" s="51" t="s">
        <v>250</v>
      </c>
      <c r="D130" s="51" t="s">
        <v>245</v>
      </c>
      <c r="E130" s="51" t="str">
        <f>Anchoveta!D86</f>
        <v>Sindicato de Trabajadores Independientes Pescadores, Armadores y Ramos Afines "SIPEAYRAS" de Lota. Registro Sindical Único 08.07.0296</v>
      </c>
      <c r="F130" s="51" t="s">
        <v>232</v>
      </c>
      <c r="G130" s="51" t="s">
        <v>233</v>
      </c>
      <c r="H130" s="51">
        <f>Anchoveta!F86</f>
        <v>760.93200000000002</v>
      </c>
      <c r="I130" s="11">
        <f>Anchoveta!G86</f>
        <v>0</v>
      </c>
      <c r="J130" s="11">
        <f>Anchoveta!H86</f>
        <v>760.93200000000002</v>
      </c>
      <c r="K130" s="11">
        <f>Anchoveta!I86</f>
        <v>631.28299751281747</v>
      </c>
      <c r="L130" s="11">
        <f>Anchoveta!K86</f>
        <v>129.64900248718254</v>
      </c>
      <c r="M130" s="48">
        <f>Anchoveta!L86</f>
        <v>0.82961814920757371</v>
      </c>
      <c r="N130" s="246" t="str">
        <f>'IC Anch y SardC VIII'!O69</f>
        <v>-</v>
      </c>
      <c r="O130" s="34">
        <f>RESUMEN!$B$3</f>
        <v>44926</v>
      </c>
      <c r="P130" s="11">
        <v>2022</v>
      </c>
    </row>
    <row r="131" spans="1:16">
      <c r="A131" s="51" t="s">
        <v>228</v>
      </c>
      <c r="B131" s="51" t="s">
        <v>191</v>
      </c>
      <c r="C131" s="51" t="s">
        <v>250</v>
      </c>
      <c r="D131" s="51" t="s">
        <v>245</v>
      </c>
      <c r="E131" s="51" t="str">
        <f>Anchoveta!D87</f>
        <v>Sindicato de Trabajadores Independientes Pescadores, Armadores y Ramos Afines de la Pesca Artesanal de Coronel, SIPARMAR CORONEL , Registro Sindical Único 08.07.0271</v>
      </c>
      <c r="F131" s="51" t="s">
        <v>232</v>
      </c>
      <c r="G131" s="51" t="s">
        <v>233</v>
      </c>
      <c r="H131" s="51">
        <f>Anchoveta!F87</f>
        <v>940.00800000000004</v>
      </c>
      <c r="I131" s="11">
        <f>Anchoveta!G87</f>
        <v>-36</v>
      </c>
      <c r="J131" s="11">
        <f>Anchoveta!H87</f>
        <v>904.00800000000004</v>
      </c>
      <c r="K131" s="11">
        <f>Anchoveta!I87</f>
        <v>435.38200002577895</v>
      </c>
      <c r="L131" s="11">
        <f>Anchoveta!K87</f>
        <v>468.62599997422109</v>
      </c>
      <c r="M131" s="48">
        <f>Anchoveta!L87</f>
        <v>0.48161299460378554</v>
      </c>
      <c r="N131" s="246" t="str">
        <f>'IC Anch y SardC VIII'!O70</f>
        <v>-</v>
      </c>
      <c r="O131" s="34">
        <f>RESUMEN!$B$3</f>
        <v>44926</v>
      </c>
      <c r="P131" s="11">
        <v>2022</v>
      </c>
    </row>
    <row r="132" spans="1:16">
      <c r="A132" s="51" t="s">
        <v>228</v>
      </c>
      <c r="B132" s="51" t="s">
        <v>191</v>
      </c>
      <c r="C132" s="51" t="s">
        <v>250</v>
      </c>
      <c r="D132" s="51" t="s">
        <v>245</v>
      </c>
      <c r="E132" s="51" t="str">
        <f>Anchoveta!D88</f>
        <v>Sindicato de Trabajadores Independientes Pescdores y Armadores artesanales de embarcaciones menores de la Caleta de Tumbes "SIPEAREM" Comuna Talcahuano, Registro Sindical Único 08.05.0569</v>
      </c>
      <c r="F132" s="51" t="s">
        <v>232</v>
      </c>
      <c r="G132" s="51" t="s">
        <v>233</v>
      </c>
      <c r="H132" s="51">
        <f>Anchoveta!F88</f>
        <v>62.642000000000003</v>
      </c>
      <c r="I132" s="11">
        <f>Anchoveta!G88</f>
        <v>0</v>
      </c>
      <c r="J132" s="11">
        <f>Anchoveta!H88</f>
        <v>62.642000000000003</v>
      </c>
      <c r="K132" s="11">
        <f>Anchoveta!I88</f>
        <v>0</v>
      </c>
      <c r="L132" s="11">
        <f>Anchoveta!K88</f>
        <v>62.642000000000003</v>
      </c>
      <c r="M132" s="48">
        <f>Anchoveta!L88</f>
        <v>0</v>
      </c>
      <c r="N132" s="246" t="str">
        <f>'IC Anch y SardC VIII'!O71</f>
        <v>-</v>
      </c>
      <c r="O132" s="34">
        <f>RESUMEN!$B$3</f>
        <v>44926</v>
      </c>
      <c r="P132" s="11">
        <v>2022</v>
      </c>
    </row>
    <row r="133" spans="1:16">
      <c r="A133" s="51" t="s">
        <v>228</v>
      </c>
      <c r="B133" s="51" t="s">
        <v>191</v>
      </c>
      <c r="C133" s="51" t="s">
        <v>250</v>
      </c>
      <c r="D133" s="51" t="s">
        <v>245</v>
      </c>
      <c r="E133" s="51" t="str">
        <f>Anchoveta!D89</f>
        <v>Sindicato de Trabajadores Independientes, Ayudantes de Buzos, Pescadores Artesanales y Algueras y Actividades Conexas de las Caletas Tomé y Quichiuto, Registro Sindical Único 08.06.0043</v>
      </c>
      <c r="F133" s="51" t="s">
        <v>232</v>
      </c>
      <c r="G133" s="51" t="s">
        <v>233</v>
      </c>
      <c r="H133" s="51">
        <f>Anchoveta!F89</f>
        <v>1420.489</v>
      </c>
      <c r="I133" s="11">
        <f>Anchoveta!G89</f>
        <v>-750</v>
      </c>
      <c r="J133" s="11">
        <f>Anchoveta!H89</f>
        <v>670.48900000000003</v>
      </c>
      <c r="K133" s="11">
        <f>Anchoveta!I89</f>
        <v>250.14899780273456</v>
      </c>
      <c r="L133" s="11">
        <f>Anchoveta!K89</f>
        <v>420.34000219726545</v>
      </c>
      <c r="M133" s="48">
        <f>Anchoveta!L89</f>
        <v>0.37308441719809654</v>
      </c>
      <c r="N133" s="246" t="str">
        <f>'IC Anch y SardC VIII'!O72</f>
        <v>-</v>
      </c>
      <c r="O133" s="34">
        <f>RESUMEN!$B$3</f>
        <v>44926</v>
      </c>
      <c r="P133" s="11">
        <v>2022</v>
      </c>
    </row>
    <row r="134" spans="1:16">
      <c r="A134" s="51" t="s">
        <v>228</v>
      </c>
      <c r="B134" s="51" t="s">
        <v>191</v>
      </c>
      <c r="C134" s="51" t="s">
        <v>250</v>
      </c>
      <c r="D134" s="51" t="s">
        <v>245</v>
      </c>
      <c r="E134" s="51" t="str">
        <f>Anchoveta!D90</f>
        <v>Sindicato de Trabajadores Independientes, Pescadores Artesanales Pelágicos, Patrones y Tripulantes de Pesca Artesanal y Actividades Conexas de la Comuna de Talcahuano, " ASPAS". Registro Sindical Único 08.05.0474</v>
      </c>
      <c r="F134" s="51" t="s">
        <v>232</v>
      </c>
      <c r="G134" s="51" t="s">
        <v>233</v>
      </c>
      <c r="H134" s="51">
        <f>Anchoveta!F90</f>
        <v>2304.3420000000001</v>
      </c>
      <c r="I134" s="11">
        <f>Anchoveta!G90</f>
        <v>-150</v>
      </c>
      <c r="J134" s="11">
        <f>Anchoveta!H90</f>
        <v>2154.3420000000001</v>
      </c>
      <c r="K134" s="11">
        <f>Anchoveta!I90</f>
        <v>2221.1499931917187</v>
      </c>
      <c r="L134" s="11">
        <f>Anchoveta!K90</f>
        <v>-66.807993191718651</v>
      </c>
      <c r="M134" s="48">
        <f>Anchoveta!L90</f>
        <v>1.0310108576965582</v>
      </c>
      <c r="N134" s="246" t="str">
        <f>'IC Anch y SardC VIII'!O73</f>
        <v>-</v>
      </c>
      <c r="O134" s="34">
        <f>RESUMEN!$B$3</f>
        <v>44926</v>
      </c>
      <c r="P134" s="11">
        <v>2022</v>
      </c>
    </row>
    <row r="135" spans="1:16">
      <c r="A135" s="51" t="s">
        <v>228</v>
      </c>
      <c r="B135" s="51" t="s">
        <v>191</v>
      </c>
      <c r="C135" s="51" t="s">
        <v>250</v>
      </c>
      <c r="D135" s="51" t="s">
        <v>245</v>
      </c>
      <c r="E135" s="51" t="str">
        <f>Anchoveta!D91</f>
        <v>Sindicato de Trabajadores Independientes, Pescadores Artesanales y Ramos Afines Sta Maria Comuna de Talcahuano, " SIPASMA". Registro Sindical Único 08.05.0602</v>
      </c>
      <c r="F135" s="51" t="s">
        <v>232</v>
      </c>
      <c r="G135" s="51" t="s">
        <v>233</v>
      </c>
      <c r="H135" s="51">
        <f>Anchoveta!F91</f>
        <v>1768.568</v>
      </c>
      <c r="I135" s="11">
        <f>Anchoveta!G91</f>
        <v>853.09699999999998</v>
      </c>
      <c r="J135" s="11">
        <f>Anchoveta!H91</f>
        <v>2621.665</v>
      </c>
      <c r="K135" s="11">
        <f>Anchoveta!I91</f>
        <v>3567.2439999999997</v>
      </c>
      <c r="L135" s="11">
        <f>Anchoveta!K91</f>
        <v>-945.57899999999972</v>
      </c>
      <c r="M135" s="48">
        <f>Anchoveta!L91</f>
        <v>1.3606788052630674</v>
      </c>
      <c r="N135" s="246" t="str">
        <f>'IC Anch y SardC VIII'!O74</f>
        <v>-</v>
      </c>
      <c r="O135" s="34">
        <f>RESUMEN!$B$3</f>
        <v>44926</v>
      </c>
      <c r="P135" s="11">
        <v>2022</v>
      </c>
    </row>
    <row r="136" spans="1:16">
      <c r="A136" s="51" t="s">
        <v>228</v>
      </c>
      <c r="B136" s="51" t="s">
        <v>191</v>
      </c>
      <c r="C136" s="51" t="s">
        <v>250</v>
      </c>
      <c r="D136" s="51" t="s">
        <v>245</v>
      </c>
      <c r="E136" s="51" t="str">
        <f>Anchoveta!D92</f>
        <v>Sindicato de Trabajadores Independientes, Pescadores Artesanales, Armadores Artesanales y Actividades Conexas de la Caleta de Lota VIII Región "SIPAR GENTE DE MAR". Registros Sindical Único 08.07.0326</v>
      </c>
      <c r="F136" s="51" t="s">
        <v>232</v>
      </c>
      <c r="G136" s="51" t="s">
        <v>233</v>
      </c>
      <c r="H136" s="51">
        <f>Anchoveta!F92</f>
        <v>3476.5169999999998</v>
      </c>
      <c r="I136" s="11">
        <f>Anchoveta!G92</f>
        <v>322.89999999999998</v>
      </c>
      <c r="J136" s="11">
        <f>Anchoveta!H92</f>
        <v>3799.4169999999999</v>
      </c>
      <c r="K136" s="11">
        <f>Anchoveta!I92</f>
        <v>3736.975006591797</v>
      </c>
      <c r="L136" s="11">
        <f>Anchoveta!K92</f>
        <v>62.441993408202961</v>
      </c>
      <c r="M136" s="48">
        <f>Anchoveta!L92</f>
        <v>0.98356537505406672</v>
      </c>
      <c r="N136" s="246" t="str">
        <f>'IC Anch y SardC VIII'!O75</f>
        <v>-</v>
      </c>
      <c r="O136" s="34">
        <f>RESUMEN!$B$3</f>
        <v>44926</v>
      </c>
      <c r="P136" s="11">
        <v>2022</v>
      </c>
    </row>
    <row r="137" spans="1:16">
      <c r="A137" s="51" t="s">
        <v>228</v>
      </c>
      <c r="B137" s="51" t="s">
        <v>191</v>
      </c>
      <c r="C137" s="51" t="s">
        <v>250</v>
      </c>
      <c r="D137" s="51" t="s">
        <v>245</v>
      </c>
      <c r="E137" s="51" t="str">
        <f>Anchoveta!D93</f>
        <v>Sindicato de Trabajadores Independientes, Pescadores Artesanales, Armadores Artesanales, "Rio Maipo" de la Caleta de San Vicente de la Comuna de Talcahuano; Registro Sindical Único 08.05.0488.</v>
      </c>
      <c r="F137" s="51" t="s">
        <v>232</v>
      </c>
      <c r="G137" s="51" t="s">
        <v>233</v>
      </c>
      <c r="H137" s="51">
        <f>Anchoveta!F93</f>
        <v>828.10500000000002</v>
      </c>
      <c r="I137" s="11">
        <f>Anchoveta!G93</f>
        <v>-1</v>
      </c>
      <c r="J137" s="11">
        <f>Anchoveta!H93</f>
        <v>827.10500000000002</v>
      </c>
      <c r="K137" s="11">
        <f>Anchoveta!I93</f>
        <v>226.47299999999998</v>
      </c>
      <c r="L137" s="11">
        <f>Anchoveta!K93</f>
        <v>600.63200000000006</v>
      </c>
      <c r="M137" s="48">
        <f>Anchoveta!L93</f>
        <v>0.27381408648236921</v>
      </c>
      <c r="N137" s="246" t="str">
        <f>'IC Anch y SardC VIII'!O76</f>
        <v>-</v>
      </c>
      <c r="O137" s="34">
        <f>RESUMEN!$B$3</f>
        <v>44926</v>
      </c>
      <c r="P137" s="11">
        <v>2022</v>
      </c>
    </row>
    <row r="138" spans="1:16">
      <c r="A138" s="51" t="s">
        <v>228</v>
      </c>
      <c r="B138" s="51" t="s">
        <v>191</v>
      </c>
      <c r="C138" s="51" t="s">
        <v>250</v>
      </c>
      <c r="D138" s="51" t="s">
        <v>245</v>
      </c>
      <c r="E138" s="51" t="str">
        <f>Anchoveta!D94</f>
        <v>Sindicato de Trabajadores Independientes, Pescadores Artesanales, Armadores Artesanales, Buzos Mariscadores y Recolectores de Orilla Isla Santa Maria Puerto Sur, Registro Sindical Único 08.07.0364.</v>
      </c>
      <c r="F138" s="51" t="s">
        <v>232</v>
      </c>
      <c r="G138" s="51" t="s">
        <v>233</v>
      </c>
      <c r="H138" s="51">
        <f>Anchoveta!F94</f>
        <v>12.317</v>
      </c>
      <c r="I138" s="11">
        <f>Anchoveta!G94</f>
        <v>0</v>
      </c>
      <c r="J138" s="11">
        <f>Anchoveta!H94</f>
        <v>12.317</v>
      </c>
      <c r="K138" s="11">
        <f>Anchoveta!I94</f>
        <v>14.439000001132486</v>
      </c>
      <c r="L138" s="11">
        <f>Anchoveta!K94</f>
        <v>-2.122000001132486</v>
      </c>
      <c r="M138" s="48">
        <f>Anchoveta!L94</f>
        <v>0</v>
      </c>
      <c r="N138" s="246" t="str">
        <f>'IC Anch y SardC VIII'!O77</f>
        <v>-</v>
      </c>
      <c r="O138" s="34">
        <f>RESUMEN!$B$3</f>
        <v>44926</v>
      </c>
      <c r="P138" s="11">
        <v>2022</v>
      </c>
    </row>
    <row r="139" spans="1:16">
      <c r="A139" s="51" t="s">
        <v>228</v>
      </c>
      <c r="B139" s="51" t="s">
        <v>191</v>
      </c>
      <c r="C139" s="51" t="s">
        <v>250</v>
      </c>
      <c r="D139" s="51" t="s">
        <v>245</v>
      </c>
      <c r="E139" s="51" t="str">
        <f>Anchoveta!D95</f>
        <v>Sindicato de Trabajadores Independientes, Tripulantes y Armadores de Botes, Pescadores Artesanales, Algueros, Mariscadores y Actividades conexas de la caleta Tumbes de la comuna de Talcahuano. Registro Sindical Único 08.05.0495</v>
      </c>
      <c r="F139" s="51" t="s">
        <v>232</v>
      </c>
      <c r="G139" s="51" t="s">
        <v>233</v>
      </c>
      <c r="H139" s="51">
        <f>Anchoveta!F95</f>
        <v>366.74099999999999</v>
      </c>
      <c r="I139" s="11">
        <f>Anchoveta!G95</f>
        <v>-100</v>
      </c>
      <c r="J139" s="11">
        <f>Anchoveta!H95</f>
        <v>266.74099999999999</v>
      </c>
      <c r="K139" s="11">
        <f>Anchoveta!I95</f>
        <v>205.14599729919433</v>
      </c>
      <c r="L139" s="11">
        <f>Anchoveta!K95</f>
        <v>61.595002700805651</v>
      </c>
      <c r="M139" s="48">
        <f>Anchoveta!L95</f>
        <v>0.76908310795563617</v>
      </c>
      <c r="N139" s="246" t="str">
        <f>'IC Anch y SardC VIII'!O78</f>
        <v>-</v>
      </c>
      <c r="O139" s="34">
        <f>RESUMEN!$B$3</f>
        <v>44926</v>
      </c>
      <c r="P139" s="11">
        <v>2022</v>
      </c>
    </row>
    <row r="140" spans="1:16">
      <c r="A140" s="51" t="s">
        <v>228</v>
      </c>
      <c r="B140" s="51" t="s">
        <v>191</v>
      </c>
      <c r="C140" s="51" t="s">
        <v>250</v>
      </c>
      <c r="D140" s="51" t="s">
        <v>245</v>
      </c>
      <c r="E140" s="51" t="str">
        <f>Anchoveta!D96</f>
        <v>Sindicato Independiente de Armadores Pescadores Artesanales Tripulantes y Ramas Similares "Bahia Concepción", Registro Sindical Unico 08.05.0648</v>
      </c>
      <c r="F140" s="51" t="s">
        <v>232</v>
      </c>
      <c r="G140" s="51" t="s">
        <v>233</v>
      </c>
      <c r="H140" s="51">
        <f>Anchoveta!F96</f>
        <v>900.98500000000001</v>
      </c>
      <c r="I140" s="11">
        <f>Anchoveta!G96</f>
        <v>475.9</v>
      </c>
      <c r="J140" s="11">
        <f>Anchoveta!H96</f>
        <v>1376.885</v>
      </c>
      <c r="K140" s="11">
        <f>Anchoveta!I96</f>
        <v>1402.8029992675788</v>
      </c>
      <c r="L140" s="11">
        <f>Anchoveta!K96</f>
        <v>-28.290999267578854</v>
      </c>
      <c r="M140" s="48">
        <f>Anchoveta!L96</f>
        <v>1.0188236485019293</v>
      </c>
      <c r="N140" s="246" t="str">
        <f>'IC Anch y SardC VIII'!O79</f>
        <v>-</v>
      </c>
      <c r="O140" s="34">
        <f>RESUMEN!$B$3</f>
        <v>44926</v>
      </c>
      <c r="P140" s="11">
        <v>2022</v>
      </c>
    </row>
    <row r="141" spans="1:16">
      <c r="A141" s="51" t="s">
        <v>228</v>
      </c>
      <c r="B141" s="51" t="s">
        <v>191</v>
      </c>
      <c r="C141" s="51" t="s">
        <v>250</v>
      </c>
      <c r="D141" s="51" t="s">
        <v>245</v>
      </c>
      <c r="E141" s="51" t="str">
        <f>Anchoveta!D97</f>
        <v>Sindicato Independiente de Armadores y Pescadores Artesanales Afines "SARPE". Registro Sindical Único 08.05.0398</v>
      </c>
      <c r="F141" s="51" t="s">
        <v>232</v>
      </c>
      <c r="G141" s="51" t="s">
        <v>233</v>
      </c>
      <c r="H141" s="51">
        <f>Anchoveta!F97</f>
        <v>7084.3760000000002</v>
      </c>
      <c r="I141" s="11">
        <f>Anchoveta!G97</f>
        <v>-50</v>
      </c>
      <c r="J141" s="11">
        <f>Anchoveta!H97</f>
        <v>7034.3760000000002</v>
      </c>
      <c r="K141" s="11">
        <f>Anchoveta!I97</f>
        <v>6690.2100029067988</v>
      </c>
      <c r="L141" s="11">
        <f>Anchoveta!K97</f>
        <v>276.27599709320111</v>
      </c>
      <c r="M141" s="48">
        <f>Anchoveta!L97</f>
        <v>0.95107369906112471</v>
      </c>
      <c r="N141" s="246" t="str">
        <f>'IC Anch y SardC VIII'!O80</f>
        <v>-</v>
      </c>
      <c r="O141" s="34">
        <f>RESUMEN!$B$3</f>
        <v>44926</v>
      </c>
      <c r="P141" s="11">
        <v>2022</v>
      </c>
    </row>
    <row r="142" spans="1:16" s="11" customFormat="1">
      <c r="A142" s="51" t="s">
        <v>228</v>
      </c>
      <c r="B142" s="51" t="s">
        <v>191</v>
      </c>
      <c r="C142" s="51" t="s">
        <v>250</v>
      </c>
      <c r="D142" s="51" t="s">
        <v>245</v>
      </c>
      <c r="E142" s="36" t="s">
        <v>320</v>
      </c>
      <c r="F142" s="51" t="s">
        <v>232</v>
      </c>
      <c r="G142" s="51" t="s">
        <v>233</v>
      </c>
      <c r="H142" s="51">
        <f>Anchoveta!F98</f>
        <v>65.043000000000006</v>
      </c>
      <c r="I142" s="11">
        <f>Anchoveta!G98</f>
        <v>-27</v>
      </c>
      <c r="J142" s="11">
        <f>Anchoveta!H98</f>
        <v>38.043000000000006</v>
      </c>
      <c r="K142" s="11">
        <f>Anchoveta!I98</f>
        <v>0.88600000000000001</v>
      </c>
      <c r="L142" s="11">
        <f>Anchoveta!K98</f>
        <v>37.157000000000004</v>
      </c>
      <c r="M142" s="48">
        <f>Anchoveta!L98</f>
        <v>2.3289435638619453E-2</v>
      </c>
      <c r="N142" s="246" t="str">
        <f>'IC Anch y SardC VIII'!O81</f>
        <v>-</v>
      </c>
      <c r="O142" s="34">
        <f>RESUMEN!$B$3</f>
        <v>44926</v>
      </c>
      <c r="P142" s="11">
        <v>2022</v>
      </c>
    </row>
    <row r="143" spans="1:16" s="11" customFormat="1">
      <c r="A143" s="51" t="s">
        <v>228</v>
      </c>
      <c r="B143" s="51" t="s">
        <v>191</v>
      </c>
      <c r="C143" s="51" t="s">
        <v>250</v>
      </c>
      <c r="D143" s="51" t="s">
        <v>245</v>
      </c>
      <c r="E143" s="36" t="s">
        <v>321</v>
      </c>
      <c r="F143" s="51" t="s">
        <v>232</v>
      </c>
      <c r="G143" s="51" t="s">
        <v>233</v>
      </c>
      <c r="H143" s="51">
        <f>Anchoveta!F99</f>
        <v>17.253</v>
      </c>
      <c r="I143" s="11">
        <f>Anchoveta!G99</f>
        <v>0</v>
      </c>
      <c r="J143" s="11">
        <f>Anchoveta!H99</f>
        <v>17.253</v>
      </c>
      <c r="K143" s="11">
        <f>Anchoveta!I99</f>
        <v>0</v>
      </c>
      <c r="L143" s="11">
        <f>Anchoveta!K99</f>
        <v>17.253</v>
      </c>
      <c r="M143" s="48">
        <f>Anchoveta!L99</f>
        <v>0</v>
      </c>
      <c r="N143" s="246" t="str">
        <f>'IC Anch y SardC VIII'!O82</f>
        <v>-</v>
      </c>
      <c r="O143" s="34">
        <f>RESUMEN!$B$3</f>
        <v>44926</v>
      </c>
      <c r="P143" s="11">
        <v>2022</v>
      </c>
    </row>
    <row r="144" spans="1:16" s="11" customFormat="1">
      <c r="A144" s="51" t="s">
        <v>228</v>
      </c>
      <c r="B144" s="51" t="s">
        <v>191</v>
      </c>
      <c r="C144" s="51" t="s">
        <v>250</v>
      </c>
      <c r="D144" s="51" t="s">
        <v>245</v>
      </c>
      <c r="E144" s="51" t="str">
        <f>Anchoveta!D100</f>
        <v>Sociedad Cooperativa Benesino Limitada ROL 5871</v>
      </c>
      <c r="F144" s="51" t="s">
        <v>232</v>
      </c>
      <c r="G144" s="51" t="s">
        <v>233</v>
      </c>
      <c r="H144" s="51">
        <f>Anchoveta!F100</f>
        <v>161.11699999999999</v>
      </c>
      <c r="I144" s="11">
        <f>Anchoveta!G100</f>
        <v>-28.6</v>
      </c>
      <c r="J144" s="11">
        <f>Anchoveta!H100</f>
        <v>132.517</v>
      </c>
      <c r="K144" s="11">
        <f>Anchoveta!I100</f>
        <v>0</v>
      </c>
      <c r="L144" s="11">
        <f>Anchoveta!K100</f>
        <v>132.517</v>
      </c>
      <c r="M144" s="48">
        <f>Anchoveta!L100</f>
        <v>0</v>
      </c>
      <c r="N144" s="246" t="str">
        <f>'IC Anch y SardC VIII'!O83</f>
        <v>-</v>
      </c>
      <c r="O144" s="34">
        <f>RESUMEN!$B$3</f>
        <v>44926</v>
      </c>
      <c r="P144" s="11">
        <v>2022</v>
      </c>
    </row>
    <row r="145" spans="1:16">
      <c r="A145" s="51" t="s">
        <v>228</v>
      </c>
      <c r="B145" s="51" t="s">
        <v>191</v>
      </c>
      <c r="C145" s="51" t="s">
        <v>250</v>
      </c>
      <c r="D145" s="51" t="s">
        <v>245</v>
      </c>
      <c r="E145" s="51" t="str">
        <f>Anchoveta!D101</f>
        <v>STI Armadores y Pescadores artesanales, Acuicultores, Algueros (as) y Ramos afines "MAFMAR", Registro Sindical Unico 08.05.0645</v>
      </c>
      <c r="F145" s="51" t="s">
        <v>232</v>
      </c>
      <c r="G145" s="51" t="s">
        <v>233</v>
      </c>
      <c r="H145" s="51">
        <f>Anchoveta!F101</f>
        <v>1513.97</v>
      </c>
      <c r="I145" s="11">
        <f>Anchoveta!G101</f>
        <v>-300</v>
      </c>
      <c r="J145" s="11">
        <f>Anchoveta!H101</f>
        <v>1213.97</v>
      </c>
      <c r="K145" s="11">
        <f>Anchoveta!I101</f>
        <v>1012.253989990234</v>
      </c>
      <c r="L145" s="11">
        <f>Anchoveta!K101</f>
        <v>201.71601000976602</v>
      </c>
      <c r="M145" s="48">
        <f>Anchoveta!L101</f>
        <v>0.83383773074312706</v>
      </c>
      <c r="N145" s="246" t="str">
        <f>'IC Anch y SardC VIII'!O84</f>
        <v>-</v>
      </c>
      <c r="O145" s="34">
        <f>RESUMEN!$B$3</f>
        <v>44926</v>
      </c>
      <c r="P145" s="11">
        <v>2022</v>
      </c>
    </row>
    <row r="146" spans="1:16">
      <c r="A146" s="51" t="s">
        <v>228</v>
      </c>
      <c r="B146" s="51" t="s">
        <v>191</v>
      </c>
      <c r="C146" s="51" t="s">
        <v>250</v>
      </c>
      <c r="D146" s="51" t="s">
        <v>245</v>
      </c>
      <c r="E146" s="51" t="str">
        <f>Anchoveta!D102</f>
        <v>CUOTA RESIDUAL VIII</v>
      </c>
      <c r="F146" s="51" t="s">
        <v>232</v>
      </c>
      <c r="G146" s="51" t="s">
        <v>233</v>
      </c>
      <c r="H146" s="51">
        <f>Anchoveta!F102</f>
        <v>62.993000000000002</v>
      </c>
      <c r="I146" s="11">
        <f>Anchoveta!G102</f>
        <v>0</v>
      </c>
      <c r="J146" s="11">
        <f>Anchoveta!H102</f>
        <v>62.993000000000002</v>
      </c>
      <c r="K146" s="11">
        <f>Anchoveta!I102</f>
        <v>44.106000000000002</v>
      </c>
      <c r="L146" s="11">
        <f>Anchoveta!K102</f>
        <v>18.887</v>
      </c>
      <c r="M146" s="48">
        <f>Anchoveta!L102</f>
        <v>0.70017303509913797</v>
      </c>
      <c r="N146" s="246">
        <f>'IC Anch y SardC VIII'!O85</f>
        <v>44621</v>
      </c>
      <c r="O146" s="34">
        <f>RESUMEN!$B$3</f>
        <v>44926</v>
      </c>
      <c r="P146" s="11">
        <v>2022</v>
      </c>
    </row>
    <row r="147" spans="1:16">
      <c r="A147" s="143" t="s">
        <v>228</v>
      </c>
      <c r="B147" s="143" t="s">
        <v>191</v>
      </c>
      <c r="C147" s="143" t="s">
        <v>250</v>
      </c>
      <c r="D147" s="143" t="s">
        <v>46</v>
      </c>
      <c r="E147" s="143" t="str">
        <f>Anchoveta!D104</f>
        <v>Total Región del Biobio y el Ñuble</v>
      </c>
      <c r="F147" s="143" t="s">
        <v>232</v>
      </c>
      <c r="G147" s="143" t="s">
        <v>233</v>
      </c>
      <c r="H147" s="143">
        <f>Anchoveta!F104</f>
        <v>147420.992</v>
      </c>
      <c r="I147" s="128">
        <f>Anchoveta!G104</f>
        <v>4852.1959999999999</v>
      </c>
      <c r="J147" s="128">
        <f>Anchoveta!H104</f>
        <v>152273.18799999999</v>
      </c>
      <c r="K147" s="128">
        <f>Anchoveta!I104</f>
        <v>127559.91913498772</v>
      </c>
      <c r="L147" s="128">
        <f>Anchoveta!K104</f>
        <v>24640.677865012272</v>
      </c>
      <c r="M147" s="49">
        <f>Anchoveta!L104</f>
        <v>0.83818111258685757</v>
      </c>
      <c r="N147" s="247" t="str">
        <f>Anchoveta!M104</f>
        <v>-</v>
      </c>
      <c r="O147" s="34">
        <f>RESUMEN!$B$3</f>
        <v>44926</v>
      </c>
      <c r="P147" s="11">
        <v>2022</v>
      </c>
    </row>
    <row r="148" spans="1:16">
      <c r="A148" s="51" t="s">
        <v>228</v>
      </c>
      <c r="B148" s="51" t="s">
        <v>191</v>
      </c>
      <c r="C148" s="51" t="s">
        <v>212</v>
      </c>
      <c r="D148" s="51" t="s">
        <v>46</v>
      </c>
      <c r="E148" s="51" t="str">
        <f>Anchoveta!D106</f>
        <v>Región de la Araucanía</v>
      </c>
      <c r="F148" s="51" t="s">
        <v>232</v>
      </c>
      <c r="G148" s="51" t="s">
        <v>233</v>
      </c>
      <c r="H148" s="51">
        <f>Anchoveta!F106</f>
        <v>2297</v>
      </c>
      <c r="I148" s="11">
        <f>Anchoveta!G106</f>
        <v>0</v>
      </c>
      <c r="J148" s="11">
        <f>Anchoveta!H106</f>
        <v>2297</v>
      </c>
      <c r="K148" s="11">
        <f>Anchoveta!I106</f>
        <v>675</v>
      </c>
      <c r="L148">
        <f>Anchoveta!K106</f>
        <v>1622</v>
      </c>
      <c r="M148" s="48">
        <f>Anchoveta!L106</f>
        <v>0.29386155855463647</v>
      </c>
      <c r="N148" s="246">
        <f>'IC Anch-SardC V-VII y IX-X'!O19</f>
        <v>44872</v>
      </c>
      <c r="O148" s="34">
        <f>RESUMEN!$B$3</f>
        <v>44926</v>
      </c>
      <c r="P148" s="11">
        <v>2022</v>
      </c>
    </row>
    <row r="149" spans="1:16">
      <c r="A149" s="143" t="s">
        <v>228</v>
      </c>
      <c r="B149" s="143" t="s">
        <v>191</v>
      </c>
      <c r="C149" s="143" t="s">
        <v>212</v>
      </c>
      <c r="D149" s="143" t="s">
        <v>46</v>
      </c>
      <c r="E149" s="143" t="str">
        <f>Anchoveta!D108</f>
        <v>Total Región de la Araucanía</v>
      </c>
      <c r="F149" s="143" t="s">
        <v>232</v>
      </c>
      <c r="G149" s="143" t="s">
        <v>233</v>
      </c>
      <c r="H149" s="143">
        <f>Anchoveta!F108</f>
        <v>2297</v>
      </c>
      <c r="I149" s="43">
        <f>Anchoveta!G108</f>
        <v>0</v>
      </c>
      <c r="J149" s="43">
        <f>Anchoveta!H108</f>
        <v>2297</v>
      </c>
      <c r="K149" s="43">
        <f>Anchoveta!I108</f>
        <v>675</v>
      </c>
      <c r="L149" s="43">
        <f>Anchoveta!K108</f>
        <v>1622</v>
      </c>
      <c r="M149" s="49">
        <f>Anchoveta!L108</f>
        <v>0.29386155855463647</v>
      </c>
      <c r="N149" s="247" t="str">
        <f>Anchoveta!M108</f>
        <v>-</v>
      </c>
      <c r="O149" s="34">
        <f>RESUMEN!$B$3</f>
        <v>44926</v>
      </c>
      <c r="P149" s="11">
        <v>2022</v>
      </c>
    </row>
    <row r="150" spans="1:16">
      <c r="A150" s="51" t="s">
        <v>228</v>
      </c>
      <c r="B150" s="51" t="s">
        <v>191</v>
      </c>
      <c r="C150" s="51" t="s">
        <v>211</v>
      </c>
      <c r="D150" s="51" t="s">
        <v>245</v>
      </c>
      <c r="E150" s="51" t="str">
        <f>Anchoveta!D110</f>
        <v>AG APEVAL. RAG 29-14</v>
      </c>
      <c r="F150" s="51" t="s">
        <v>232</v>
      </c>
      <c r="G150" s="51" t="s">
        <v>233</v>
      </c>
      <c r="H150" s="51">
        <f>Anchoveta!F110</f>
        <v>1062.6849999999999</v>
      </c>
      <c r="I150" s="11">
        <f>Anchoveta!G110</f>
        <v>-1035</v>
      </c>
      <c r="J150" s="11">
        <f>Anchoveta!H110</f>
        <v>27.684999999999945</v>
      </c>
      <c r="K150" s="11">
        <f>Anchoveta!I110</f>
        <v>0</v>
      </c>
      <c r="L150">
        <f>Anchoveta!K110</f>
        <v>27.684999999999945</v>
      </c>
      <c r="M150" s="48">
        <f>Anchoveta!L110</f>
        <v>0</v>
      </c>
      <c r="N150" s="246" t="str">
        <f>Anchoveta!M110</f>
        <v>-</v>
      </c>
      <c r="O150" s="34">
        <f>RESUMEN!$B$3</f>
        <v>44926</v>
      </c>
      <c r="P150" s="11">
        <v>2022</v>
      </c>
    </row>
    <row r="151" spans="1:16">
      <c r="A151" s="51" t="s">
        <v>228</v>
      </c>
      <c r="B151" s="51" t="s">
        <v>191</v>
      </c>
      <c r="C151" s="51" t="s">
        <v>211</v>
      </c>
      <c r="D151" s="51" t="s">
        <v>245</v>
      </c>
      <c r="E151" s="51" t="str">
        <f>Anchoveta!D111</f>
        <v xml:space="preserve"> AG ACERVAL. RAG 207-10</v>
      </c>
      <c r="F151" s="51" t="s">
        <v>232</v>
      </c>
      <c r="G151" s="51" t="s">
        <v>233</v>
      </c>
      <c r="H151" s="51">
        <f>Anchoveta!F111</f>
        <v>1894.683</v>
      </c>
      <c r="I151" s="11">
        <f>Anchoveta!G111</f>
        <v>-400</v>
      </c>
      <c r="J151" s="11">
        <f>Anchoveta!H111</f>
        <v>1494.683</v>
      </c>
      <c r="K151" s="11">
        <f>Anchoveta!I111</f>
        <v>766.43200000000002</v>
      </c>
      <c r="L151" s="11">
        <f>Anchoveta!K111</f>
        <v>728.25099999999998</v>
      </c>
      <c r="M151" s="48">
        <f>Anchoveta!L111</f>
        <v>0.51277227345196275</v>
      </c>
      <c r="N151" s="246">
        <f>Anchoveta!M111</f>
        <v>44685</v>
      </c>
      <c r="O151" s="34">
        <f>RESUMEN!$B$3</f>
        <v>44926</v>
      </c>
      <c r="P151" s="11">
        <v>2022</v>
      </c>
    </row>
    <row r="152" spans="1:16">
      <c r="A152" s="51" t="s">
        <v>228</v>
      </c>
      <c r="B152" s="51" t="s">
        <v>191</v>
      </c>
      <c r="C152" s="51" t="s">
        <v>211</v>
      </c>
      <c r="D152" s="51" t="s">
        <v>245</v>
      </c>
      <c r="E152" s="51" t="str">
        <f>Anchoveta!D112</f>
        <v>AG ACERMAR. RAG 4205</v>
      </c>
      <c r="F152" s="51" t="s">
        <v>232</v>
      </c>
      <c r="G152" s="51" t="s">
        <v>233</v>
      </c>
      <c r="H152" s="51">
        <f>Anchoveta!F112</f>
        <v>1501.0440000000001</v>
      </c>
      <c r="I152" s="11">
        <f>Anchoveta!G112</f>
        <v>0</v>
      </c>
      <c r="J152" s="11">
        <f>Anchoveta!H112</f>
        <v>1501.0440000000001</v>
      </c>
      <c r="K152" s="11">
        <f>Anchoveta!I112</f>
        <v>596.23899999999992</v>
      </c>
      <c r="L152" s="11">
        <f>Anchoveta!K112</f>
        <v>904.80500000000018</v>
      </c>
      <c r="M152" s="48">
        <f>Anchoveta!L112</f>
        <v>0.39721620418855136</v>
      </c>
      <c r="N152" s="246">
        <f>Anchoveta!M112</f>
        <v>44915</v>
      </c>
      <c r="O152" s="34">
        <f>RESUMEN!$B$3</f>
        <v>44926</v>
      </c>
      <c r="P152" s="11">
        <v>2022</v>
      </c>
    </row>
    <row r="153" spans="1:16">
      <c r="A153" s="51" t="s">
        <v>228</v>
      </c>
      <c r="B153" s="51" t="s">
        <v>191</v>
      </c>
      <c r="C153" s="51" t="s">
        <v>211</v>
      </c>
      <c r="D153" s="51" t="s">
        <v>245</v>
      </c>
      <c r="E153" s="51" t="str">
        <f>Anchoveta!D113</f>
        <v xml:space="preserve"> AG ACER. RAG 3793</v>
      </c>
      <c r="F153" s="51" t="s">
        <v>232</v>
      </c>
      <c r="G153" s="51" t="s">
        <v>233</v>
      </c>
      <c r="H153" s="51">
        <f>Anchoveta!F113</f>
        <v>1126.1130000000001</v>
      </c>
      <c r="I153" s="11">
        <f>Anchoveta!G113</f>
        <v>0</v>
      </c>
      <c r="J153" s="11">
        <f>Anchoveta!H113</f>
        <v>1126.1130000000001</v>
      </c>
      <c r="K153" s="11">
        <f>Anchoveta!I113</f>
        <v>491.99500000000006</v>
      </c>
      <c r="L153" s="11">
        <f>Anchoveta!K113</f>
        <v>634.11799999999994</v>
      </c>
      <c r="M153" s="48">
        <f>Anchoveta!L113</f>
        <v>0.43689665246738119</v>
      </c>
      <c r="N153" s="246">
        <f>Anchoveta!M113</f>
        <v>44741</v>
      </c>
      <c r="O153" s="34">
        <f>RESUMEN!$B$3</f>
        <v>44926</v>
      </c>
      <c r="P153" s="11">
        <v>2022</v>
      </c>
    </row>
    <row r="154" spans="1:16">
      <c r="A154" s="51" t="s">
        <v>228</v>
      </c>
      <c r="B154" s="51" t="s">
        <v>191</v>
      </c>
      <c r="C154" s="51" t="s">
        <v>211</v>
      </c>
      <c r="D154" s="51" t="s">
        <v>245</v>
      </c>
      <c r="E154" s="51" t="str">
        <f>Anchoveta!D114</f>
        <v>AG SIPACERVAL RAG 44-14</v>
      </c>
      <c r="F154" s="51" t="s">
        <v>232</v>
      </c>
      <c r="G154" s="51" t="s">
        <v>233</v>
      </c>
      <c r="H154" s="51">
        <f>Anchoveta!F114</f>
        <v>4704.5200000000004</v>
      </c>
      <c r="I154" s="11">
        <f>Anchoveta!G114</f>
        <v>209</v>
      </c>
      <c r="J154" s="11">
        <f>Anchoveta!H114</f>
        <v>4913.5200000000004</v>
      </c>
      <c r="K154" s="11">
        <f>Anchoveta!I114</f>
        <v>1930.7000000000003</v>
      </c>
      <c r="L154" s="11">
        <f>Anchoveta!K114</f>
        <v>2982.82</v>
      </c>
      <c r="M154" s="48">
        <f>Anchoveta!L114</f>
        <v>0.39293622494667774</v>
      </c>
      <c r="N154" s="246" t="str">
        <f>Anchoveta!M114</f>
        <v>-</v>
      </c>
      <c r="O154" s="34">
        <f>RESUMEN!$B$3</f>
        <v>44926</v>
      </c>
      <c r="P154" s="11">
        <v>2022</v>
      </c>
    </row>
    <row r="155" spans="1:16">
      <c r="A155" s="51" t="s">
        <v>228</v>
      </c>
      <c r="B155" s="51" t="s">
        <v>191</v>
      </c>
      <c r="C155" s="51" t="s">
        <v>211</v>
      </c>
      <c r="D155" s="51" t="s">
        <v>245</v>
      </c>
      <c r="E155" s="51" t="str">
        <f>Anchoveta!D115</f>
        <v>AG ARMAPES. RAG 264-10</v>
      </c>
      <c r="F155" s="51" t="s">
        <v>232</v>
      </c>
      <c r="G155" s="51" t="s">
        <v>233</v>
      </c>
      <c r="H155" s="51">
        <f>Anchoveta!F115</f>
        <v>823.23299999999995</v>
      </c>
      <c r="I155" s="11">
        <f>Anchoveta!G115</f>
        <v>0</v>
      </c>
      <c r="J155" s="11">
        <f>Anchoveta!H115</f>
        <v>823.23299999999995</v>
      </c>
      <c r="K155" s="11">
        <f>Anchoveta!I115</f>
        <v>273.83699999999999</v>
      </c>
      <c r="L155" s="11">
        <f>Anchoveta!K115</f>
        <v>549.39599999999996</v>
      </c>
      <c r="M155" s="48">
        <f>Anchoveta!L115</f>
        <v>0.33263608237279119</v>
      </c>
      <c r="N155" s="246">
        <f>Anchoveta!M115</f>
        <v>44743</v>
      </c>
      <c r="O155" s="34">
        <f>RESUMEN!$B$3</f>
        <v>44926</v>
      </c>
      <c r="P155" s="11">
        <v>2022</v>
      </c>
    </row>
    <row r="156" spans="1:16">
      <c r="A156" s="51" t="s">
        <v>228</v>
      </c>
      <c r="B156" s="51" t="s">
        <v>191</v>
      </c>
      <c r="C156" s="51" t="s">
        <v>211</v>
      </c>
      <c r="D156" s="51" t="s">
        <v>245</v>
      </c>
      <c r="E156" s="51" t="str">
        <f>Anchoveta!D116</f>
        <v xml:space="preserve"> AG APACER. RAG 46-14</v>
      </c>
      <c r="F156" s="51" t="s">
        <v>232</v>
      </c>
      <c r="G156" s="51" t="s">
        <v>233</v>
      </c>
      <c r="H156" s="51">
        <f>Anchoveta!F116</f>
        <v>844.81200000000001</v>
      </c>
      <c r="I156" s="11">
        <f>Anchoveta!G116</f>
        <v>0</v>
      </c>
      <c r="J156" s="11">
        <f>Anchoveta!H116</f>
        <v>844.81200000000001</v>
      </c>
      <c r="K156" s="11">
        <f>Anchoveta!I116</f>
        <v>327.12099999999998</v>
      </c>
      <c r="L156" s="11">
        <f>Anchoveta!K116</f>
        <v>517.69100000000003</v>
      </c>
      <c r="M156" s="48">
        <f>Anchoveta!L116</f>
        <v>0.38721159263836213</v>
      </c>
      <c r="N156" s="246" t="str">
        <f>Anchoveta!M116</f>
        <v>-</v>
      </c>
      <c r="O156" s="34">
        <f>RESUMEN!$B$3</f>
        <v>44926</v>
      </c>
      <c r="P156" s="11">
        <v>2022</v>
      </c>
    </row>
    <row r="157" spans="1:16">
      <c r="A157" s="51" t="s">
        <v>228</v>
      </c>
      <c r="B157" s="51" t="s">
        <v>191</v>
      </c>
      <c r="C157" s="51" t="s">
        <v>211</v>
      </c>
      <c r="D157" s="51" t="s">
        <v>245</v>
      </c>
      <c r="E157" s="51" t="str">
        <f>Anchoveta!D117</f>
        <v xml:space="preserve"> STI DE AMARGO. RSU 14.01.0105</v>
      </c>
      <c r="F157" s="51" t="s">
        <v>232</v>
      </c>
      <c r="G157" s="51" t="s">
        <v>233</v>
      </c>
      <c r="H157" s="51">
        <f>Anchoveta!F117</f>
        <v>983.21</v>
      </c>
      <c r="I157" s="11">
        <f>Anchoveta!G117</f>
        <v>0</v>
      </c>
      <c r="J157" s="11">
        <f>Anchoveta!H117</f>
        <v>983.21</v>
      </c>
      <c r="K157" s="11">
        <f>Anchoveta!I117</f>
        <v>243.65900000000002</v>
      </c>
      <c r="L157" s="11">
        <f>Anchoveta!K117</f>
        <v>739.55100000000004</v>
      </c>
      <c r="M157" s="48">
        <f>Anchoveta!L117</f>
        <v>0.24781989605475943</v>
      </c>
      <c r="N157" s="246" t="str">
        <f>Anchoveta!M117</f>
        <v>-</v>
      </c>
      <c r="O157" s="34">
        <f>RESUMEN!$B$3</f>
        <v>44926</v>
      </c>
      <c r="P157" s="11">
        <v>2022</v>
      </c>
    </row>
    <row r="158" spans="1:16">
      <c r="A158" s="51" t="s">
        <v>228</v>
      </c>
      <c r="B158" s="51" t="s">
        <v>191</v>
      </c>
      <c r="C158" s="51" t="s">
        <v>211</v>
      </c>
      <c r="D158" s="51" t="s">
        <v>245</v>
      </c>
      <c r="E158" s="51" t="str">
        <f>Anchoveta!D118</f>
        <v>STI DEL BALNEARIO DE NIEBLA. RSU 14.01.0127</v>
      </c>
      <c r="F158" s="51" t="s">
        <v>232</v>
      </c>
      <c r="G158" s="51" t="s">
        <v>233</v>
      </c>
      <c r="H158" s="51">
        <f>Anchoveta!F118</f>
        <v>400.55900000000003</v>
      </c>
      <c r="I158" s="11">
        <f>Anchoveta!G118</f>
        <v>-390</v>
      </c>
      <c r="J158" s="11">
        <f>Anchoveta!H118</f>
        <v>10.559000000000026</v>
      </c>
      <c r="K158" s="11">
        <f>Anchoveta!I118</f>
        <v>0</v>
      </c>
      <c r="L158" s="11">
        <f>Anchoveta!K118</f>
        <v>10.559000000000026</v>
      </c>
      <c r="M158" s="48">
        <f>Anchoveta!L118</f>
        <v>0</v>
      </c>
      <c r="N158" s="246" t="str">
        <f>Anchoveta!M118</f>
        <v>-</v>
      </c>
      <c r="O158" s="34">
        <f>RESUMEN!$B$3</f>
        <v>44926</v>
      </c>
      <c r="P158" s="11">
        <v>2022</v>
      </c>
    </row>
    <row r="159" spans="1:16">
      <c r="A159" s="51" t="s">
        <v>228</v>
      </c>
      <c r="B159" s="51" t="s">
        <v>191</v>
      </c>
      <c r="C159" s="51" t="s">
        <v>211</v>
      </c>
      <c r="D159" s="51" t="s">
        <v>245</v>
      </c>
      <c r="E159" s="51" t="str">
        <f>Anchoveta!D119</f>
        <v xml:space="preserve"> STI ARPAVAL. RSU 14.01.0514</v>
      </c>
      <c r="F159" s="51" t="s">
        <v>232</v>
      </c>
      <c r="G159" s="51" t="s">
        <v>233</v>
      </c>
      <c r="H159" s="51">
        <f>Anchoveta!F119</f>
        <v>357.678</v>
      </c>
      <c r="I159" s="11">
        <f>Anchoveta!G119</f>
        <v>-74.5</v>
      </c>
      <c r="J159" s="11">
        <f>Anchoveta!H119</f>
        <v>283.178</v>
      </c>
      <c r="K159" s="11">
        <f>Anchoveta!I119</f>
        <v>144.24099999999999</v>
      </c>
      <c r="L159" s="11">
        <f>Anchoveta!K119</f>
        <v>138.93700000000001</v>
      </c>
      <c r="M159" s="48">
        <f>Anchoveta!L119</f>
        <v>0.5093651342971558</v>
      </c>
      <c r="N159" s="246" t="str">
        <f>Anchoveta!M119</f>
        <v>-</v>
      </c>
      <c r="O159" s="34">
        <f>RESUMEN!$B$3</f>
        <v>44926</v>
      </c>
      <c r="P159" s="11">
        <v>2022</v>
      </c>
    </row>
    <row r="160" spans="1:16">
      <c r="A160" s="51" t="s">
        <v>228</v>
      </c>
      <c r="B160" s="51" t="s">
        <v>191</v>
      </c>
      <c r="C160" s="51" t="s">
        <v>211</v>
      </c>
      <c r="D160" s="51" t="s">
        <v>245</v>
      </c>
      <c r="E160" s="51" t="str">
        <f>Anchoveta!D120</f>
        <v>CUOTA RESIDUAL XIV</v>
      </c>
      <c r="F160" s="51" t="s">
        <v>232</v>
      </c>
      <c r="G160" s="51" t="s">
        <v>233</v>
      </c>
      <c r="H160" s="51">
        <f>Anchoveta!F120</f>
        <v>143.46299999999999</v>
      </c>
      <c r="I160" s="11">
        <f>Anchoveta!G120</f>
        <v>0</v>
      </c>
      <c r="J160" s="11">
        <f>Anchoveta!H120</f>
        <v>143.46299999999999</v>
      </c>
      <c r="K160" s="11">
        <f>Anchoveta!I120</f>
        <v>38.483000000000004</v>
      </c>
      <c r="L160" s="11">
        <f>Anchoveta!K120</f>
        <v>104.97999999999999</v>
      </c>
      <c r="M160" s="48">
        <f>Anchoveta!L120</f>
        <v>0.26824337982615731</v>
      </c>
      <c r="N160" s="246">
        <f>Anchoveta!M120</f>
        <v>44907</v>
      </c>
      <c r="O160" s="34">
        <f>RESUMEN!$B$3</f>
        <v>44926</v>
      </c>
      <c r="P160" s="11">
        <v>2022</v>
      </c>
    </row>
    <row r="161" spans="1:16">
      <c r="A161" s="143" t="s">
        <v>228</v>
      </c>
      <c r="B161" s="143" t="s">
        <v>191</v>
      </c>
      <c r="C161" s="143" t="s">
        <v>211</v>
      </c>
      <c r="D161" s="143" t="s">
        <v>46</v>
      </c>
      <c r="E161" s="143" t="str">
        <f>Anchoveta!D122</f>
        <v xml:space="preserve">Total Región de Los Rios </v>
      </c>
      <c r="F161" s="143" t="s">
        <v>232</v>
      </c>
      <c r="G161" s="143" t="s">
        <v>233</v>
      </c>
      <c r="H161" s="143">
        <f>Anchoveta!F122</f>
        <v>13842.000000000002</v>
      </c>
      <c r="I161" s="43">
        <f>Anchoveta!G122</f>
        <v>-1690.5</v>
      </c>
      <c r="J161" s="43">
        <f>Anchoveta!H122</f>
        <v>12151.500000000002</v>
      </c>
      <c r="K161" s="43">
        <f>Anchoveta!I122</f>
        <v>4812.7069999999994</v>
      </c>
      <c r="L161" s="43">
        <f>Anchoveta!K122</f>
        <v>7338.7930000000024</v>
      </c>
      <c r="M161" s="49">
        <f>Anchoveta!L122</f>
        <v>0.39605867588363564</v>
      </c>
      <c r="N161" s="247" t="str">
        <f>Anchoveta!M122</f>
        <v>-</v>
      </c>
      <c r="O161" s="34">
        <f>RESUMEN!$B$3</f>
        <v>44926</v>
      </c>
      <c r="P161" s="11">
        <v>2022</v>
      </c>
    </row>
    <row r="162" spans="1:16">
      <c r="A162" s="51" t="s">
        <v>228</v>
      </c>
      <c r="B162" s="51" t="s">
        <v>191</v>
      </c>
      <c r="C162" s="51" t="s">
        <v>252</v>
      </c>
      <c r="D162" s="51" t="s">
        <v>245</v>
      </c>
      <c r="E162" s="51" t="str">
        <f>Anchoveta!D124</f>
        <v>ARMAR AG. RAG 320-10</v>
      </c>
      <c r="F162" s="51" t="s">
        <v>232</v>
      </c>
      <c r="G162" s="51" t="s">
        <v>233</v>
      </c>
      <c r="H162" s="51">
        <f>Anchoveta!F124</f>
        <v>487.31700000000001</v>
      </c>
      <c r="I162" s="11">
        <f>Anchoveta!G124</f>
        <v>-352.78199999999998</v>
      </c>
      <c r="J162" s="11">
        <f>Anchoveta!H124</f>
        <v>134.53500000000003</v>
      </c>
      <c r="K162" s="11">
        <f>Anchoveta!I124</f>
        <v>116.914</v>
      </c>
      <c r="L162">
        <f>Anchoveta!K124</f>
        <v>17.621000000000024</v>
      </c>
      <c r="M162" s="48">
        <f>Anchoveta!L124</f>
        <v>0.86902293083584181</v>
      </c>
      <c r="N162" s="246" t="str">
        <f>Anchoveta!M124</f>
        <v>-</v>
      </c>
      <c r="O162" s="34">
        <f>RESUMEN!$B$3</f>
        <v>44926</v>
      </c>
      <c r="P162" s="11">
        <v>2022</v>
      </c>
    </row>
    <row r="163" spans="1:16">
      <c r="A163" s="51" t="s">
        <v>228</v>
      </c>
      <c r="B163" s="51" t="s">
        <v>191</v>
      </c>
      <c r="C163" s="51" t="s">
        <v>252</v>
      </c>
      <c r="D163" s="51" t="s">
        <v>245</v>
      </c>
      <c r="E163" s="51" t="str">
        <f>Anchoveta!D125</f>
        <v>ASOGFER AG. RAG 310-10</v>
      </c>
      <c r="F163" s="51" t="s">
        <v>232</v>
      </c>
      <c r="G163" s="51" t="s">
        <v>233</v>
      </c>
      <c r="H163" s="51">
        <f>Anchoveta!F125</f>
        <v>1738.97</v>
      </c>
      <c r="I163" s="11">
        <f>Anchoveta!G125</f>
        <v>339</v>
      </c>
      <c r="J163" s="11">
        <f>Anchoveta!H125</f>
        <v>2077.9700000000003</v>
      </c>
      <c r="K163" s="11">
        <f>Anchoveta!I125</f>
        <v>2005.3140000000001</v>
      </c>
      <c r="L163" s="11">
        <f>Anchoveta!K125</f>
        <v>72.656000000000176</v>
      </c>
      <c r="M163" s="48">
        <f>Anchoveta!L125</f>
        <v>0.96503510637785905</v>
      </c>
      <c r="N163" s="246" t="str">
        <f>Anchoveta!M125</f>
        <v>-</v>
      </c>
      <c r="O163" s="34">
        <f>RESUMEN!$B$3</f>
        <v>44926</v>
      </c>
      <c r="P163" s="11">
        <v>2022</v>
      </c>
    </row>
    <row r="164" spans="1:16">
      <c r="A164" s="51" t="s">
        <v>228</v>
      </c>
      <c r="B164" s="51" t="s">
        <v>191</v>
      </c>
      <c r="C164" s="51" t="s">
        <v>252</v>
      </c>
      <c r="D164" s="51" t="s">
        <v>245</v>
      </c>
      <c r="E164" s="51" t="str">
        <f>Anchoveta!D126</f>
        <v>AGARMAR.  RAG 156-10</v>
      </c>
      <c r="F164" s="51" t="s">
        <v>232</v>
      </c>
      <c r="G164" s="51" t="s">
        <v>233</v>
      </c>
      <c r="H164" s="51">
        <f>Anchoveta!F126</f>
        <v>2052.828</v>
      </c>
      <c r="I164" s="11">
        <f>Anchoveta!G126</f>
        <v>-878</v>
      </c>
      <c r="J164" s="11">
        <f>Anchoveta!H126</f>
        <v>1174.828</v>
      </c>
      <c r="K164" s="11">
        <f>Anchoveta!I126</f>
        <v>1000.58</v>
      </c>
      <c r="L164" s="11">
        <f>Anchoveta!K126</f>
        <v>174.24799999999993</v>
      </c>
      <c r="M164" s="48">
        <f>Anchoveta!L126</f>
        <v>0.85168211857395304</v>
      </c>
      <c r="N164" s="246" t="str">
        <f>Anchoveta!M126</f>
        <v>-</v>
      </c>
      <c r="O164" s="34">
        <f>RESUMEN!$B$3</f>
        <v>44926</v>
      </c>
      <c r="P164" s="11">
        <v>2022</v>
      </c>
    </row>
    <row r="165" spans="1:16">
      <c r="A165" s="51" t="s">
        <v>228</v>
      </c>
      <c r="B165" s="51" t="s">
        <v>191</v>
      </c>
      <c r="C165" s="51" t="s">
        <v>252</v>
      </c>
      <c r="D165" s="51" t="s">
        <v>245</v>
      </c>
      <c r="E165" s="51" t="str">
        <f>Anchoveta!D127</f>
        <v>PESCA AUSTRAL. RAG 326-10</v>
      </c>
      <c r="F165" s="51" t="s">
        <v>232</v>
      </c>
      <c r="G165" s="51" t="s">
        <v>233</v>
      </c>
      <c r="H165" s="51">
        <f>Anchoveta!F127</f>
        <v>638.50699999999995</v>
      </c>
      <c r="I165" s="11">
        <f>Anchoveta!G127</f>
        <v>-603</v>
      </c>
      <c r="J165" s="11">
        <f>Anchoveta!H127</f>
        <v>35.506999999999948</v>
      </c>
      <c r="K165" s="11">
        <f>Anchoveta!I127</f>
        <v>0</v>
      </c>
      <c r="L165" s="11">
        <f>Anchoveta!K127</f>
        <v>35.506999999999948</v>
      </c>
      <c r="M165" s="48">
        <f>Anchoveta!L127</f>
        <v>0</v>
      </c>
      <c r="N165" s="246" t="str">
        <f>Anchoveta!M127</f>
        <v>-</v>
      </c>
      <c r="O165" s="34">
        <f>RESUMEN!$B$3</f>
        <v>44926</v>
      </c>
      <c r="P165" s="11">
        <v>2022</v>
      </c>
    </row>
    <row r="166" spans="1:16">
      <c r="A166" s="51" t="s">
        <v>228</v>
      </c>
      <c r="B166" s="51" t="s">
        <v>191</v>
      </c>
      <c r="C166" s="51" t="s">
        <v>252</v>
      </c>
      <c r="D166" s="51" t="s">
        <v>245</v>
      </c>
      <c r="E166" s="51" t="str">
        <f>Anchoveta!D128</f>
        <v>ASOGPESCA ANCUD. AG 4266</v>
      </c>
      <c r="F166" s="51" t="s">
        <v>232</v>
      </c>
      <c r="G166" s="51" t="s">
        <v>233</v>
      </c>
      <c r="H166" s="51">
        <f>Anchoveta!F128</f>
        <v>670.92600000000004</v>
      </c>
      <c r="I166" s="11">
        <f>Anchoveta!G128</f>
        <v>-433.89</v>
      </c>
      <c r="J166" s="11">
        <f>Anchoveta!H128</f>
        <v>237.03600000000006</v>
      </c>
      <c r="K166" s="11">
        <f>Anchoveta!I128</f>
        <v>203.60199999999998</v>
      </c>
      <c r="L166" s="11">
        <f>Anchoveta!K128</f>
        <v>33.434000000000083</v>
      </c>
      <c r="M166" s="48">
        <f>Anchoveta!L128</f>
        <v>0.85894969540491706</v>
      </c>
      <c r="N166" s="246" t="str">
        <f>Anchoveta!M128</f>
        <v>-</v>
      </c>
      <c r="O166" s="34">
        <f>RESUMEN!$B$3</f>
        <v>44926</v>
      </c>
      <c r="P166" s="11">
        <v>2022</v>
      </c>
    </row>
    <row r="167" spans="1:16">
      <c r="A167" s="51" t="s">
        <v>228</v>
      </c>
      <c r="B167" s="51" t="s">
        <v>191</v>
      </c>
      <c r="C167" s="51" t="s">
        <v>252</v>
      </c>
      <c r="D167" s="51" t="s">
        <v>245</v>
      </c>
      <c r="E167" s="51" t="str">
        <f>Anchoveta!D129</f>
        <v>AQUEPESCA. AG 270-10</v>
      </c>
      <c r="F167" s="51" t="s">
        <v>232</v>
      </c>
      <c r="G167" s="51" t="s">
        <v>233</v>
      </c>
      <c r="H167" s="51">
        <f>Anchoveta!F129</f>
        <v>338.42200000000003</v>
      </c>
      <c r="I167" s="11">
        <f>Anchoveta!G129</f>
        <v>-329</v>
      </c>
      <c r="J167" s="11">
        <f>Anchoveta!H129</f>
        <v>9.4220000000000255</v>
      </c>
      <c r="K167" s="11">
        <f>Anchoveta!I129</f>
        <v>0</v>
      </c>
      <c r="L167" s="11">
        <f>Anchoveta!K129</f>
        <v>9.4220000000000255</v>
      </c>
      <c r="M167" s="48">
        <f>Anchoveta!L129</f>
        <v>0</v>
      </c>
      <c r="N167" s="246" t="str">
        <f>Anchoveta!M129</f>
        <v>-</v>
      </c>
      <c r="O167" s="34">
        <f>RESUMEN!$B$3</f>
        <v>44926</v>
      </c>
      <c r="P167" s="11">
        <v>2022</v>
      </c>
    </row>
    <row r="168" spans="1:16">
      <c r="A168" s="51" t="s">
        <v>228</v>
      </c>
      <c r="B168" s="51" t="s">
        <v>191</v>
      </c>
      <c r="C168" s="51" t="s">
        <v>252</v>
      </c>
      <c r="D168" s="51" t="s">
        <v>245</v>
      </c>
      <c r="E168" s="51" t="str">
        <f>Anchoveta!D130</f>
        <v>STI CAMINO CHINQUIHUE. RSU 10.01.0942</v>
      </c>
      <c r="F168" s="51" t="s">
        <v>232</v>
      </c>
      <c r="G168" s="51" t="s">
        <v>233</v>
      </c>
      <c r="H168" s="51">
        <f>Anchoveta!F130</f>
        <v>336.27800000000002</v>
      </c>
      <c r="I168" s="11">
        <f>Anchoveta!G130</f>
        <v>-336</v>
      </c>
      <c r="J168" s="11">
        <f>Anchoveta!H130</f>
        <v>0.27800000000002001</v>
      </c>
      <c r="K168" s="11">
        <f>Anchoveta!I130</f>
        <v>0</v>
      </c>
      <c r="L168" s="11">
        <f>Anchoveta!K130</f>
        <v>0.27800000000002001</v>
      </c>
      <c r="M168" s="48">
        <f>Anchoveta!L130</f>
        <v>0.99917330304093632</v>
      </c>
      <c r="N168" s="246">
        <f>Anchoveta!M130</f>
        <v>44818</v>
      </c>
      <c r="O168" s="34">
        <f>RESUMEN!$B$3</f>
        <v>44926</v>
      </c>
      <c r="P168" s="11">
        <v>2022</v>
      </c>
    </row>
    <row r="169" spans="1:16">
      <c r="A169" s="51" t="s">
        <v>228</v>
      </c>
      <c r="B169" s="51" t="s">
        <v>191</v>
      </c>
      <c r="C169" s="51" t="s">
        <v>252</v>
      </c>
      <c r="D169" s="51" t="s">
        <v>245</v>
      </c>
      <c r="E169" s="51" t="str">
        <f>Anchoveta!D131</f>
        <v xml:space="preserve">STI PECERCAL RSU 10.01.0948 </v>
      </c>
      <c r="F169" s="51" t="s">
        <v>232</v>
      </c>
      <c r="G169" s="51" t="s">
        <v>233</v>
      </c>
      <c r="H169" s="51">
        <f>Anchoveta!F131</f>
        <v>1750.5160000000001</v>
      </c>
      <c r="I169" s="11">
        <f>Anchoveta!G131</f>
        <v>-1220.96</v>
      </c>
      <c r="J169" s="11">
        <f>Anchoveta!H131</f>
        <v>529.55600000000004</v>
      </c>
      <c r="K169" s="11">
        <f>Anchoveta!I131</f>
        <v>378.14399999999995</v>
      </c>
      <c r="L169" s="11">
        <f>Anchoveta!K131</f>
        <v>151.41200000000009</v>
      </c>
      <c r="M169" s="48">
        <f>Anchoveta!L131</f>
        <v>0.71407745356487307</v>
      </c>
      <c r="N169" s="246" t="str">
        <f>Anchoveta!M131</f>
        <v>-</v>
      </c>
      <c r="O169" s="34">
        <f>RESUMEN!$B$3</f>
        <v>44926</v>
      </c>
      <c r="P169" s="11">
        <v>2022</v>
      </c>
    </row>
    <row r="170" spans="1:16">
      <c r="A170" s="51" t="s">
        <v>228</v>
      </c>
      <c r="B170" s="51" t="s">
        <v>191</v>
      </c>
      <c r="C170" s="51" t="s">
        <v>252</v>
      </c>
      <c r="D170" s="51" t="s">
        <v>245</v>
      </c>
      <c r="E170" s="51" t="str">
        <f>Anchoveta!D132</f>
        <v>STI PROVEEDORES MARITIMOS DE QUILLAIPE. RSU 10.01.0835</v>
      </c>
      <c r="F170" s="51" t="s">
        <v>232</v>
      </c>
      <c r="G170" s="51" t="s">
        <v>233</v>
      </c>
      <c r="H170" s="51">
        <f>Anchoveta!F132</f>
        <v>297.404</v>
      </c>
      <c r="I170" s="11">
        <f>Anchoveta!G132</f>
        <v>-17</v>
      </c>
      <c r="J170" s="11">
        <f>Anchoveta!H132</f>
        <v>280.404</v>
      </c>
      <c r="K170" s="11">
        <f>Anchoveta!I132</f>
        <v>255.02800000000002</v>
      </c>
      <c r="L170" s="11">
        <f>Anchoveta!K132</f>
        <v>25.375999999999976</v>
      </c>
      <c r="M170" s="48">
        <f>Anchoveta!L132</f>
        <v>0.90950200425100935</v>
      </c>
      <c r="N170" s="246" t="str">
        <f>Anchoveta!M132</f>
        <v>-</v>
      </c>
      <c r="O170" s="34">
        <f>RESUMEN!$B$3</f>
        <v>44926</v>
      </c>
      <c r="P170" s="11">
        <v>2022</v>
      </c>
    </row>
    <row r="171" spans="1:16">
      <c r="A171" s="51" t="s">
        <v>228</v>
      </c>
      <c r="B171" s="51" t="s">
        <v>191</v>
      </c>
      <c r="C171" s="51" t="s">
        <v>252</v>
      </c>
      <c r="D171" s="51" t="s">
        <v>245</v>
      </c>
      <c r="E171" s="51" t="str">
        <f>Anchoveta!D133</f>
        <v>CUOTA RESIDUAL X</v>
      </c>
      <c r="F171" s="51" t="s">
        <v>232</v>
      </c>
      <c r="G171" s="51" t="s">
        <v>233</v>
      </c>
      <c r="H171" s="51">
        <f>Anchoveta!F133</f>
        <v>216.83199999999999</v>
      </c>
      <c r="I171" s="11">
        <f>Anchoveta!G133</f>
        <v>0</v>
      </c>
      <c r="J171" s="11">
        <f>Anchoveta!H133</f>
        <v>216.83199999999999</v>
      </c>
      <c r="K171" s="11">
        <f>Anchoveta!I133</f>
        <v>367.28100000000006</v>
      </c>
      <c r="L171" s="11">
        <f>Anchoveta!K133</f>
        <v>-150.44900000000007</v>
      </c>
      <c r="M171" s="48">
        <f>Anchoveta!L133</f>
        <v>1.69385053866588</v>
      </c>
      <c r="N171" s="246">
        <f>Anchoveta!M133</f>
        <v>44897</v>
      </c>
      <c r="O171" s="34">
        <f>RESUMEN!$B$3</f>
        <v>44926</v>
      </c>
      <c r="P171" s="11">
        <v>2022</v>
      </c>
    </row>
    <row r="172" spans="1:16">
      <c r="A172" s="143" t="s">
        <v>228</v>
      </c>
      <c r="B172" s="143" t="s">
        <v>191</v>
      </c>
      <c r="C172" s="143" t="s">
        <v>252</v>
      </c>
      <c r="D172" s="143" t="s">
        <v>46</v>
      </c>
      <c r="E172" s="143" t="str">
        <f>Anchoveta!D135</f>
        <v xml:space="preserve">Total Región de Los Lagos </v>
      </c>
      <c r="F172" s="143" t="s">
        <v>232</v>
      </c>
      <c r="G172" s="143" t="s">
        <v>233</v>
      </c>
      <c r="H172" s="143">
        <f>Anchoveta!F135</f>
        <v>8528</v>
      </c>
      <c r="I172" s="43">
        <f>Anchoveta!G135</f>
        <v>-3781.6320000000001</v>
      </c>
      <c r="J172" s="43">
        <f>Anchoveta!H135</f>
        <v>4746.3680000000004</v>
      </c>
      <c r="K172" s="43">
        <f>Anchoveta!I135</f>
        <v>4326.8629999999994</v>
      </c>
      <c r="L172" s="43">
        <f>Anchoveta!K135</f>
        <v>419.50500000000102</v>
      </c>
      <c r="M172" s="49">
        <f>Anchoveta!L135</f>
        <v>0.91161557637334467</v>
      </c>
      <c r="N172" s="247" t="str">
        <f>Anchoveta!M135</f>
        <v>-</v>
      </c>
      <c r="O172" s="34">
        <f>RESUMEN!$B$3</f>
        <v>44926</v>
      </c>
      <c r="P172" s="11">
        <v>2022</v>
      </c>
    </row>
    <row r="173" spans="1:16">
      <c r="A173" s="51" t="s">
        <v>155</v>
      </c>
      <c r="B173" s="51" t="s">
        <v>253</v>
      </c>
      <c r="C173" s="51" t="s">
        <v>246</v>
      </c>
      <c r="D173" s="51" t="s">
        <v>245</v>
      </c>
      <c r="E173" s="51" t="str">
        <f>'Sardina comun'!D7</f>
        <v>AG DEL PUERTO DE SAN ANTONIO. RAG 2510</v>
      </c>
      <c r="F173" s="51" t="s">
        <v>232</v>
      </c>
      <c r="G173" s="51" t="s">
        <v>233</v>
      </c>
      <c r="H173" s="51">
        <f>'Sardina comun'!F7</f>
        <v>3048.2710000000002</v>
      </c>
      <c r="I173" s="11">
        <f>'Sardina comun'!G7</f>
        <v>-1805.884</v>
      </c>
      <c r="J173" s="11">
        <f>'Sardina comun'!H7</f>
        <v>1242.3870000000002</v>
      </c>
      <c r="K173" s="11">
        <f>'Sardina comun'!I7</f>
        <v>0</v>
      </c>
      <c r="L173">
        <f>'Sardina comun'!K7</f>
        <v>1242.3870000000002</v>
      </c>
      <c r="M173" s="48">
        <f>'Sardina comun'!L7</f>
        <v>0.59242895398735873</v>
      </c>
      <c r="N173" s="246">
        <f>'Sardina comun'!M7</f>
        <v>44678</v>
      </c>
      <c r="O173" s="34">
        <f>RESUMEN!$B$3</f>
        <v>44926</v>
      </c>
      <c r="P173" s="11">
        <v>2022</v>
      </c>
    </row>
    <row r="174" spans="1:16">
      <c r="A174" s="51" t="s">
        <v>155</v>
      </c>
      <c r="B174" s="51" t="s">
        <v>253</v>
      </c>
      <c r="C174" s="51" t="s">
        <v>254</v>
      </c>
      <c r="D174" s="51" t="s">
        <v>245</v>
      </c>
      <c r="E174" s="51" t="str">
        <f>'Sardina comun'!D8</f>
        <v>ASOCIACION GREMIAL AGRAPES DE SAN ANTONIO "AG AGRAPES" RAG 4399</v>
      </c>
      <c r="F174" s="51" t="s">
        <v>232</v>
      </c>
      <c r="G174" s="51" t="s">
        <v>233</v>
      </c>
      <c r="H174" s="51">
        <f>'Sardina comun'!F8</f>
        <v>628.03300000000002</v>
      </c>
      <c r="I174" s="11">
        <f>'Sardina comun'!G8</f>
        <v>-628.03300000000002</v>
      </c>
      <c r="J174" s="11">
        <f>'Sardina comun'!H8</f>
        <v>0</v>
      </c>
      <c r="K174" s="11">
        <f>'Sardina comun'!I8</f>
        <v>0</v>
      </c>
      <c r="L174" s="11">
        <f>'Sardina comun'!K8</f>
        <v>0</v>
      </c>
      <c r="M174" s="48">
        <f>'Sardina comun'!L8</f>
        <v>1</v>
      </c>
      <c r="N174" s="246" t="str">
        <f>'Sardina comun'!M8</f>
        <v>-</v>
      </c>
      <c r="O174" s="34">
        <f>RESUMEN!$B$3</f>
        <v>44926</v>
      </c>
      <c r="P174" s="11">
        <v>2022</v>
      </c>
    </row>
    <row r="175" spans="1:16">
      <c r="A175" s="51" t="s">
        <v>155</v>
      </c>
      <c r="B175" s="51" t="s">
        <v>253</v>
      </c>
      <c r="C175" s="51" t="s">
        <v>254</v>
      </c>
      <c r="D175" s="51" t="s">
        <v>245</v>
      </c>
      <c r="E175" s="51" t="str">
        <f>'Sardina comun'!D9</f>
        <v>STI MUELLE SUD AMERICANA. RSU 05.01.0462</v>
      </c>
      <c r="F175" s="51" t="s">
        <v>232</v>
      </c>
      <c r="G175" s="51" t="s">
        <v>233</v>
      </c>
      <c r="H175" s="51">
        <f>'Sardina comun'!F9</f>
        <v>3.0550000000000002</v>
      </c>
      <c r="I175" s="11">
        <f>'Sardina comun'!G9</f>
        <v>0</v>
      </c>
      <c r="J175" s="11">
        <f>'Sardina comun'!H9</f>
        <v>3.0550000000000002</v>
      </c>
      <c r="K175" s="11">
        <f>'Sardina comun'!I9</f>
        <v>0</v>
      </c>
      <c r="L175" s="11">
        <f>'Sardina comun'!K9</f>
        <v>3.0550000000000002</v>
      </c>
      <c r="M175" s="48">
        <f>'Sardina comun'!L9</f>
        <v>0</v>
      </c>
      <c r="N175" s="246" t="str">
        <f>'Sardina comun'!M9</f>
        <v>-</v>
      </c>
      <c r="O175" s="34">
        <f>RESUMEN!$B$3</f>
        <v>44926</v>
      </c>
      <c r="P175" s="11">
        <v>2022</v>
      </c>
    </row>
    <row r="176" spans="1:16" s="11" customFormat="1">
      <c r="A176" s="51" t="s">
        <v>155</v>
      </c>
      <c r="B176" s="51" t="s">
        <v>253</v>
      </c>
      <c r="C176" s="51" t="s">
        <v>254</v>
      </c>
      <c r="D176" s="51" t="s">
        <v>245</v>
      </c>
      <c r="E176" s="51" t="str">
        <f>'Sardina comun'!D10</f>
        <v>Sindicato  de Trabajadores  Independientes de Pescadores Montemar, de la Comuna de San Antonio, provincia de San Antonio, V region. Registro Único Sindical  N° 05040117</v>
      </c>
      <c r="F176" s="51" t="s">
        <v>232</v>
      </c>
      <c r="G176" s="51" t="s">
        <v>233</v>
      </c>
      <c r="H176" s="51">
        <f>'Sardina comun'!F10</f>
        <v>35.347999999999999</v>
      </c>
      <c r="I176" s="11">
        <f>'Sardina comun'!G10</f>
        <v>0</v>
      </c>
      <c r="J176" s="11">
        <f>'Sardina comun'!H10</f>
        <v>35.347999999999999</v>
      </c>
      <c r="K176" s="11">
        <f>'Sardina comun'!I10</f>
        <v>0</v>
      </c>
      <c r="L176" s="11">
        <f>'Sardina comun'!K10</f>
        <v>35.347999999999999</v>
      </c>
      <c r="M176" s="48">
        <f>'Sardina comun'!L10</f>
        <v>0</v>
      </c>
      <c r="N176" s="246" t="str">
        <f>'Sardina comun'!M10</f>
        <v>-</v>
      </c>
      <c r="O176" s="34">
        <f>RESUMEN!$B$3</f>
        <v>44926</v>
      </c>
      <c r="P176" s="11">
        <v>2022</v>
      </c>
    </row>
    <row r="177" spans="1:16" s="11" customFormat="1">
      <c r="A177" s="51" t="s">
        <v>155</v>
      </c>
      <c r="B177" s="51" t="s">
        <v>253</v>
      </c>
      <c r="C177" s="51" t="s">
        <v>254</v>
      </c>
      <c r="D177" s="51" t="s">
        <v>245</v>
      </c>
      <c r="E177" s="51" t="str">
        <f>'Sardina comun'!D11</f>
        <v>Sindicato de Trabajadores Independientes Pescadores Artesanales de Caleta Higuerilla, Concon. Registro Unico Sindical N° 5060048</v>
      </c>
      <c r="F177" s="51" t="s">
        <v>232</v>
      </c>
      <c r="G177" s="51" t="s">
        <v>233</v>
      </c>
      <c r="H177" s="51">
        <f>'Sardina comun'!F11</f>
        <v>1.9059999999999999</v>
      </c>
      <c r="I177" s="11">
        <f>'Sardina comun'!G11</f>
        <v>0</v>
      </c>
      <c r="J177" s="11">
        <f>'Sardina comun'!H11</f>
        <v>1.9059999999999999</v>
      </c>
      <c r="K177" s="11">
        <f>'Sardina comun'!I11</f>
        <v>0</v>
      </c>
      <c r="L177" s="11">
        <f>'Sardina comun'!K11</f>
        <v>1.9059999999999999</v>
      </c>
      <c r="M177" s="48">
        <f>'Sardina comun'!L11</f>
        <v>0</v>
      </c>
      <c r="N177" s="246" t="str">
        <f>'Sardina comun'!M11</f>
        <v>-</v>
      </c>
      <c r="O177" s="34">
        <f>RESUMEN!$B$3</f>
        <v>44926</v>
      </c>
      <c r="P177" s="11">
        <v>2022</v>
      </c>
    </row>
    <row r="178" spans="1:16">
      <c r="A178" s="51" t="s">
        <v>155</v>
      </c>
      <c r="B178" s="51" t="s">
        <v>253</v>
      </c>
      <c r="C178" s="51" t="s">
        <v>254</v>
      </c>
      <c r="D178" s="51" t="s">
        <v>245</v>
      </c>
      <c r="E178" s="51" t="str">
        <f>'Sardina comun'!D12</f>
        <v>Cuota Residual V</v>
      </c>
      <c r="F178" s="51" t="s">
        <v>232</v>
      </c>
      <c r="G178" s="51" t="s">
        <v>233</v>
      </c>
      <c r="H178" s="51">
        <f>'Sardina comun'!F12</f>
        <v>185.387</v>
      </c>
      <c r="I178" s="11">
        <f>'Sardina comun'!G12</f>
        <v>0</v>
      </c>
      <c r="J178" s="11">
        <f>'Sardina comun'!H12</f>
        <v>185.387</v>
      </c>
      <c r="K178" s="11">
        <f>'Sardina comun'!I12</f>
        <v>42.05</v>
      </c>
      <c r="L178" s="11">
        <f>'Sardina comun'!K12</f>
        <v>143.33699999999999</v>
      </c>
      <c r="M178" s="48">
        <f>'Sardina comun'!L12</f>
        <v>0.22682280850329309</v>
      </c>
      <c r="N178" s="248" t="str">
        <f>'Sardina comun'!M12</f>
        <v>-</v>
      </c>
      <c r="O178" s="34">
        <f>RESUMEN!$B$3</f>
        <v>44926</v>
      </c>
      <c r="P178" s="11">
        <v>2022</v>
      </c>
    </row>
    <row r="179" spans="1:16">
      <c r="A179" s="143" t="s">
        <v>155</v>
      </c>
      <c r="B179" s="143" t="s">
        <v>253</v>
      </c>
      <c r="C179" s="143" t="s">
        <v>254</v>
      </c>
      <c r="D179" s="143" t="s">
        <v>46</v>
      </c>
      <c r="E179" s="143" t="str">
        <f>'Sardina comun'!D13</f>
        <v xml:space="preserve">Total Región de Valparaíso </v>
      </c>
      <c r="F179" s="143" t="s">
        <v>232</v>
      </c>
      <c r="G179" s="143" t="s">
        <v>233</v>
      </c>
      <c r="H179" s="143">
        <f>'Sardina comun'!F13</f>
        <v>3902</v>
      </c>
      <c r="I179" s="43">
        <f>'Sardina comun'!G13</f>
        <v>-2433.9169999999999</v>
      </c>
      <c r="J179" s="43">
        <f>'Sardina comun'!H13</f>
        <v>1468.0830000000001</v>
      </c>
      <c r="K179" s="43">
        <f>'Sardina comun'!I13</f>
        <v>42.05</v>
      </c>
      <c r="L179" s="43">
        <f>'Sardina comun'!K13</f>
        <v>1426.0330000000001</v>
      </c>
      <c r="M179" s="49">
        <f>'Sardina comun'!L13</f>
        <v>2.8642794719372131E-2</v>
      </c>
      <c r="N179" s="247" t="str">
        <f>'Sardina comun'!M13</f>
        <v>-</v>
      </c>
      <c r="O179" s="34">
        <f>RESUMEN!$B$3</f>
        <v>44926</v>
      </c>
      <c r="P179" s="11">
        <v>2022</v>
      </c>
    </row>
    <row r="180" spans="1:16">
      <c r="A180" s="51" t="s">
        <v>155</v>
      </c>
      <c r="B180" s="51" t="s">
        <v>253</v>
      </c>
      <c r="C180" s="51" t="s">
        <v>247</v>
      </c>
      <c r="D180" s="51" t="s">
        <v>46</v>
      </c>
      <c r="E180" s="51" t="str">
        <f>'Sardina comun'!D15</f>
        <v>Región de O´Higgins</v>
      </c>
      <c r="F180" s="51" t="s">
        <v>232</v>
      </c>
      <c r="G180" s="51" t="s">
        <v>233</v>
      </c>
      <c r="H180" s="51">
        <f>'Sardina comun'!F15</f>
        <v>92</v>
      </c>
      <c r="I180" s="11">
        <f>'Sardina comun'!G15</f>
        <v>0</v>
      </c>
      <c r="J180" s="11">
        <f>'Sardina comun'!H15</f>
        <v>92</v>
      </c>
      <c r="K180" s="11">
        <f>'Sardina comun'!I15</f>
        <v>0</v>
      </c>
      <c r="L180">
        <f>'Sardina comun'!K15</f>
        <v>92</v>
      </c>
      <c r="M180" s="48">
        <f>'Sardina comun'!L15</f>
        <v>0</v>
      </c>
      <c r="N180" s="246" t="str">
        <f>'Sardina comun'!M15</f>
        <v>-</v>
      </c>
      <c r="O180" s="34">
        <f>RESUMEN!$B$3</f>
        <v>44926</v>
      </c>
      <c r="P180" s="11">
        <v>2022</v>
      </c>
    </row>
    <row r="181" spans="1:16">
      <c r="A181" s="143" t="s">
        <v>155</v>
      </c>
      <c r="B181" s="143" t="s">
        <v>253</v>
      </c>
      <c r="C181" s="143" t="s">
        <v>247</v>
      </c>
      <c r="D181" s="143" t="s">
        <v>46</v>
      </c>
      <c r="E181" s="143" t="str">
        <f>'Sardina comun'!D16</f>
        <v>Total Región de O´Higgins</v>
      </c>
      <c r="F181" s="143" t="s">
        <v>232</v>
      </c>
      <c r="G181" s="143" t="s">
        <v>233</v>
      </c>
      <c r="H181" s="143">
        <f>'Sardina comun'!F16</f>
        <v>92</v>
      </c>
      <c r="I181" s="43">
        <f>'Sardina comun'!G16</f>
        <v>0</v>
      </c>
      <c r="J181" s="43">
        <f>'Sardina comun'!H16</f>
        <v>92</v>
      </c>
      <c r="K181" s="43">
        <f>'Sardina comun'!I16</f>
        <v>0</v>
      </c>
      <c r="L181" s="43">
        <f>'Sardina comun'!K16</f>
        <v>92</v>
      </c>
      <c r="M181" s="49">
        <f>'Sardina comun'!L16</f>
        <v>0</v>
      </c>
      <c r="N181" s="247" t="str">
        <f>'Sardina comun'!M16</f>
        <v>-</v>
      </c>
      <c r="O181" s="34">
        <f>RESUMEN!$B$3</f>
        <v>44926</v>
      </c>
      <c r="P181" s="11">
        <v>2022</v>
      </c>
    </row>
    <row r="182" spans="1:16">
      <c r="A182" s="51" t="s">
        <v>155</v>
      </c>
      <c r="B182" s="51" t="s">
        <v>253</v>
      </c>
      <c r="C182" s="51" t="s">
        <v>248</v>
      </c>
      <c r="D182" s="51" t="s">
        <v>245</v>
      </c>
      <c r="E182" s="51" t="str">
        <f>'Sardina comun'!D18</f>
        <v>Sindicato de Pescadores "Pelágicos del Maule" Constitución, Registro Sindical Único 07.05.0150</v>
      </c>
      <c r="F182" s="51" t="s">
        <v>232</v>
      </c>
      <c r="G182" s="51" t="s">
        <v>233</v>
      </c>
      <c r="H182" s="51">
        <f>'Sardina comun'!F18</f>
        <v>825.24599999999998</v>
      </c>
      <c r="I182" s="11">
        <f>'Sardina comun'!G18</f>
        <v>-739.27</v>
      </c>
      <c r="J182" s="11">
        <f>'Sardina comun'!H18</f>
        <v>85.975999999999999</v>
      </c>
      <c r="K182" s="11">
        <f>'Sardina comun'!I18</f>
        <v>0</v>
      </c>
      <c r="L182">
        <f>'Sardina comun'!K18</f>
        <v>85.975999999999999</v>
      </c>
      <c r="M182" s="48">
        <f>'Sardina comun'!L18</f>
        <v>0.89581773192478364</v>
      </c>
      <c r="N182" s="246" t="str">
        <f>'Sardina comun'!M18</f>
        <v>-</v>
      </c>
      <c r="O182" s="34">
        <f>RESUMEN!$B$3</f>
        <v>44926</v>
      </c>
      <c r="P182" s="11">
        <v>2022</v>
      </c>
    </row>
    <row r="183" spans="1:16">
      <c r="A183" s="145" t="s">
        <v>155</v>
      </c>
      <c r="B183" s="145" t="s">
        <v>253</v>
      </c>
      <c r="C183" s="145" t="s">
        <v>248</v>
      </c>
      <c r="D183" s="145" t="s">
        <v>245</v>
      </c>
      <c r="E183" s="51" t="str">
        <f>'Sardina comun'!D19</f>
        <v>STI Pescadores Artesanales de Constitución SIPARCON, RSU 07.05.0193</v>
      </c>
      <c r="F183" s="145" t="s">
        <v>232</v>
      </c>
      <c r="G183" s="145" t="s">
        <v>233</v>
      </c>
      <c r="H183" s="51">
        <f>'Sardina comun'!F19</f>
        <v>447.447</v>
      </c>
      <c r="I183" s="11">
        <f>'Sardina comun'!G19</f>
        <v>-447.43100000000004</v>
      </c>
      <c r="J183" s="11">
        <f>'Sardina comun'!H19</f>
        <v>1.5999999999962711E-2</v>
      </c>
      <c r="K183" s="11">
        <f>'Sardina comun'!I19</f>
        <v>0</v>
      </c>
      <c r="L183" s="11">
        <f>'Sardina comun'!K19</f>
        <v>1.5999999999962711E-2</v>
      </c>
      <c r="M183" s="48">
        <f>'Sardina comun'!L19</f>
        <v>0.99996424157497987</v>
      </c>
      <c r="N183" s="246" t="str">
        <f>'Sardina comun'!M19</f>
        <v>-</v>
      </c>
      <c r="O183" s="34">
        <f>RESUMEN!$B$3</f>
        <v>44926</v>
      </c>
      <c r="P183" s="11">
        <v>2022</v>
      </c>
    </row>
    <row r="184" spans="1:16">
      <c r="A184" s="51" t="s">
        <v>155</v>
      </c>
      <c r="B184" s="51" t="s">
        <v>253</v>
      </c>
      <c r="C184" s="51" t="s">
        <v>248</v>
      </c>
      <c r="D184" s="51" t="s">
        <v>245</v>
      </c>
      <c r="E184" s="51" t="str">
        <f>'Sardina comun'!D20</f>
        <v>Cuota Residual VII</v>
      </c>
      <c r="F184" s="51" t="s">
        <v>232</v>
      </c>
      <c r="G184" s="51" t="s">
        <v>233</v>
      </c>
      <c r="H184" s="51">
        <f>'Sardina comun'!F20</f>
        <v>138.30699999999999</v>
      </c>
      <c r="I184" s="11">
        <f>'Sardina comun'!G20</f>
        <v>0</v>
      </c>
      <c r="J184" s="11">
        <f>'Sardina comun'!H20</f>
        <v>138.30699999999999</v>
      </c>
      <c r="K184" s="11">
        <f>'Sardina comun'!I20</f>
        <v>0</v>
      </c>
      <c r="L184" s="11">
        <f>'Sardina comun'!K20</f>
        <v>138.30699999999999</v>
      </c>
      <c r="M184" s="48">
        <f>'Sardina comun'!L20</f>
        <v>0</v>
      </c>
      <c r="N184" s="246" t="str">
        <f>'Sardina comun'!M20</f>
        <v>-</v>
      </c>
      <c r="O184" s="34">
        <f>RESUMEN!$B$3</f>
        <v>44926</v>
      </c>
      <c r="P184" s="11">
        <v>2022</v>
      </c>
    </row>
    <row r="185" spans="1:16">
      <c r="A185" s="143" t="s">
        <v>155</v>
      </c>
      <c r="B185" s="143" t="s">
        <v>253</v>
      </c>
      <c r="C185" s="143" t="s">
        <v>248</v>
      </c>
      <c r="D185" s="143" t="s">
        <v>46</v>
      </c>
      <c r="E185" s="143" t="str">
        <f>'Sardina comun'!D21</f>
        <v>Total Región del Maule</v>
      </c>
      <c r="F185" s="143" t="s">
        <v>232</v>
      </c>
      <c r="G185" s="143" t="s">
        <v>233</v>
      </c>
      <c r="H185" s="51">
        <f>'Sardina comun'!F21</f>
        <v>1411</v>
      </c>
      <c r="I185" s="11">
        <f>'Sardina comun'!G21</f>
        <v>-1186.701</v>
      </c>
      <c r="J185" s="11">
        <f>'Sardina comun'!H21</f>
        <v>224.29899999999998</v>
      </c>
      <c r="K185" s="11">
        <f>'Sardina comun'!I21</f>
        <v>0</v>
      </c>
      <c r="L185" s="11">
        <f>'Sardina comun'!K21</f>
        <v>224.29899999999998</v>
      </c>
      <c r="M185" s="48">
        <f>'Sardina comun'!L21</f>
        <v>0</v>
      </c>
      <c r="N185" s="246" t="str">
        <f>'Sardina comun'!M21</f>
        <v>-</v>
      </c>
      <c r="O185" s="34">
        <f>RESUMEN!$B$3</f>
        <v>44926</v>
      </c>
      <c r="P185" s="11">
        <v>2022</v>
      </c>
    </row>
    <row r="186" spans="1:16">
      <c r="A186" s="51" t="s">
        <v>155</v>
      </c>
      <c r="B186" s="51" t="s">
        <v>253</v>
      </c>
      <c r="C186" s="51" t="s">
        <v>250</v>
      </c>
      <c r="D186" s="51" t="s">
        <v>245</v>
      </c>
      <c r="E186" s="51" t="str">
        <f>'Sardina comun'!D23</f>
        <v>Agrupación de Armadores Golfo de Arauco, Personalidad Jurídica N° 621</v>
      </c>
      <c r="F186" s="51" t="s">
        <v>232</v>
      </c>
      <c r="G186" s="51" t="s">
        <v>233</v>
      </c>
      <c r="H186" s="51">
        <f>'Sardina comun'!F23</f>
        <v>308.09300000000002</v>
      </c>
      <c r="I186" s="11">
        <f>'Sardina comun'!G23</f>
        <v>-143</v>
      </c>
      <c r="J186" s="11">
        <f>'Sardina comun'!H23</f>
        <v>165.09300000000002</v>
      </c>
      <c r="K186" s="11">
        <f>'Sardina comun'!I23</f>
        <v>215.42600062561033</v>
      </c>
      <c r="L186">
        <f>'Sardina comun'!K23</f>
        <v>-50.33300062561031</v>
      </c>
      <c r="M186" s="48">
        <f>'Sardina comun'!L23</f>
        <v>1.3048766490742205</v>
      </c>
      <c r="N186" s="246" t="str">
        <f>'IC Anch y SardC VIII'!O6</f>
        <v>-</v>
      </c>
      <c r="O186" s="34">
        <f>RESUMEN!$B$3</f>
        <v>44926</v>
      </c>
      <c r="P186" s="11">
        <v>2022</v>
      </c>
    </row>
    <row r="187" spans="1:16">
      <c r="A187" s="51" t="s">
        <v>155</v>
      </c>
      <c r="B187" s="51" t="s">
        <v>253</v>
      </c>
      <c r="C187" s="51" t="s">
        <v>250</v>
      </c>
      <c r="D187" s="51" t="s">
        <v>245</v>
      </c>
      <c r="E187" s="51" t="str">
        <f>'Sardina comun'!D24</f>
        <v>Agrupación de Armadores y Pescadores Artesanales Pelágicos Puerto Sur Isla Santa María. Personalidad Jurídica N° 1728</v>
      </c>
      <c r="F187" s="51" t="s">
        <v>232</v>
      </c>
      <c r="G187" s="51" t="s">
        <v>233</v>
      </c>
      <c r="H187" s="51">
        <f>'Sardina comun'!F24</f>
        <v>284.95999999999998</v>
      </c>
      <c r="I187" s="11">
        <f>'Sardina comun'!G24</f>
        <v>0</v>
      </c>
      <c r="J187" s="11">
        <f>'Sardina comun'!H24</f>
        <v>284.95999999999998</v>
      </c>
      <c r="K187" s="11">
        <f>'Sardina comun'!I24</f>
        <v>290.10900000000004</v>
      </c>
      <c r="L187" s="11">
        <f>'Sardina comun'!K24</f>
        <v>-5.1490000000000578</v>
      </c>
      <c r="M187" s="48">
        <f>'Sardina comun'!L24</f>
        <v>1.0180692026951152</v>
      </c>
      <c r="N187" s="246" t="str">
        <f>'IC Anch y SardC VIII'!O7</f>
        <v>-</v>
      </c>
      <c r="O187" s="34">
        <f>RESUMEN!$B$3</f>
        <v>44926</v>
      </c>
      <c r="P187" s="11">
        <v>2022</v>
      </c>
    </row>
    <row r="188" spans="1:16">
      <c r="A188" s="51" t="s">
        <v>155</v>
      </c>
      <c r="B188" s="51" t="s">
        <v>253</v>
      </c>
      <c r="C188" s="51" t="s">
        <v>250</v>
      </c>
      <c r="D188" s="51" t="s">
        <v>245</v>
      </c>
      <c r="E188" s="51" t="str">
        <f>'Sardina comun'!D25</f>
        <v>Agrupación de Armadores y Pescadores Pelágicos de Caleta Tubul, Registro de Organización Comunitaria Funcional 478-2007</v>
      </c>
      <c r="F188" s="51" t="s">
        <v>232</v>
      </c>
      <c r="G188" s="51" t="s">
        <v>233</v>
      </c>
      <c r="H188" s="51">
        <f>'Sardina comun'!F25</f>
        <v>1269.1120000000001</v>
      </c>
      <c r="I188" s="11">
        <f>'Sardina comun'!G25</f>
        <v>-590</v>
      </c>
      <c r="J188" s="11">
        <f>'Sardina comun'!H25</f>
        <v>679.11200000000008</v>
      </c>
      <c r="K188" s="11">
        <f>'Sardina comun'!I25</f>
        <v>433.49399999973173</v>
      </c>
      <c r="L188" s="11">
        <f>'Sardina comun'!K25</f>
        <v>245.61800000026835</v>
      </c>
      <c r="M188" s="48">
        <f>'Sardina comun'!L25</f>
        <v>0.63832475350123641</v>
      </c>
      <c r="N188" s="246" t="str">
        <f>'IC Anch y SardC VIII'!O8</f>
        <v>-</v>
      </c>
      <c r="O188" s="34">
        <f>RESUMEN!$B$3</f>
        <v>44926</v>
      </c>
      <c r="P188" s="11">
        <v>2022</v>
      </c>
    </row>
    <row r="189" spans="1:16">
      <c r="A189" s="51" t="s">
        <v>155</v>
      </c>
      <c r="B189" s="51" t="s">
        <v>253</v>
      </c>
      <c r="C189" s="51" t="s">
        <v>250</v>
      </c>
      <c r="D189" s="51" t="s">
        <v>245</v>
      </c>
      <c r="E189" s="51" t="str">
        <f>'Sardina comun'!D26</f>
        <v>Agrupación Gremial de Productores Pelágicos, Armadores Artesanales de Talcahuano, Región del Bío Bío "AGREPAR BIO BIO A.G". Registro de Asociaciones Gremiales N° 468-8</v>
      </c>
      <c r="F189" s="51" t="s">
        <v>232</v>
      </c>
      <c r="G189" s="51" t="s">
        <v>233</v>
      </c>
      <c r="H189" s="51">
        <f>'Sardina comun'!F26</f>
        <v>3470.5120000000002</v>
      </c>
      <c r="I189" s="11">
        <f>'Sardina comun'!G26</f>
        <v>-2662</v>
      </c>
      <c r="J189" s="11">
        <f>'Sardina comun'!H26</f>
        <v>808.51200000000017</v>
      </c>
      <c r="K189" s="11">
        <f>'Sardina comun'!I26</f>
        <v>216.4290131835935</v>
      </c>
      <c r="L189" s="11">
        <f>'Sardina comun'!K26</f>
        <v>592.08298681640667</v>
      </c>
      <c r="M189" s="48">
        <f>'Sardina comun'!L26</f>
        <v>0.26768806546296586</v>
      </c>
      <c r="N189" s="246" t="str">
        <f>'IC Anch y SardC VIII'!O9</f>
        <v>-</v>
      </c>
      <c r="O189" s="34">
        <f>RESUMEN!$B$3</f>
        <v>44926</v>
      </c>
      <c r="P189" s="11">
        <v>2022</v>
      </c>
    </row>
    <row r="190" spans="1:16">
      <c r="A190" s="51" t="s">
        <v>155</v>
      </c>
      <c r="B190" s="51" t="s">
        <v>253</v>
      </c>
      <c r="C190" s="51" t="s">
        <v>250</v>
      </c>
      <c r="D190" s="51" t="s">
        <v>245</v>
      </c>
      <c r="E190" s="51" t="str">
        <f>'Sardina comun'!D27</f>
        <v>Asociación de Armadores, Pescadores Artesanales y Actividades Afines de la Octava Región, Asociación Gremial ARPESCA A.G., Registro de Asociaciones Gremiales 429-8</v>
      </c>
      <c r="F190" s="51" t="s">
        <v>232</v>
      </c>
      <c r="G190" s="51" t="s">
        <v>233</v>
      </c>
      <c r="H190" s="51">
        <f>'Sardina comun'!F27</f>
        <v>3411.7710000000002</v>
      </c>
      <c r="I190" s="11">
        <f>'Sardina comun'!G27</f>
        <v>-958.69999999999982</v>
      </c>
      <c r="J190" s="11">
        <f>'Sardina comun'!H27</f>
        <v>2453.0710000000004</v>
      </c>
      <c r="K190" s="11">
        <f>'Sardina comun'!I27</f>
        <v>0</v>
      </c>
      <c r="L190" s="11">
        <f>'Sardina comun'!K27</f>
        <v>2453.0710000000004</v>
      </c>
      <c r="M190" s="48">
        <f>'Sardina comun'!L27</f>
        <v>0.28099775746965427</v>
      </c>
      <c r="N190" s="246" t="str">
        <f>'IC Anch y SardC VIII'!O10</f>
        <v>-</v>
      </c>
      <c r="O190" s="34">
        <f>RESUMEN!$B$3</f>
        <v>44926</v>
      </c>
      <c r="P190" s="11">
        <v>2022</v>
      </c>
    </row>
    <row r="191" spans="1:16">
      <c r="A191" s="51" t="s">
        <v>155</v>
      </c>
      <c r="B191" s="51" t="s">
        <v>253</v>
      </c>
      <c r="C191" s="51" t="s">
        <v>250</v>
      </c>
      <c r="D191" s="51" t="s">
        <v>245</v>
      </c>
      <c r="E191" s="51" t="str">
        <f>'Sardina comun'!D28</f>
        <v>Asociación Gremial Armadores Artesanales Pelágico Coronel-Lota del Bío Bío, ARPES BIO BIO A.G., Registro de Asociaciones Gremiales 445-8</v>
      </c>
      <c r="F191" s="51" t="s">
        <v>232</v>
      </c>
      <c r="G191" s="51" t="s">
        <v>233</v>
      </c>
      <c r="H191" s="51">
        <f>'Sardina comun'!F28</f>
        <v>5897.3590000000004</v>
      </c>
      <c r="I191" s="11">
        <f>'Sardina comun'!G28</f>
        <v>-600</v>
      </c>
      <c r="J191" s="11">
        <f>'Sardina comun'!H28</f>
        <v>5297.3590000000004</v>
      </c>
      <c r="K191" s="11">
        <f>'Sardina comun'!I28</f>
        <v>1590.0200385742187</v>
      </c>
      <c r="L191" s="11">
        <f>'Sardina comun'!K28</f>
        <v>3707.3389614257817</v>
      </c>
      <c r="M191" s="48">
        <f>'Sardina comun'!L28</f>
        <v>0.30015334784261716</v>
      </c>
      <c r="N191" s="246" t="str">
        <f>'IC Anch y SardC VIII'!O11</f>
        <v>-</v>
      </c>
      <c r="O191" s="34">
        <f>RESUMEN!$B$3</f>
        <v>44926</v>
      </c>
      <c r="P191" s="11">
        <v>2022</v>
      </c>
    </row>
    <row r="192" spans="1:16">
      <c r="A192" s="51" t="s">
        <v>155</v>
      </c>
      <c r="B192" s="51" t="s">
        <v>253</v>
      </c>
      <c r="C192" s="51" t="s">
        <v>250</v>
      </c>
      <c r="D192" s="51" t="s">
        <v>245</v>
      </c>
      <c r="E192" s="51" t="str">
        <f>'Sardina comun'!D29</f>
        <v>Asociación Gremial de Armadores Artesanales "ARMAR A.G.". Registro de Asociaciones Gremiales 384-8</v>
      </c>
      <c r="F192" s="51" t="s">
        <v>232</v>
      </c>
      <c r="G192" s="51" t="s">
        <v>233</v>
      </c>
      <c r="H192" s="51">
        <f>'Sardina comun'!F29</f>
        <v>8931.8670000000002</v>
      </c>
      <c r="I192" s="11">
        <f>'Sardina comun'!G29</f>
        <v>920</v>
      </c>
      <c r="J192" s="11">
        <f>'Sardina comun'!H29</f>
        <v>9851.8670000000002</v>
      </c>
      <c r="K192" s="11">
        <f>'Sardina comun'!I29</f>
        <v>4407.5309932517994</v>
      </c>
      <c r="L192" s="11">
        <f>'Sardina comun'!K29</f>
        <v>5444.3360067482008</v>
      </c>
      <c r="M192" s="48">
        <f>'Sardina comun'!L29</f>
        <v>0.44738027759122195</v>
      </c>
      <c r="N192" s="246" t="str">
        <f>'IC Anch y SardC VIII'!O12</f>
        <v>-</v>
      </c>
      <c r="O192" s="34">
        <f>RESUMEN!$B$3</f>
        <v>44926</v>
      </c>
      <c r="P192" s="11">
        <v>2022</v>
      </c>
    </row>
    <row r="193" spans="1:16">
      <c r="A193" s="51" t="s">
        <v>155</v>
      </c>
      <c r="B193" s="51" t="s">
        <v>253</v>
      </c>
      <c r="C193" s="51" t="s">
        <v>250</v>
      </c>
      <c r="D193" s="51" t="s">
        <v>245</v>
      </c>
      <c r="E193" s="51" t="str">
        <f>'Sardina comun'!D30</f>
        <v xml:space="preserve">Asociación Gremial de Armadores Artesanales VALLEMAR LOTA, Registro de Asociaciones Gremiales 548-8 </v>
      </c>
      <c r="F193" s="51" t="s">
        <v>232</v>
      </c>
      <c r="G193" s="51" t="s">
        <v>233</v>
      </c>
      <c r="H193" s="51">
        <f>'Sardina comun'!F30</f>
        <v>3396.0509999999999</v>
      </c>
      <c r="I193" s="11">
        <f>'Sardina comun'!G30</f>
        <v>0</v>
      </c>
      <c r="J193" s="11">
        <f>'Sardina comun'!H30</f>
        <v>3396.0509999999999</v>
      </c>
      <c r="K193" s="11">
        <f>'Sardina comun'!I30</f>
        <v>1703.8279972839357</v>
      </c>
      <c r="L193" s="11">
        <f>'Sardina comun'!K30</f>
        <v>1692.2230027160642</v>
      </c>
      <c r="M193" s="48">
        <f>'Sardina comun'!L30</f>
        <v>0.50170860133841799</v>
      </c>
      <c r="N193" s="246" t="str">
        <f>'IC Anch y SardC VIII'!O13</f>
        <v>-</v>
      </c>
      <c r="O193" s="34">
        <f>RESUMEN!$B$3</f>
        <v>44926</v>
      </c>
      <c r="P193" s="11">
        <v>2022</v>
      </c>
    </row>
    <row r="194" spans="1:16">
      <c r="A194" s="51" t="s">
        <v>155</v>
      </c>
      <c r="B194" s="51" t="s">
        <v>253</v>
      </c>
      <c r="C194" s="51" t="s">
        <v>250</v>
      </c>
      <c r="D194" s="51" t="s">
        <v>245</v>
      </c>
      <c r="E194" s="51" t="str">
        <f>'Sardina comun'!D31</f>
        <v>Asociación Gremial de Armadores Artesanales y Productores Pelágicos de la Caleta el Morro de Talcahuano - AGEMAPAR, Registro de Asociaciones Gremiales 376-8</v>
      </c>
      <c r="F194" s="51" t="s">
        <v>232</v>
      </c>
      <c r="G194" s="51" t="s">
        <v>233</v>
      </c>
      <c r="H194" s="51">
        <f>'Sardina comun'!F31</f>
        <v>4050.346</v>
      </c>
      <c r="I194" s="11">
        <f>'Sardina comun'!G31</f>
        <v>-325</v>
      </c>
      <c r="J194" s="11">
        <f>'Sardina comun'!H31</f>
        <v>3725.346</v>
      </c>
      <c r="K194" s="11">
        <f>'Sardina comun'!I31</f>
        <v>105.51000000000002</v>
      </c>
      <c r="L194" s="11">
        <f>'Sardina comun'!K31</f>
        <v>3619.8359999999998</v>
      </c>
      <c r="M194" s="48">
        <f>'Sardina comun'!L31</f>
        <v>2.8322201481419448E-2</v>
      </c>
      <c r="N194" s="246" t="str">
        <f>'IC Anch y SardC VIII'!O14</f>
        <v>-</v>
      </c>
      <c r="O194" s="34">
        <f>RESUMEN!$B$3</f>
        <v>44926</v>
      </c>
      <c r="P194" s="11">
        <v>2022</v>
      </c>
    </row>
    <row r="195" spans="1:16">
      <c r="A195" s="51" t="s">
        <v>155</v>
      </c>
      <c r="B195" s="51" t="s">
        <v>253</v>
      </c>
      <c r="C195" s="51" t="s">
        <v>250</v>
      </c>
      <c r="D195" s="51" t="s">
        <v>245</v>
      </c>
      <c r="E195" s="51" t="str">
        <f>'Sardina comun'!D32</f>
        <v>Asociación Gremial de Armadores Embarcaciones Menores "AG MENOR COLIUMO". Registro de Asociaciones Gremiales 507-8</v>
      </c>
      <c r="F195" s="51" t="s">
        <v>232</v>
      </c>
      <c r="G195" s="51" t="s">
        <v>233</v>
      </c>
      <c r="H195" s="51">
        <f>'Sardina comun'!F32</f>
        <v>401.46699999999998</v>
      </c>
      <c r="I195" s="11">
        <f>'Sardina comun'!G32</f>
        <v>-220</v>
      </c>
      <c r="J195" s="11">
        <f>'Sardina comun'!H32</f>
        <v>181.46699999999998</v>
      </c>
      <c r="K195" s="11">
        <f>'Sardina comun'!I32</f>
        <v>129.94899985527994</v>
      </c>
      <c r="L195" s="11">
        <f>'Sardina comun'!K32</f>
        <v>51.518000144720048</v>
      </c>
      <c r="M195" s="48">
        <f>'Sardina comun'!L32</f>
        <v>0.71610265147536434</v>
      </c>
      <c r="N195" s="246" t="str">
        <f>'IC Anch y SardC VIII'!O15</f>
        <v>-</v>
      </c>
      <c r="O195" s="34">
        <f>RESUMEN!$B$3</f>
        <v>44926</v>
      </c>
      <c r="P195" s="11">
        <v>2022</v>
      </c>
    </row>
    <row r="196" spans="1:16">
      <c r="A196" s="51" t="s">
        <v>155</v>
      </c>
      <c r="B196" s="51" t="s">
        <v>253</v>
      </c>
      <c r="C196" s="51" t="s">
        <v>250</v>
      </c>
      <c r="D196" s="51" t="s">
        <v>245</v>
      </c>
      <c r="E196" s="51" t="str">
        <f>'Sardina comun'!D33</f>
        <v>Asociación Gremial de Armadores y Pescadores Artesanales  Miramar BioBio " MIRAMAR BIOBIO  A.G." Registro de Organizaciones Gremiales 633-8</v>
      </c>
      <c r="F196" s="51" t="s">
        <v>232</v>
      </c>
      <c r="G196" s="51" t="s">
        <v>233</v>
      </c>
      <c r="H196" s="51">
        <f>'Sardina comun'!F33</f>
        <v>3755.13</v>
      </c>
      <c r="I196" s="11">
        <f>'Sardina comun'!G33</f>
        <v>-100</v>
      </c>
      <c r="J196" s="11">
        <f>'Sardina comun'!H33</f>
        <v>3655.13</v>
      </c>
      <c r="K196" s="11">
        <f>'Sardina comun'!I33</f>
        <v>275.86899999999997</v>
      </c>
      <c r="L196" s="11">
        <f>'Sardina comun'!K33</f>
        <v>3377.5460000000003</v>
      </c>
      <c r="M196" s="48">
        <f>'Sardina comun'!L33</f>
        <v>7.547447012828544E-2</v>
      </c>
      <c r="N196" s="246" t="str">
        <f>'IC Anch y SardC VIII'!O16</f>
        <v>-</v>
      </c>
      <c r="O196" s="34">
        <f>RESUMEN!$B$3</f>
        <v>44926</v>
      </c>
      <c r="P196" s="11">
        <v>2022</v>
      </c>
    </row>
    <row r="197" spans="1:16">
      <c r="A197" s="51" t="s">
        <v>155</v>
      </c>
      <c r="B197" s="51" t="s">
        <v>253</v>
      </c>
      <c r="C197" s="51" t="s">
        <v>250</v>
      </c>
      <c r="D197" s="51" t="s">
        <v>245</v>
      </c>
      <c r="E197" s="51" t="str">
        <f>'Sardina comun'!D34</f>
        <v>Asociación Gremial de Armadores, Pescadores Artesanales y Actividades Afines, SIMBA A.G. Registro de Asociaciones Gremiales RAG N° 679-8</v>
      </c>
      <c r="F197" s="51" t="s">
        <v>232</v>
      </c>
      <c r="G197" s="51" t="s">
        <v>233</v>
      </c>
      <c r="H197" s="51">
        <f>'Sardina comun'!F34</f>
        <v>5288.6689999999999</v>
      </c>
      <c r="I197" s="11">
        <f>'Sardina comun'!G34</f>
        <v>3577.25</v>
      </c>
      <c r="J197" s="11">
        <f>'Sardina comun'!H34</f>
        <v>8865.9189999999999</v>
      </c>
      <c r="K197" s="11">
        <f>'Sardina comun'!I34</f>
        <v>6500.25898538208</v>
      </c>
      <c r="L197" s="11">
        <f>'Sardina comun'!K34</f>
        <v>2365.6600146179198</v>
      </c>
      <c r="M197" s="48">
        <f>'Sardina comun'!L34</f>
        <v>0.73317373927982876</v>
      </c>
      <c r="N197" s="246" t="str">
        <f>'IC Anch y SardC VIII'!O17</f>
        <v>-</v>
      </c>
      <c r="O197" s="34">
        <f>RESUMEN!$B$3</f>
        <v>44926</v>
      </c>
      <c r="P197" s="11">
        <v>2022</v>
      </c>
    </row>
    <row r="198" spans="1:16">
      <c r="A198" s="51" t="s">
        <v>155</v>
      </c>
      <c r="B198" s="51" t="s">
        <v>253</v>
      </c>
      <c r="C198" s="51" t="s">
        <v>250</v>
      </c>
      <c r="D198" s="51" t="s">
        <v>245</v>
      </c>
      <c r="E198" s="51" t="str">
        <f>'Sardina comun'!D35</f>
        <v>Asociación Gremial de Armadores, Pescadores Artesanales y Actividades Afines de Lota, Octava región, Registro de Asociaciones Gremiales 577-8</v>
      </c>
      <c r="F198" s="51" t="s">
        <v>232</v>
      </c>
      <c r="G198" s="51" t="s">
        <v>233</v>
      </c>
      <c r="H198" s="51">
        <f>'Sardina comun'!F35</f>
        <v>2884.8980000000001</v>
      </c>
      <c r="I198" s="11">
        <f>'Sardina comun'!G35</f>
        <v>2914.7</v>
      </c>
      <c r="J198" s="11">
        <f>'Sardina comun'!H35</f>
        <v>5799.598</v>
      </c>
      <c r="K198" s="11">
        <f>'Sardina comun'!I35</f>
        <v>327.36200000000002</v>
      </c>
      <c r="L198" s="11">
        <f>'Sardina comun'!K35</f>
        <v>5472.2359999999999</v>
      </c>
      <c r="M198" s="48">
        <f>'Sardina comun'!L35</f>
        <v>5.6445636404454241E-2</v>
      </c>
      <c r="N198" s="246" t="str">
        <f>'IC Anch y SardC VIII'!O18</f>
        <v>-</v>
      </c>
      <c r="O198" s="34">
        <f>RESUMEN!$B$3</f>
        <v>44926</v>
      </c>
      <c r="P198" s="11">
        <v>2022</v>
      </c>
    </row>
    <row r="199" spans="1:16">
      <c r="A199" s="51" t="s">
        <v>155</v>
      </c>
      <c r="B199" s="51" t="s">
        <v>253</v>
      </c>
      <c r="C199" s="51" t="s">
        <v>250</v>
      </c>
      <c r="D199" s="51" t="s">
        <v>245</v>
      </c>
      <c r="E199" s="51" t="str">
        <f>'Sardina comun'!D36</f>
        <v>Asociación Gremial de Armadores, Pescadores Artesanales y Actividades Afines, CHALLWAFE A.G. Registro de Asociaciones Gremiales RAG N° 674-8</v>
      </c>
      <c r="F199" s="51" t="s">
        <v>232</v>
      </c>
      <c r="G199" s="51" t="s">
        <v>233</v>
      </c>
      <c r="H199" s="51">
        <f>'Sardina comun'!F36</f>
        <v>2288.355</v>
      </c>
      <c r="I199" s="11">
        <f>'Sardina comun'!G36</f>
        <v>1687.346</v>
      </c>
      <c r="J199" s="11">
        <f>'Sardina comun'!H36</f>
        <v>3975.701</v>
      </c>
      <c r="K199" s="11">
        <f>'Sardina comun'!I36</f>
        <v>1528.2069848632814</v>
      </c>
      <c r="L199" s="11">
        <f>'Sardina comun'!K36</f>
        <v>2447.4940151367186</v>
      </c>
      <c r="M199" s="48">
        <f>'Sardina comun'!L36</f>
        <v>0.38438679992868713</v>
      </c>
      <c r="N199" s="246" t="str">
        <f>'IC Anch y SardC VIII'!O19</f>
        <v>-</v>
      </c>
      <c r="O199" s="34">
        <f>RESUMEN!$B$3</f>
        <v>44926</v>
      </c>
      <c r="P199" s="11">
        <v>2022</v>
      </c>
    </row>
    <row r="200" spans="1:16" s="11" customFormat="1">
      <c r="A200" s="51" t="s">
        <v>155</v>
      </c>
      <c r="B200" s="51" t="s">
        <v>253</v>
      </c>
      <c r="C200" s="51" t="s">
        <v>250</v>
      </c>
      <c r="D200" s="51" t="s">
        <v>245</v>
      </c>
      <c r="E200" s="51" t="str">
        <f>'Sardina comun'!D37</f>
        <v>Asociación Gremial de Armadores, Pescadores Artesanales y Actividades Afines, de las Caletas de Coronel y Lota de la Región del Biobío PESCA SUR A.G. Registro de Asociaciones Gremiales RAG N° 680-8</v>
      </c>
      <c r="F200" s="51" t="s">
        <v>232</v>
      </c>
      <c r="G200" s="51" t="s">
        <v>233</v>
      </c>
      <c r="H200" s="51">
        <f>'Sardina comun'!F37</f>
        <v>173.95699999999999</v>
      </c>
      <c r="I200" s="11">
        <f>'Sardina comun'!G37</f>
        <v>7055.1</v>
      </c>
      <c r="J200" s="11">
        <f>'Sardina comun'!H37</f>
        <v>7229.0570000000007</v>
      </c>
      <c r="K200" s="11">
        <f>'Sardina comun'!I37</f>
        <v>1141.7669394530988</v>
      </c>
      <c r="L200" s="11">
        <f>'Sardina comun'!K37</f>
        <v>6087.2900605469022</v>
      </c>
      <c r="M200" s="48">
        <f>'Sardina comun'!L37</f>
        <v>0.15794133860793996</v>
      </c>
      <c r="N200" s="246" t="str">
        <f>'IC Anch y SardC VIII'!O20</f>
        <v>-</v>
      </c>
      <c r="O200" s="34">
        <f>RESUMEN!$B$3</f>
        <v>44926</v>
      </c>
      <c r="P200" s="11">
        <v>2022</v>
      </c>
    </row>
    <row r="201" spans="1:16">
      <c r="A201" s="51" t="s">
        <v>155</v>
      </c>
      <c r="B201" s="51" t="s">
        <v>253</v>
      </c>
      <c r="C201" s="51" t="s">
        <v>250</v>
      </c>
      <c r="D201" s="51" t="s">
        <v>245</v>
      </c>
      <c r="E201" s="51" t="str">
        <f>'Sardina comun'!D38</f>
        <v>Asociacion Gremial de Armadores, Pescadores artesanales, Buzos mariscadores, Recolectores de orilla y Ramos afines "A.G. ESCAFANDRAS CON HISTORIA DE TALCAHUANO" Registro Asociaciones Gremiales 62-8</v>
      </c>
      <c r="F201" s="51" t="s">
        <v>232</v>
      </c>
      <c r="G201" s="51" t="s">
        <v>233</v>
      </c>
      <c r="H201" s="51">
        <f>'Sardina comun'!F38</f>
        <v>979.06</v>
      </c>
      <c r="I201" s="11">
        <f>'Sardina comun'!G38</f>
        <v>0</v>
      </c>
      <c r="J201" s="11">
        <f>'Sardina comun'!H38</f>
        <v>979.06</v>
      </c>
      <c r="K201" s="11">
        <f>'Sardina comun'!I38</f>
        <v>298.59900695800792</v>
      </c>
      <c r="L201" s="11">
        <f>'Sardina comun'!K38</f>
        <v>680.46099304199197</v>
      </c>
      <c r="M201" s="48">
        <f>'Sardina comun'!L38</f>
        <v>0.30498540126040075</v>
      </c>
      <c r="N201" s="246" t="str">
        <f>'IC Anch y SardC VIII'!O21</f>
        <v>-</v>
      </c>
      <c r="O201" s="34">
        <f>RESUMEN!$B$3</f>
        <v>44926</v>
      </c>
      <c r="P201" s="11">
        <v>2022</v>
      </c>
    </row>
    <row r="202" spans="1:16">
      <c r="A202" s="51" t="s">
        <v>155</v>
      </c>
      <c r="B202" s="51" t="s">
        <v>253</v>
      </c>
      <c r="C202" s="51" t="s">
        <v>250</v>
      </c>
      <c r="D202" s="51" t="s">
        <v>245</v>
      </c>
      <c r="E202" s="51" t="str">
        <f>'Sardina comun'!D39</f>
        <v>Asociación Gremial de Pescadores Artesanales BLUE A.G. – BLUE A.G. Registro de Asociaciones Gremiales RAG N° 661-8</v>
      </c>
      <c r="F202" s="51" t="s">
        <v>232</v>
      </c>
      <c r="G202" s="51" t="s">
        <v>233</v>
      </c>
      <c r="H202" s="51">
        <f>'Sardina comun'!F39</f>
        <v>4321.2049999999999</v>
      </c>
      <c r="I202" s="11">
        <f>'Sardina comun'!G39</f>
        <v>-3750</v>
      </c>
      <c r="J202" s="11">
        <f>'Sardina comun'!H39</f>
        <v>571.20499999999993</v>
      </c>
      <c r="K202" s="11">
        <f>'Sardina comun'!I39</f>
        <v>26.312000000000001</v>
      </c>
      <c r="L202" s="11">
        <f>'Sardina comun'!K39</f>
        <v>544.89299999999992</v>
      </c>
      <c r="M202" s="48">
        <f>'Sardina comun'!L39</f>
        <v>4.6064022548822234E-2</v>
      </c>
      <c r="N202" s="246" t="str">
        <f>'IC Anch y SardC VIII'!O22</f>
        <v>-</v>
      </c>
      <c r="O202" s="34">
        <f>RESUMEN!$B$3</f>
        <v>44926</v>
      </c>
      <c r="P202" s="11">
        <v>2022</v>
      </c>
    </row>
    <row r="203" spans="1:16">
      <c r="A203" s="51" t="s">
        <v>155</v>
      </c>
      <c r="B203" s="51" t="s">
        <v>253</v>
      </c>
      <c r="C203" s="51" t="s">
        <v>250</v>
      </c>
      <c r="D203" s="51" t="s">
        <v>245</v>
      </c>
      <c r="E203" s="51" t="str">
        <f>'Sardina comun'!D40</f>
        <v>Asociación Gremial de Pescadores Artesanales de caleta INFIERNILLO, Registro de Asociaciones Gremiales 98-8</v>
      </c>
      <c r="F203" s="51" t="s">
        <v>232</v>
      </c>
      <c r="G203" s="51" t="s">
        <v>233</v>
      </c>
      <c r="H203" s="51">
        <f>'Sardina comun'!F40</f>
        <v>80.061999999999998</v>
      </c>
      <c r="I203" s="11">
        <f>'Sardina comun'!G40</f>
        <v>0</v>
      </c>
      <c r="J203" s="11">
        <f>'Sardina comun'!H40</f>
        <v>80.061999999999998</v>
      </c>
      <c r="K203" s="11">
        <f>'Sardina comun'!I40</f>
        <v>70.531999999999996</v>
      </c>
      <c r="L203" s="11">
        <f>'Sardina comun'!K40</f>
        <v>9.5300000000000011</v>
      </c>
      <c r="M203" s="48">
        <f>'Sardina comun'!L40</f>
        <v>0.88096725038095469</v>
      </c>
      <c r="N203" s="246" t="str">
        <f>'IC Anch y SardC VIII'!O23</f>
        <v>-</v>
      </c>
      <c r="O203" s="34">
        <f>RESUMEN!$B$3</f>
        <v>44926</v>
      </c>
      <c r="P203" s="11">
        <v>2022</v>
      </c>
    </row>
    <row r="204" spans="1:16">
      <c r="A204" s="51" t="s">
        <v>155</v>
      </c>
      <c r="B204" s="51" t="s">
        <v>253</v>
      </c>
      <c r="C204" s="51" t="s">
        <v>250</v>
      </c>
      <c r="D204" s="51" t="s">
        <v>245</v>
      </c>
      <c r="E204" s="51" t="str">
        <f>'Sardina comun'!D41</f>
        <v>Asociación Gremial de Pescadores Artesanales de Coronel, Registro de Asociaciones Gremiales 5-8</v>
      </c>
      <c r="F204" s="51" t="s">
        <v>232</v>
      </c>
      <c r="G204" s="51" t="s">
        <v>233</v>
      </c>
      <c r="H204" s="51">
        <f>'Sardina comun'!F41</f>
        <v>22496.713</v>
      </c>
      <c r="I204" s="11">
        <f>'Sardina comun'!G41</f>
        <v>3210.1000000000004</v>
      </c>
      <c r="J204" s="11">
        <f>'Sardina comun'!H41</f>
        <v>25706.813000000002</v>
      </c>
      <c r="K204" s="11">
        <f>'Sardina comun'!I41</f>
        <v>20078.553991931869</v>
      </c>
      <c r="L204" s="11">
        <f>'Sardina comun'!K41</f>
        <v>5628.259008068133</v>
      </c>
      <c r="M204" s="48">
        <f>'Sardina comun'!L41</f>
        <v>0.78105963551109459</v>
      </c>
      <c r="N204" s="246" t="str">
        <f>'IC Anch y SardC VIII'!O24</f>
        <v>-</v>
      </c>
      <c r="O204" s="34">
        <f>RESUMEN!$B$3</f>
        <v>44926</v>
      </c>
      <c r="P204" s="11">
        <v>2022</v>
      </c>
    </row>
    <row r="205" spans="1:16">
      <c r="A205" s="51" t="s">
        <v>155</v>
      </c>
      <c r="B205" s="51" t="s">
        <v>253</v>
      </c>
      <c r="C205" s="51" t="s">
        <v>250</v>
      </c>
      <c r="D205" s="51" t="s">
        <v>245</v>
      </c>
      <c r="E205" s="51" t="str">
        <f>'Sardina comun'!D42</f>
        <v>Asociación Gremial de Pescadores Artesanales de Lota - A.G. APESCA Lota, Registro de Asociaciones Gremiales 428-8</v>
      </c>
      <c r="F205" s="51" t="s">
        <v>232</v>
      </c>
      <c r="G205" s="51" t="s">
        <v>233</v>
      </c>
      <c r="H205" s="51">
        <f>'Sardina comun'!F42</f>
        <v>346.60899999999998</v>
      </c>
      <c r="I205" s="11">
        <f>'Sardina comun'!G42</f>
        <v>0</v>
      </c>
      <c r="J205" s="11">
        <f>'Sardina comun'!H42</f>
        <v>346.60899999999998</v>
      </c>
      <c r="K205" s="11">
        <f>'Sardina comun'!I42</f>
        <v>503.05099932861333</v>
      </c>
      <c r="L205" s="11">
        <f>'Sardina comun'!K42</f>
        <v>-156.44199932861335</v>
      </c>
      <c r="M205" s="48">
        <f>'Sardina comun'!L42</f>
        <v>1.4513500784128899</v>
      </c>
      <c r="N205" s="246" t="str">
        <f>'IC Anch y SardC VIII'!O25</f>
        <v>-</v>
      </c>
      <c r="O205" s="34">
        <f>RESUMEN!$B$3</f>
        <v>44926</v>
      </c>
      <c r="P205" s="11">
        <v>2022</v>
      </c>
    </row>
    <row r="206" spans="1:16">
      <c r="A206" s="51" t="s">
        <v>155</v>
      </c>
      <c r="B206" s="51" t="s">
        <v>253</v>
      </c>
      <c r="C206" s="51" t="s">
        <v>250</v>
      </c>
      <c r="D206" s="51" t="s">
        <v>245</v>
      </c>
      <c r="E206" s="51" t="str">
        <f>'Sardina comun'!D43</f>
        <v>Asociación Gremial de Pescadores Artesanales de San Vicente – Talcahuano, Registro de Asociaciones Gremiales 18-8</v>
      </c>
      <c r="F206" s="51" t="s">
        <v>232</v>
      </c>
      <c r="G206" s="51" t="s">
        <v>233</v>
      </c>
      <c r="H206" s="51">
        <f>'Sardina comun'!F43</f>
        <v>3463.9639999999999</v>
      </c>
      <c r="I206" s="11">
        <f>'Sardina comun'!G43</f>
        <v>-380</v>
      </c>
      <c r="J206" s="11">
        <f>'Sardina comun'!H43</f>
        <v>3083.9639999999999</v>
      </c>
      <c r="K206" s="11">
        <f>'Sardina comun'!I43</f>
        <v>31.919</v>
      </c>
      <c r="L206" s="11">
        <f>'Sardina comun'!K43</f>
        <v>3052.0450000000001</v>
      </c>
      <c r="M206" s="48">
        <f>'Sardina comun'!L43</f>
        <v>1.0349991115330789E-2</v>
      </c>
      <c r="N206" s="246" t="str">
        <f>'IC Anch y SardC VIII'!O26</f>
        <v>-</v>
      </c>
      <c r="O206" s="34">
        <f>RESUMEN!$B$3</f>
        <v>44926</v>
      </c>
      <c r="P206" s="11">
        <v>2022</v>
      </c>
    </row>
    <row r="207" spans="1:16">
      <c r="A207" s="51" t="s">
        <v>155</v>
      </c>
      <c r="B207" s="51" t="s">
        <v>253</v>
      </c>
      <c r="C207" s="51" t="s">
        <v>250</v>
      </c>
      <c r="D207" s="51" t="s">
        <v>245</v>
      </c>
      <c r="E207" s="51" t="str">
        <f>'Sardina comun'!D44</f>
        <v>Asociación Gremial de Pescadores Artesanales, Armadores Artesanales Pelágicos y actividades Afines de la Caleta de LOTA VIII Región A.G.-SIERRA AZUL A.G., Registro de Asociaciones Gremiales 576-8</v>
      </c>
      <c r="F207" s="51" t="s">
        <v>232</v>
      </c>
      <c r="G207" s="51" t="s">
        <v>233</v>
      </c>
      <c r="H207" s="51">
        <f>'Sardina comun'!F44</f>
        <v>2582.79</v>
      </c>
      <c r="I207" s="11">
        <f>'Sardina comun'!G44</f>
        <v>300</v>
      </c>
      <c r="J207" s="11">
        <f>'Sardina comun'!H44</f>
        <v>2882.79</v>
      </c>
      <c r="K207" s="96">
        <f>'Sardina comun'!I44</f>
        <v>430.58699658203153</v>
      </c>
      <c r="L207" s="96">
        <f>'Sardina comun'!K44</f>
        <v>2452.2030034179684</v>
      </c>
      <c r="M207" s="48">
        <f>'Sardina comun'!L44</f>
        <v>0.14936467678257229</v>
      </c>
      <c r="N207" s="246" t="str">
        <f>'IC Anch y SardC VIII'!O27</f>
        <v>-</v>
      </c>
      <c r="O207" s="34">
        <f>RESUMEN!$B$3</f>
        <v>44926</v>
      </c>
      <c r="P207" s="11">
        <v>2022</v>
      </c>
    </row>
    <row r="208" spans="1:16">
      <c r="A208" s="51" t="s">
        <v>155</v>
      </c>
      <c r="B208" s="51" t="s">
        <v>253</v>
      </c>
      <c r="C208" s="51" t="s">
        <v>250</v>
      </c>
      <c r="D208" s="51" t="s">
        <v>245</v>
      </c>
      <c r="E208" s="51" t="str">
        <f>'Sardina comun'!D45</f>
        <v>Asociación Gremial de Pescadores y Armadores Artesanales Pelágicos de la Región del Bío Bío, "PESCA MAR A.G.", Registro de Asociaciones Gremiales 450-8</v>
      </c>
      <c r="F208" s="51" t="s">
        <v>232</v>
      </c>
      <c r="G208" s="51" t="s">
        <v>233</v>
      </c>
      <c r="H208" s="51">
        <f>'Sardina comun'!F45</f>
        <v>2450.703</v>
      </c>
      <c r="I208" s="11">
        <f>'Sardina comun'!G45</f>
        <v>400</v>
      </c>
      <c r="J208" s="11">
        <f>'Sardina comun'!H45</f>
        <v>2850.703</v>
      </c>
      <c r="K208" s="11">
        <f>'Sardina comun'!I45</f>
        <v>51.911999999999992</v>
      </c>
      <c r="L208" s="11">
        <f>'Sardina comun'!K45</f>
        <v>2798.7910000000002</v>
      </c>
      <c r="M208" s="48">
        <f>'Sardina comun'!L45</f>
        <v>1.8210244981676445E-2</v>
      </c>
      <c r="N208" s="246" t="str">
        <f>'IC Anch y SardC VIII'!O28</f>
        <v>-</v>
      </c>
      <c r="O208" s="34">
        <f>RESUMEN!$B$3</f>
        <v>44926</v>
      </c>
      <c r="P208" s="11">
        <v>2022</v>
      </c>
    </row>
    <row r="209" spans="1:16">
      <c r="A209" s="51" t="s">
        <v>155</v>
      </c>
      <c r="B209" s="51" t="s">
        <v>253</v>
      </c>
      <c r="C209" s="51" t="s">
        <v>250</v>
      </c>
      <c r="D209" s="51" t="s">
        <v>245</v>
      </c>
      <c r="E209" s="51" t="str">
        <f>'Sardina comun'!D46</f>
        <v>Asociación Gremial de Pescadores y Armadores Artesanales Pelágicos Región Bío Bío A.G. ALTAMAR, Registro de Asociaciones Gremiales  555-8</v>
      </c>
      <c r="F209" s="51" t="s">
        <v>232</v>
      </c>
      <c r="G209" s="51" t="s">
        <v>233</v>
      </c>
      <c r="H209" s="51">
        <f>'Sardina comun'!F46</f>
        <v>5441.3950000000004</v>
      </c>
      <c r="I209" s="11">
        <f>'Sardina comun'!G46</f>
        <v>300</v>
      </c>
      <c r="J209" s="11">
        <f>'Sardina comun'!H46</f>
        <v>5741.3950000000004</v>
      </c>
      <c r="K209" s="11">
        <f>'Sardina comun'!I46</f>
        <v>1972.8229965515136</v>
      </c>
      <c r="L209" s="11">
        <f>'Sardina comun'!K46</f>
        <v>3768.5720034484866</v>
      </c>
      <c r="M209" s="48">
        <f>'Sardina comun'!L46</f>
        <v>0.34361387721128983</v>
      </c>
      <c r="N209" s="246" t="str">
        <f>'IC Anch y SardC VIII'!O29</f>
        <v>-</v>
      </c>
      <c r="O209" s="34">
        <f>RESUMEN!$B$3</f>
        <v>44926</v>
      </c>
      <c r="P209" s="11">
        <v>2022</v>
      </c>
    </row>
    <row r="210" spans="1:16">
      <c r="A210" s="51" t="s">
        <v>155</v>
      </c>
      <c r="B210" s="51" t="s">
        <v>253</v>
      </c>
      <c r="C210" s="51" t="s">
        <v>250</v>
      </c>
      <c r="D210" s="51" t="s">
        <v>245</v>
      </c>
      <c r="E210" s="51" t="str">
        <f>'Sardina comun'!D47</f>
        <v>Asociación Gremial de Productores Pelágicos Artesanales de las Caletas de Talcahuano y San Vicente de la VIII Región GEMAR A.G., Registro de Asociaciones Gremiales 464-8</v>
      </c>
      <c r="F210" s="51" t="s">
        <v>232</v>
      </c>
      <c r="G210" s="51" t="s">
        <v>233</v>
      </c>
      <c r="H210" s="51">
        <f>'Sardina comun'!F47</f>
        <v>4354.6440000000002</v>
      </c>
      <c r="I210" s="11">
        <f>'Sardina comun'!G47</f>
        <v>-3288</v>
      </c>
      <c r="J210" s="11">
        <f>'Sardina comun'!H47</f>
        <v>1066.6440000000002</v>
      </c>
      <c r="K210" s="11">
        <f>'Sardina comun'!I47</f>
        <v>105.203</v>
      </c>
      <c r="L210" s="11">
        <f>'Sardina comun'!K47</f>
        <v>961.44100000000026</v>
      </c>
      <c r="M210" s="48">
        <f>'Sardina comun'!L47</f>
        <v>9.8629908385553175E-2</v>
      </c>
      <c r="N210" s="246" t="str">
        <f>'IC Anch y SardC VIII'!O30</f>
        <v>-</v>
      </c>
      <c r="O210" s="34">
        <f>RESUMEN!$B$3</f>
        <v>44926</v>
      </c>
      <c r="P210" s="11">
        <v>2022</v>
      </c>
    </row>
    <row r="211" spans="1:16">
      <c r="A211" s="51" t="s">
        <v>155</v>
      </c>
      <c r="B211" s="51" t="s">
        <v>253</v>
      </c>
      <c r="C211" s="51" t="s">
        <v>250</v>
      </c>
      <c r="D211" s="51" t="s">
        <v>245</v>
      </c>
      <c r="E211" s="51" t="str">
        <f>'Sardina comun'!D48</f>
        <v>Cooperativa de Pescadores Sol de Israel Limitada "COOPES LTDA". Rol 5483</v>
      </c>
      <c r="F211" s="51" t="s">
        <v>232</v>
      </c>
      <c r="G211" s="51" t="s">
        <v>233</v>
      </c>
      <c r="H211" s="51">
        <f>'Sardina comun'!F48</f>
        <v>264.68099999999998</v>
      </c>
      <c r="I211" s="11">
        <f>'Sardina comun'!G48</f>
        <v>1340</v>
      </c>
      <c r="J211" s="11">
        <f>'Sardina comun'!H48</f>
        <v>1604.681</v>
      </c>
      <c r="K211" s="11">
        <f>'Sardina comun'!I48</f>
        <v>496.97200045776367</v>
      </c>
      <c r="L211" s="11">
        <f>'Sardina comun'!K48</f>
        <v>1107.7089995422364</v>
      </c>
      <c r="M211" s="48">
        <f>'Sardina comun'!L48</f>
        <v>0.30970143003984196</v>
      </c>
      <c r="N211" s="246" t="str">
        <f>'IC Anch y SardC VIII'!O31</f>
        <v>-</v>
      </c>
      <c r="O211" s="34">
        <f>RESUMEN!$B$3</f>
        <v>44926</v>
      </c>
      <c r="P211" s="11">
        <v>2022</v>
      </c>
    </row>
    <row r="212" spans="1:16">
      <c r="A212" s="51" t="s">
        <v>155</v>
      </c>
      <c r="B212" s="51" t="s">
        <v>253</v>
      </c>
      <c r="C212" s="51" t="s">
        <v>250</v>
      </c>
      <c r="D212" s="51" t="s">
        <v>245</v>
      </c>
      <c r="E212" s="51" t="str">
        <f>'Sardina comun'!D49</f>
        <v>Cooperativa de Pescadores y Armadores Artesanales de Lota "GEVIMAR". Registro de Cooperativa Rol 4465</v>
      </c>
      <c r="F212" s="51" t="s">
        <v>232</v>
      </c>
      <c r="G212" s="51" t="s">
        <v>233</v>
      </c>
      <c r="H212" s="51">
        <f>'Sardina comun'!F49</f>
        <v>3354.6080000000002</v>
      </c>
      <c r="I212" s="11">
        <f>'Sardina comun'!G49</f>
        <v>0</v>
      </c>
      <c r="J212" s="11">
        <f>'Sardina comun'!H49</f>
        <v>3354.6080000000002</v>
      </c>
      <c r="K212" s="11">
        <f>'Sardina comun'!I49</f>
        <v>1832.954</v>
      </c>
      <c r="L212" s="11">
        <f>'Sardina comun'!K49</f>
        <v>1521.6540000000002</v>
      </c>
      <c r="M212" s="48">
        <f>'Sardina comun'!L49</f>
        <v>0.54639886389110137</v>
      </c>
      <c r="N212" s="246" t="str">
        <f>'IC Anch y SardC VIII'!O32</f>
        <v>-</v>
      </c>
      <c r="O212" s="34">
        <f>RESUMEN!$B$3</f>
        <v>44926</v>
      </c>
      <c r="P212" s="11">
        <v>2022</v>
      </c>
    </row>
    <row r="213" spans="1:16">
      <c r="A213" s="51" t="s">
        <v>155</v>
      </c>
      <c r="B213" s="51" t="s">
        <v>253</v>
      </c>
      <c r="C213" s="51" t="s">
        <v>250</v>
      </c>
      <c r="D213" s="51" t="s">
        <v>245</v>
      </c>
      <c r="E213" s="51" t="str">
        <f>'Sardina comun'!D50</f>
        <v>Sindicato de  Pescadores Artesanales, Armadores Pelágicos y Actividades Conexas de la Caleta Vegas de Coliumo. Registro Sindical Único 08.06.0113</v>
      </c>
      <c r="F213" s="51" t="s">
        <v>232</v>
      </c>
      <c r="G213" s="51" t="s">
        <v>233</v>
      </c>
      <c r="H213" s="51">
        <f>'Sardina comun'!F50</f>
        <v>2617.8470000000002</v>
      </c>
      <c r="I213" s="11">
        <f>'Sardina comun'!G50</f>
        <v>0</v>
      </c>
      <c r="J213" s="11">
        <f>'Sardina comun'!H50</f>
        <v>2617.8470000000002</v>
      </c>
      <c r="K213" s="11">
        <f>'Sardina comun'!I50</f>
        <v>322.26701574707022</v>
      </c>
      <c r="L213" s="11">
        <f>'Sardina comun'!K50</f>
        <v>2295.57998425293</v>
      </c>
      <c r="M213" s="48">
        <f>'Sardina comun'!L50</f>
        <v>0.12310383905059012</v>
      </c>
      <c r="N213" s="246" t="str">
        <f>'IC Anch y SardC VIII'!O33</f>
        <v>-</v>
      </c>
      <c r="O213" s="34">
        <f>RESUMEN!$B$3</f>
        <v>44926</v>
      </c>
      <c r="P213" s="11">
        <v>2022</v>
      </c>
    </row>
    <row r="214" spans="1:16">
      <c r="A214" s="51" t="s">
        <v>155</v>
      </c>
      <c r="B214" s="51" t="s">
        <v>253</v>
      </c>
      <c r="C214" s="51" t="s">
        <v>250</v>
      </c>
      <c r="D214" s="51" t="s">
        <v>245</v>
      </c>
      <c r="E214" s="51" t="str">
        <f>'Sardina comun'!D51</f>
        <v>Sindicato de Armadores y Pescadores Mares Profundo. Registro Sindical Unico 08.04.0179</v>
      </c>
      <c r="F214" s="51" t="s">
        <v>232</v>
      </c>
      <c r="G214" s="51" t="s">
        <v>233</v>
      </c>
      <c r="H214" s="51">
        <f>'Sardina comun'!F51</f>
        <v>101.67100000000001</v>
      </c>
      <c r="I214" s="11">
        <f>'Sardina comun'!G51</f>
        <v>-91</v>
      </c>
      <c r="J214" s="11">
        <f>'Sardina comun'!H51</f>
        <v>10.671000000000006</v>
      </c>
      <c r="K214" s="11">
        <f>'Sardina comun'!I51</f>
        <v>0</v>
      </c>
      <c r="L214" s="11">
        <f>'Sardina comun'!K51</f>
        <v>10.671000000000006</v>
      </c>
      <c r="M214" s="48">
        <f>'Sardina comun'!L51</f>
        <v>0.89504381780448694</v>
      </c>
      <c r="N214" s="246" t="str">
        <f>'IC Anch y SardC VIII'!O34</f>
        <v>-</v>
      </c>
      <c r="O214" s="34">
        <f>RESUMEN!$B$3</f>
        <v>44926</v>
      </c>
      <c r="P214" s="11">
        <v>2022</v>
      </c>
    </row>
    <row r="215" spans="1:16">
      <c r="A215" s="51" t="s">
        <v>155</v>
      </c>
      <c r="B215" s="51" t="s">
        <v>253</v>
      </c>
      <c r="C215" s="51" t="s">
        <v>250</v>
      </c>
      <c r="D215" s="51" t="s">
        <v>245</v>
      </c>
      <c r="E215" s="51" t="str">
        <f>'Sardina comun'!D52</f>
        <v>Sindicato de Pescadores Artesanales y Armadores Artesanales de la Octava Región "SPAADA SD". Registro Sindical Único 08.05.0339</v>
      </c>
      <c r="F215" s="51" t="s">
        <v>232</v>
      </c>
      <c r="G215" s="51" t="s">
        <v>233</v>
      </c>
      <c r="H215" s="51">
        <f>'Sardina comun'!F52</f>
        <v>4515.1459999999997</v>
      </c>
      <c r="I215" s="11">
        <f>'Sardina comun'!G52</f>
        <v>-2530</v>
      </c>
      <c r="J215" s="11">
        <f>'Sardina comun'!H52</f>
        <v>1985.1459999999997</v>
      </c>
      <c r="K215" s="11">
        <f>'Sardina comun'!I52</f>
        <v>104.96199999999999</v>
      </c>
      <c r="L215" s="11">
        <f>'Sardina comun'!K52</f>
        <v>1880.1839999999997</v>
      </c>
      <c r="M215" s="48">
        <f>'Sardina comun'!L52</f>
        <v>5.2873692917296766E-2</v>
      </c>
      <c r="N215" s="246" t="str">
        <f>'IC Anch y SardC VIII'!O35</f>
        <v>-</v>
      </c>
      <c r="O215" s="34">
        <f>RESUMEN!$B$3</f>
        <v>44926</v>
      </c>
      <c r="P215" s="11">
        <v>2022</v>
      </c>
    </row>
    <row r="216" spans="1:16">
      <c r="A216" s="51" t="s">
        <v>155</v>
      </c>
      <c r="B216" s="51" t="s">
        <v>253</v>
      </c>
      <c r="C216" s="51" t="s">
        <v>250</v>
      </c>
      <c r="D216" s="51" t="s">
        <v>245</v>
      </c>
      <c r="E216" s="51" t="str">
        <f>'Sardina comun'!D53</f>
        <v>Sindicato de Pescadores y Armadores Artesanales del Mar "SIPARMAR - Talcahuano". Registro Sindical Único 08.05.0399</v>
      </c>
      <c r="F216" s="51" t="s">
        <v>232</v>
      </c>
      <c r="G216" s="51" t="s">
        <v>233</v>
      </c>
      <c r="H216" s="51">
        <f>'Sardina comun'!F53</f>
        <v>3750.5279999999998</v>
      </c>
      <c r="I216" s="11">
        <f>'Sardina comun'!G53</f>
        <v>393</v>
      </c>
      <c r="J216" s="11">
        <f>'Sardina comun'!H53</f>
        <v>4143.5280000000002</v>
      </c>
      <c r="K216" s="11">
        <f>'Sardina comun'!I53</f>
        <v>65.116</v>
      </c>
      <c r="L216" s="11">
        <f>'Sardina comun'!K53</f>
        <v>4078.4120000000003</v>
      </c>
      <c r="M216" s="48">
        <f>'Sardina comun'!L53</f>
        <v>1.5715110408328362E-2</v>
      </c>
      <c r="N216" s="246" t="str">
        <f>'IC Anch y SardC VIII'!O36</f>
        <v>-</v>
      </c>
      <c r="O216" s="34">
        <f>RESUMEN!$B$3</f>
        <v>44926</v>
      </c>
      <c r="P216" s="11">
        <v>2022</v>
      </c>
    </row>
    <row r="217" spans="1:16" s="11" customFormat="1">
      <c r="A217" s="51" t="s">
        <v>155</v>
      </c>
      <c r="B217" s="51" t="s">
        <v>253</v>
      </c>
      <c r="C217" s="51" t="s">
        <v>250</v>
      </c>
      <c r="D217" s="51" t="s">
        <v>245</v>
      </c>
      <c r="E217" s="36" t="s">
        <v>318</v>
      </c>
      <c r="F217" s="51" t="s">
        <v>232</v>
      </c>
      <c r="G217" s="51" t="s">
        <v>233</v>
      </c>
      <c r="H217" s="51">
        <f>'Sardina comun'!F54</f>
        <v>478.58699999999999</v>
      </c>
      <c r="I217" s="11">
        <f>'Sardina comun'!G54</f>
        <v>-154</v>
      </c>
      <c r="J217" s="11">
        <f>'Sardina comun'!H54</f>
        <v>324.58699999999999</v>
      </c>
      <c r="K217" s="11">
        <f>'Sardina comun'!I54</f>
        <v>304.14700000000011</v>
      </c>
      <c r="L217" s="11">
        <f>'Sardina comun'!K54</f>
        <v>20.439999999999884</v>
      </c>
      <c r="M217" s="48">
        <f>'Sardina comun'!L54</f>
        <v>0.93702766900707701</v>
      </c>
      <c r="N217" s="246" t="str">
        <f>'IC Anch y SardC VIII'!O37</f>
        <v>-</v>
      </c>
      <c r="O217" s="34">
        <f>RESUMEN!$B$3</f>
        <v>44926</v>
      </c>
      <c r="P217" s="11">
        <v>2022</v>
      </c>
    </row>
    <row r="218" spans="1:16">
      <c r="A218" s="51" t="s">
        <v>155</v>
      </c>
      <c r="B218" s="51" t="s">
        <v>253</v>
      </c>
      <c r="C218" s="51" t="s">
        <v>250</v>
      </c>
      <c r="D218" s="51" t="s">
        <v>245</v>
      </c>
      <c r="E218" s="51" t="str">
        <f>'Sardina comun'!D55</f>
        <v>Sindicato de Trabajadores Independientes "Brisas del Mar". Registro Sindical Único 08.04.0115</v>
      </c>
      <c r="F218" s="51" t="s">
        <v>232</v>
      </c>
      <c r="G218" s="51" t="s">
        <v>233</v>
      </c>
      <c r="H218" s="51">
        <f>'Sardina comun'!F55</f>
        <v>0.02</v>
      </c>
      <c r="I218" s="11">
        <f>'Sardina comun'!G55</f>
        <v>0</v>
      </c>
      <c r="J218" s="11">
        <f>'Sardina comun'!H55</f>
        <v>0.02</v>
      </c>
      <c r="K218" s="11">
        <f>'Sardina comun'!I55</f>
        <v>0</v>
      </c>
      <c r="L218" s="11">
        <f>'Sardina comun'!K55</f>
        <v>0.02</v>
      </c>
      <c r="M218" s="48">
        <f>'Sardina comun'!L55</f>
        <v>0</v>
      </c>
      <c r="N218" s="246" t="str">
        <f>'IC Anch y SardC VIII'!O38</f>
        <v>-</v>
      </c>
      <c r="O218" s="34">
        <f>RESUMEN!$B$3</f>
        <v>44926</v>
      </c>
      <c r="P218" s="11">
        <v>2022</v>
      </c>
    </row>
    <row r="219" spans="1:16">
      <c r="A219" s="51" t="s">
        <v>155</v>
      </c>
      <c r="B219" s="51" t="s">
        <v>253</v>
      </c>
      <c r="C219" s="51" t="s">
        <v>250</v>
      </c>
      <c r="D219" s="51" t="s">
        <v>245</v>
      </c>
      <c r="E219" s="51" t="str">
        <f>'Sardina comun'!D56</f>
        <v>Sindicato de Trabajadores Independientes Armadores  y Pescadores Artesanales, Buzos Mariscadores, Algueros acuicultores y Actividades conexas de la Región del Bio Bio (BIO BIO PESCA), Registro Sindical Único 08.05.0555</v>
      </c>
      <c r="F219" s="51" t="s">
        <v>232</v>
      </c>
      <c r="G219" s="51" t="s">
        <v>233</v>
      </c>
      <c r="H219" s="51">
        <f>'Sardina comun'!F56</f>
        <v>618.01800000000003</v>
      </c>
      <c r="I219" s="11">
        <f>'Sardina comun'!G56</f>
        <v>96.431000000000012</v>
      </c>
      <c r="J219" s="11">
        <f>'Sardina comun'!H56</f>
        <v>714.44900000000007</v>
      </c>
      <c r="K219" s="11">
        <f>'Sardina comun'!I56</f>
        <v>0</v>
      </c>
      <c r="L219" s="11">
        <f>'Sardina comun'!K56</f>
        <v>714.44900000000007</v>
      </c>
      <c r="M219" s="48">
        <f>'Sardina comun'!L56</f>
        <v>0</v>
      </c>
      <c r="N219" s="246" t="str">
        <f>'IC Anch y SardC VIII'!O39</f>
        <v>-</v>
      </c>
      <c r="O219" s="34">
        <f>RESUMEN!$B$3</f>
        <v>44926</v>
      </c>
      <c r="P219" s="11">
        <v>2022</v>
      </c>
    </row>
    <row r="220" spans="1:16">
      <c r="A220" s="51" t="s">
        <v>155</v>
      </c>
      <c r="B220" s="51" t="s">
        <v>253</v>
      </c>
      <c r="C220" s="51" t="s">
        <v>250</v>
      </c>
      <c r="D220" s="51" t="s">
        <v>245</v>
      </c>
      <c r="E220" s="51" t="str">
        <f>'Sardina comun'!D57</f>
        <v>Sindicato de Trabajadores Independientes Armadores Pescadores Artesanales, Algueros y Ramos Afines "MEDITERRANEO". Registro Sindical Único 08.05.0605</v>
      </c>
      <c r="F220" s="51" t="s">
        <v>232</v>
      </c>
      <c r="G220" s="51" t="s">
        <v>233</v>
      </c>
      <c r="H220" s="51">
        <f>'Sardina comun'!F57</f>
        <v>1964.3389999999999</v>
      </c>
      <c r="I220" s="11">
        <f>'Sardina comun'!G57</f>
        <v>-900</v>
      </c>
      <c r="J220" s="11">
        <f>'Sardina comun'!H57</f>
        <v>1064.3389999999999</v>
      </c>
      <c r="K220" s="11">
        <f>'Sardina comun'!I57</f>
        <v>666.85000091552752</v>
      </c>
      <c r="L220" s="11">
        <f>'Sardina comun'!K57</f>
        <v>397.48899908447243</v>
      </c>
      <c r="M220" s="48">
        <f>'Sardina comun'!L57</f>
        <v>0.62653910165419813</v>
      </c>
      <c r="N220" s="246" t="str">
        <f>'IC Anch y SardC VIII'!O40</f>
        <v>-</v>
      </c>
      <c r="O220" s="34">
        <f>RESUMEN!$B$3</f>
        <v>44926</v>
      </c>
      <c r="P220" s="11">
        <v>2022</v>
      </c>
    </row>
    <row r="221" spans="1:16">
      <c r="A221" s="51" t="s">
        <v>155</v>
      </c>
      <c r="B221" s="51" t="s">
        <v>253</v>
      </c>
      <c r="C221" s="51" t="s">
        <v>250</v>
      </c>
      <c r="D221" s="51" t="s">
        <v>245</v>
      </c>
      <c r="E221" s="51" t="str">
        <f>'Sardina comun'!D58</f>
        <v>Sindicato de Trabajadores Independientes Armadores Pescadores del Mar "SIARPEMAR". Registro Sindical Único 08.05.0459.</v>
      </c>
      <c r="F221" s="51" t="s">
        <v>232</v>
      </c>
      <c r="G221" s="51" t="s">
        <v>233</v>
      </c>
      <c r="H221" s="51">
        <f>'Sardina comun'!F58</f>
        <v>656.63900000000001</v>
      </c>
      <c r="I221" s="11">
        <f>'Sardina comun'!G58</f>
        <v>-233</v>
      </c>
      <c r="J221" s="11">
        <f>'Sardina comun'!H58</f>
        <v>423.63900000000001</v>
      </c>
      <c r="K221" s="11">
        <f>'Sardina comun'!I58</f>
        <v>35.827000000000005</v>
      </c>
      <c r="L221" s="11">
        <f>'Sardina comun'!K58</f>
        <v>387.81200000000001</v>
      </c>
      <c r="M221" s="48">
        <f>'Sardina comun'!L58</f>
        <v>8.456964538203518E-2</v>
      </c>
      <c r="N221" s="246" t="str">
        <f>'IC Anch y SardC VIII'!O41</f>
        <v>-</v>
      </c>
      <c r="O221" s="34">
        <f>RESUMEN!$B$3</f>
        <v>44926</v>
      </c>
      <c r="P221" s="11">
        <v>2022</v>
      </c>
    </row>
    <row r="222" spans="1:16">
      <c r="A222" s="51" t="s">
        <v>155</v>
      </c>
      <c r="B222" s="51" t="s">
        <v>253</v>
      </c>
      <c r="C222" s="51" t="s">
        <v>250</v>
      </c>
      <c r="D222" s="51" t="s">
        <v>245</v>
      </c>
      <c r="E222" s="51" t="str">
        <f>'Sardina comun'!D59</f>
        <v xml:space="preserve"> Sindicato de Trabajadores Independientes Armadores y Pescadores Artesanales y Ramos Afines  Caleta La Gloria comuna de Talcahuano, Registro Sindical Único 08.05.0603</v>
      </c>
      <c r="F222" s="51" t="s">
        <v>232</v>
      </c>
      <c r="G222" s="51" t="s">
        <v>233</v>
      </c>
      <c r="H222" s="51">
        <f>'Sardina comun'!F59</f>
        <v>4056.2469999999998</v>
      </c>
      <c r="I222" s="11">
        <f>'Sardina comun'!G59</f>
        <v>850</v>
      </c>
      <c r="J222" s="11">
        <f>'Sardina comun'!H59</f>
        <v>4906.2469999999994</v>
      </c>
      <c r="K222" s="11">
        <f>'Sardina comun'!I59</f>
        <v>296.20099999999996</v>
      </c>
      <c r="L222" s="11">
        <f>'Sardina comun'!K59</f>
        <v>4610.0459999999994</v>
      </c>
      <c r="M222" s="48">
        <f>'Sardina comun'!L59</f>
        <v>6.0372215259443723E-2</v>
      </c>
      <c r="N222" s="246" t="str">
        <f>'IC Anch y SardC VIII'!O42</f>
        <v>-</v>
      </c>
      <c r="O222" s="34">
        <f>RESUMEN!$B$3</f>
        <v>44926</v>
      </c>
      <c r="P222" s="11">
        <v>2022</v>
      </c>
    </row>
    <row r="223" spans="1:16">
      <c r="A223" s="51" t="s">
        <v>155</v>
      </c>
      <c r="B223" s="51" t="s">
        <v>253</v>
      </c>
      <c r="C223" s="51" t="s">
        <v>250</v>
      </c>
      <c r="D223" s="51" t="s">
        <v>245</v>
      </c>
      <c r="E223" s="51" t="str">
        <f>'Sardina comun'!D60</f>
        <v>Sindicato de Trabajadores Independientes Armadores y Pescadores y Ramos Afines de la Pesca Artesanal de la Caleta Lo Rojas "SITRAL", Registro Sindical Único 08.07.0322</v>
      </c>
      <c r="F223" s="51" t="s">
        <v>232</v>
      </c>
      <c r="G223" s="51" t="s">
        <v>233</v>
      </c>
      <c r="H223" s="51">
        <f>'Sardina comun'!F60</f>
        <v>1357.0630000000001</v>
      </c>
      <c r="I223" s="11">
        <f>'Sardina comun'!G60</f>
        <v>-7</v>
      </c>
      <c r="J223" s="11">
        <f>'Sardina comun'!H60</f>
        <v>1350.0630000000001</v>
      </c>
      <c r="K223" s="11">
        <f>'Sardina comun'!I60</f>
        <v>1330.7969999988079</v>
      </c>
      <c r="L223" s="11">
        <f>'Sardina comun'!K60</f>
        <v>19.266000001192197</v>
      </c>
      <c r="M223" s="48">
        <f>'Sardina comun'!L60</f>
        <v>0.98572955484211311</v>
      </c>
      <c r="N223" s="246" t="str">
        <f>'IC Anch y SardC VIII'!O43</f>
        <v>-</v>
      </c>
      <c r="O223" s="34">
        <f>RESUMEN!$B$3</f>
        <v>44926</v>
      </c>
      <c r="P223" s="11">
        <v>2022</v>
      </c>
    </row>
    <row r="224" spans="1:16">
      <c r="A224" s="51" t="s">
        <v>155</v>
      </c>
      <c r="B224" s="51" t="s">
        <v>253</v>
      </c>
      <c r="C224" s="51" t="s">
        <v>250</v>
      </c>
      <c r="D224" s="51" t="s">
        <v>245</v>
      </c>
      <c r="E224" s="51" t="str">
        <f>'Sardina comun'!D61</f>
        <v>Sindicato de Trabajadores Independientes Armadores, Pescadores y Ramos Afines de la Pesca Artesanal de la Región del  Bio-Bio, "SARPAR BIO-BIO". Registro Sindical Único 08.05.0378</v>
      </c>
      <c r="F224" s="51" t="s">
        <v>232</v>
      </c>
      <c r="G224" s="51" t="s">
        <v>233</v>
      </c>
      <c r="H224" s="51">
        <f>'Sardina comun'!F61</f>
        <v>1057.9659999999999</v>
      </c>
      <c r="I224" s="11">
        <f>'Sardina comun'!G61</f>
        <v>0</v>
      </c>
      <c r="J224" s="11">
        <f>'Sardina comun'!H61</f>
        <v>1057.9659999999999</v>
      </c>
      <c r="K224" s="11">
        <f>'Sardina comun'!I61</f>
        <v>806.88599748516083</v>
      </c>
      <c r="L224" s="11">
        <f>'Sardina comun'!K61</f>
        <v>251.08000251483907</v>
      </c>
      <c r="M224" s="48">
        <f>'Sardina comun'!L61</f>
        <v>0.76267668099462638</v>
      </c>
      <c r="N224" s="246" t="str">
        <f>'IC Anch y SardC VIII'!O44</f>
        <v>-</v>
      </c>
      <c r="O224" s="34">
        <f>RESUMEN!$B$3</f>
        <v>44926</v>
      </c>
      <c r="P224" s="11">
        <v>2022</v>
      </c>
    </row>
    <row r="225" spans="1:16">
      <c r="A225" s="51" t="s">
        <v>155</v>
      </c>
      <c r="B225" s="51" t="s">
        <v>253</v>
      </c>
      <c r="C225" s="51" t="s">
        <v>250</v>
      </c>
      <c r="D225" s="51" t="s">
        <v>245</v>
      </c>
      <c r="E225" s="51" t="str">
        <f>'Sardina comun'!D62</f>
        <v>Sindicato de Trabajadores Independientes de Armadores y Pescadores Artesanales y Ramas afines, Registro Sindical Único 08.05.0512</v>
      </c>
      <c r="F225" s="51" t="s">
        <v>232</v>
      </c>
      <c r="G225" s="51" t="s">
        <v>233</v>
      </c>
      <c r="H225" s="51">
        <f>'Sardina comun'!F62</f>
        <v>3313</v>
      </c>
      <c r="I225" s="11">
        <f>'Sardina comun'!G62</f>
        <v>-3088</v>
      </c>
      <c r="J225" s="11">
        <f>'Sardina comun'!H62</f>
        <v>225</v>
      </c>
      <c r="K225" s="11">
        <f>'Sardina comun'!I62</f>
        <v>32.280999999999999</v>
      </c>
      <c r="L225" s="11">
        <f>'Sardina comun'!K62</f>
        <v>192.71899999999999</v>
      </c>
      <c r="M225" s="48">
        <f>'Sardina comun'!L62</f>
        <v>0.1434711111111111</v>
      </c>
      <c r="N225" s="246" t="str">
        <f>'IC Anch y SardC VIII'!O45</f>
        <v>-</v>
      </c>
      <c r="O225" s="34">
        <f>RESUMEN!$B$3</f>
        <v>44926</v>
      </c>
      <c r="P225" s="11">
        <v>2022</v>
      </c>
    </row>
    <row r="226" spans="1:16">
      <c r="A226" s="51" t="s">
        <v>155</v>
      </c>
      <c r="B226" s="51" t="s">
        <v>253</v>
      </c>
      <c r="C226" s="51" t="s">
        <v>250</v>
      </c>
      <c r="D226" s="51" t="s">
        <v>245</v>
      </c>
      <c r="E226" s="51" t="str">
        <f>'Sardina comun'!D63</f>
        <v>Sindicato de Trabajadores Independientes de la Pesca Artesanal de la Peninsula de Hualpen. Registro Sindical Único 08.05.0502</v>
      </c>
      <c r="F226" s="51" t="s">
        <v>232</v>
      </c>
      <c r="G226" s="51" t="s">
        <v>233</v>
      </c>
      <c r="H226" s="51">
        <f>'Sardina comun'!F63</f>
        <v>194.07499999999999</v>
      </c>
      <c r="I226" s="11">
        <f>'Sardina comun'!G63</f>
        <v>-193.5</v>
      </c>
      <c r="J226" s="11">
        <f>'Sardina comun'!H63</f>
        <v>0.57499999999998863</v>
      </c>
      <c r="K226" s="11">
        <f>'Sardina comun'!I63</f>
        <v>0</v>
      </c>
      <c r="L226" s="11">
        <f>'Sardina comun'!K63</f>
        <v>0.57499999999998863</v>
      </c>
      <c r="M226" s="48">
        <f>'Sardina comun'!L63</f>
        <v>0</v>
      </c>
      <c r="N226" s="246" t="str">
        <f>'IC Anch y SardC VIII'!O46</f>
        <v>-</v>
      </c>
      <c r="O226" s="34">
        <f>RESUMEN!$B$3</f>
        <v>44926</v>
      </c>
      <c r="P226" s="11">
        <v>2022</v>
      </c>
    </row>
    <row r="227" spans="1:16">
      <c r="A227" s="51" t="s">
        <v>155</v>
      </c>
      <c r="B227" s="51" t="s">
        <v>253</v>
      </c>
      <c r="C227" s="51" t="s">
        <v>250</v>
      </c>
      <c r="D227" s="51" t="s">
        <v>245</v>
      </c>
      <c r="E227" s="51" t="str">
        <f>'Sardina comun'!D64</f>
        <v>Sindicato de Trabajadores Independientes de la Pesca Artesanal, Armadores Artesanales Pelágicos Actividades Afines y Actividades Conexas de la Comuna de Talcahuano, "MAR AZUL".  Registro Sindical Único 08.05.0434</v>
      </c>
      <c r="F227" s="51" t="s">
        <v>232</v>
      </c>
      <c r="G227" s="51" t="s">
        <v>233</v>
      </c>
      <c r="H227" s="51">
        <f>'Sardina comun'!F64</f>
        <v>1525.8530000000001</v>
      </c>
      <c r="I227" s="11">
        <f>'Sardina comun'!G64</f>
        <v>0</v>
      </c>
      <c r="J227" s="11">
        <f>'Sardina comun'!H64</f>
        <v>1525.8530000000001</v>
      </c>
      <c r="K227" s="11">
        <f>'Sardina comun'!I64</f>
        <v>0</v>
      </c>
      <c r="L227" s="11">
        <f>'Sardina comun'!K64</f>
        <v>1525.8530000000001</v>
      </c>
      <c r="M227" s="48">
        <f>'Sardina comun'!L64</f>
        <v>0</v>
      </c>
      <c r="N227" s="246" t="str">
        <f>'IC Anch y SardC VIII'!O47</f>
        <v>-</v>
      </c>
      <c r="O227" s="34">
        <f>RESUMEN!$B$3</f>
        <v>44926</v>
      </c>
      <c r="P227" s="11">
        <v>2022</v>
      </c>
    </row>
    <row r="228" spans="1:16">
      <c r="A228" s="51" t="s">
        <v>155</v>
      </c>
      <c r="B228" s="51" t="s">
        <v>253</v>
      </c>
      <c r="C228" s="51" t="s">
        <v>250</v>
      </c>
      <c r="D228" s="51" t="s">
        <v>245</v>
      </c>
      <c r="E228" s="51" t="str">
        <f>'Sardina comun'!D65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28" s="51" t="s">
        <v>232</v>
      </c>
      <c r="G228" s="51" t="s">
        <v>233</v>
      </c>
      <c r="H228" s="51">
        <f>'Sardina comun'!F65</f>
        <v>3229.55</v>
      </c>
      <c r="I228" s="11">
        <f>'Sardina comun'!G65</f>
        <v>0</v>
      </c>
      <c r="J228" s="11">
        <f>'Sardina comun'!H65</f>
        <v>3229.55</v>
      </c>
      <c r="K228" s="11">
        <f>'Sardina comun'!I65</f>
        <v>88.2</v>
      </c>
      <c r="L228" s="11">
        <f>'Sardina comun'!K65</f>
        <v>3141.3500000000004</v>
      </c>
      <c r="M228" s="48">
        <f>'Sardina comun'!L65</f>
        <v>2.731030638943506E-2</v>
      </c>
      <c r="N228" s="246" t="str">
        <f>'IC Anch y SardC VIII'!O48</f>
        <v>-</v>
      </c>
      <c r="O228" s="34">
        <f>RESUMEN!$B$3</f>
        <v>44926</v>
      </c>
      <c r="P228" s="11">
        <v>2022</v>
      </c>
    </row>
    <row r="229" spans="1:16">
      <c r="A229" s="51" t="s">
        <v>155</v>
      </c>
      <c r="B229" s="51" t="s">
        <v>253</v>
      </c>
      <c r="C229" s="51" t="s">
        <v>250</v>
      </c>
      <c r="D229" s="51" t="s">
        <v>245</v>
      </c>
      <c r="E229" s="51" t="str">
        <f>'Sardina comun'!D66</f>
        <v>Sindicato de Trabajadores Independientes de Pescadores Artesanales Caleta Lo Rojas "SITRAINPAR". Registro Sindical Único 08.07.0287.</v>
      </c>
      <c r="F229" s="51" t="s">
        <v>232</v>
      </c>
      <c r="G229" s="51" t="s">
        <v>233</v>
      </c>
      <c r="H229" s="51">
        <f>'Sardina comun'!F66</f>
        <v>2349.2370000000001</v>
      </c>
      <c r="I229" s="11">
        <f>'Sardina comun'!G66</f>
        <v>326.10000000000002</v>
      </c>
      <c r="J229" s="11">
        <f>'Sardina comun'!H66</f>
        <v>2675.337</v>
      </c>
      <c r="K229" s="11">
        <f>'Sardina comun'!I66</f>
        <v>548.77799243164122</v>
      </c>
      <c r="L229" s="11">
        <f>'Sardina comun'!K66</f>
        <v>2125.6300075683589</v>
      </c>
      <c r="M229" s="48">
        <f>'Sardina comun'!L66</f>
        <v>0.20512480948442802</v>
      </c>
      <c r="N229" s="246" t="str">
        <f>'IC Anch y SardC VIII'!O49</f>
        <v>-</v>
      </c>
      <c r="O229" s="34">
        <f>RESUMEN!$B$3</f>
        <v>44926</v>
      </c>
      <c r="P229" s="11">
        <v>2022</v>
      </c>
    </row>
    <row r="230" spans="1:16">
      <c r="A230" s="51" t="s">
        <v>155</v>
      </c>
      <c r="B230" s="51" t="s">
        <v>253</v>
      </c>
      <c r="C230" s="51" t="s">
        <v>250</v>
      </c>
      <c r="D230" s="51" t="s">
        <v>245</v>
      </c>
      <c r="E230" s="51" t="str">
        <f>'Sardina comun'!D67</f>
        <v>Sindicato de Trabajadores Independientes de Pescadores Artesanales Lo Rojas y Caletas Anexas del Golfo de Arauco. Registro Sindical Único 08.07.0307</v>
      </c>
      <c r="F230" s="51" t="s">
        <v>232</v>
      </c>
      <c r="G230" s="51" t="s">
        <v>233</v>
      </c>
      <c r="H230" s="51">
        <f>'Sardina comun'!F67</f>
        <v>3980.6579999999999</v>
      </c>
      <c r="I230" s="11">
        <f>'Sardina comun'!G67</f>
        <v>-3980</v>
      </c>
      <c r="J230" s="11">
        <f>'Sardina comun'!H67</f>
        <v>0.65799999999990177</v>
      </c>
      <c r="K230" s="11">
        <f>'Sardina comun'!I67</f>
        <v>3.1259999747276304</v>
      </c>
      <c r="L230" s="11">
        <f>'Sardina comun'!K67</f>
        <v>-2.4679999747277286</v>
      </c>
      <c r="M230" s="48">
        <f>'Sardina comun'!L67</f>
        <v>0.99983470069521174</v>
      </c>
      <c r="N230" s="246">
        <f>'IC Anch y SardC VIII'!O50</f>
        <v>44797</v>
      </c>
      <c r="O230" s="34">
        <f>RESUMEN!$B$3</f>
        <v>44926</v>
      </c>
      <c r="P230" s="11">
        <v>2022</v>
      </c>
    </row>
    <row r="231" spans="1:16">
      <c r="A231" s="51" t="s">
        <v>155</v>
      </c>
      <c r="B231" s="51" t="s">
        <v>253</v>
      </c>
      <c r="C231" s="51" t="s">
        <v>250</v>
      </c>
      <c r="D231" s="51" t="s">
        <v>245</v>
      </c>
      <c r="E231" s="51" t="str">
        <f>'Sardina comun'!D68</f>
        <v>Sindicato de Trabajadores Independientes de Pescadores Artesanales y Actividades Conexas Caleta de Pueblo Hundido, La Conchilla y El Morro - LOTA. Registro Sindical Único 08.07.0061</v>
      </c>
      <c r="F231" s="51" t="s">
        <v>232</v>
      </c>
      <c r="G231" s="51" t="s">
        <v>233</v>
      </c>
      <c r="H231" s="51">
        <f>'Sardina comun'!F68</f>
        <v>24.699000000000002</v>
      </c>
      <c r="I231" s="11">
        <f>'Sardina comun'!G68</f>
        <v>-22.1</v>
      </c>
      <c r="J231" s="11">
        <f>'Sardina comun'!H68</f>
        <v>2.5990000000000002</v>
      </c>
      <c r="K231" s="11">
        <f>'Sardina comun'!I68</f>
        <v>0</v>
      </c>
      <c r="L231" s="11">
        <f>'Sardina comun'!K68</f>
        <v>2.5990000000000002</v>
      </c>
      <c r="M231" s="48">
        <f>'Sardina comun'!L68</f>
        <v>0</v>
      </c>
      <c r="N231" s="246" t="str">
        <f>'IC Anch y SardC VIII'!O51</f>
        <v>-</v>
      </c>
      <c r="O231" s="34">
        <f>RESUMEN!$B$3</f>
        <v>44926</v>
      </c>
      <c r="P231" s="11">
        <v>2022</v>
      </c>
    </row>
    <row r="232" spans="1:16">
      <c r="A232" s="51" t="s">
        <v>155</v>
      </c>
      <c r="B232" s="51" t="s">
        <v>253</v>
      </c>
      <c r="C232" s="51" t="s">
        <v>250</v>
      </c>
      <c r="D232" s="51" t="s">
        <v>245</v>
      </c>
      <c r="E232" s="51" t="str">
        <f>'Sardina comun'!D69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32" s="51" t="s">
        <v>232</v>
      </c>
      <c r="G232" s="51" t="s">
        <v>233</v>
      </c>
      <c r="H232" s="51">
        <f>'Sardina comun'!F69</f>
        <v>4730.7759999999998</v>
      </c>
      <c r="I232" s="11">
        <f>'Sardina comun'!G69</f>
        <v>-363.59</v>
      </c>
      <c r="J232" s="11">
        <f>'Sardina comun'!H69</f>
        <v>4367.1859999999997</v>
      </c>
      <c r="K232" s="11">
        <f>'Sardina comun'!I69</f>
        <v>450.77199999999971</v>
      </c>
      <c r="L232" s="11">
        <f>'Sardina comun'!K69</f>
        <v>3916.4139999999998</v>
      </c>
      <c r="M232" s="48">
        <f>'Sardina comun'!L69</f>
        <v>0.10321795316251695</v>
      </c>
      <c r="N232" s="246" t="str">
        <f>'IC Anch y SardC VIII'!O52</f>
        <v>-</v>
      </c>
      <c r="O232" s="34">
        <f>RESUMEN!$B$3</f>
        <v>44926</v>
      </c>
      <c r="P232" s="11">
        <v>2022</v>
      </c>
    </row>
    <row r="233" spans="1:16">
      <c r="A233" s="51" t="s">
        <v>155</v>
      </c>
      <c r="B233" s="51" t="s">
        <v>253</v>
      </c>
      <c r="C233" s="51" t="s">
        <v>250</v>
      </c>
      <c r="D233" s="51" t="s">
        <v>245</v>
      </c>
      <c r="E233" s="51" t="str">
        <f>'Sardina comun'!D70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233" s="51" t="s">
        <v>232</v>
      </c>
      <c r="G233" s="51" t="s">
        <v>233</v>
      </c>
      <c r="H233" s="51">
        <f>'Sardina comun'!F70</f>
        <v>426.02199999999999</v>
      </c>
      <c r="I233" s="11">
        <f>'Sardina comun'!G70</f>
        <v>-348</v>
      </c>
      <c r="J233" s="11">
        <f>'Sardina comun'!H70</f>
        <v>78.021999999999991</v>
      </c>
      <c r="K233" s="11">
        <f>'Sardina comun'!I70</f>
        <v>0</v>
      </c>
      <c r="L233" s="11">
        <f>'Sardina comun'!K70</f>
        <v>78.021999999999991</v>
      </c>
      <c r="M233" s="48">
        <f>'Sardina comun'!L70</f>
        <v>0</v>
      </c>
      <c r="N233" s="246" t="str">
        <f>'IC Anch y SardC VIII'!O53</f>
        <v>-</v>
      </c>
      <c r="O233" s="34">
        <f>RESUMEN!$B$3</f>
        <v>44926</v>
      </c>
      <c r="P233" s="11">
        <v>2022</v>
      </c>
    </row>
    <row r="234" spans="1:16">
      <c r="A234" s="51" t="s">
        <v>155</v>
      </c>
      <c r="B234" s="51" t="s">
        <v>253</v>
      </c>
      <c r="C234" s="51" t="s">
        <v>250</v>
      </c>
      <c r="D234" s="51" t="s">
        <v>245</v>
      </c>
      <c r="E234" s="51" t="str">
        <f>'Sardina comun'!D71</f>
        <v>Sindicato de Trabajadores Independientes Pescadores Armadores y Ramos Afines de la Pesca Artesanal, APAT, Registro Sindical Único 08.05.0380</v>
      </c>
      <c r="F234" s="51" t="s">
        <v>232</v>
      </c>
      <c r="G234" s="51" t="s">
        <v>233</v>
      </c>
      <c r="H234" s="51">
        <f>'Sardina comun'!F71</f>
        <v>1938.172</v>
      </c>
      <c r="I234" s="11">
        <f>'Sardina comun'!G71</f>
        <v>-250</v>
      </c>
      <c r="J234" s="11">
        <f>'Sardina comun'!H71</f>
        <v>1688.172</v>
      </c>
      <c r="K234" s="11">
        <f>'Sardina comun'!I71</f>
        <v>0</v>
      </c>
      <c r="L234" s="11">
        <f>'Sardina comun'!K71</f>
        <v>1688.172</v>
      </c>
      <c r="M234" s="48">
        <f>'Sardina comun'!L71</f>
        <v>0</v>
      </c>
      <c r="N234" s="246" t="str">
        <f>'IC Anch y SardC VIII'!O54</f>
        <v>-</v>
      </c>
      <c r="O234" s="34">
        <f>RESUMEN!$B$3</f>
        <v>44926</v>
      </c>
      <c r="P234" s="11">
        <v>2022</v>
      </c>
    </row>
    <row r="235" spans="1:16">
      <c r="A235" s="51" t="s">
        <v>155</v>
      </c>
      <c r="B235" s="51" t="s">
        <v>253</v>
      </c>
      <c r="C235" s="51" t="s">
        <v>250</v>
      </c>
      <c r="D235" s="51" t="s">
        <v>245</v>
      </c>
      <c r="E235" s="51" t="str">
        <f>'Sardina comun'!D72</f>
        <v>Sindicato de Trabajadores Independientes Pescadores Artesanales de Caleta Tumbes - Talcahuano, Registro Sindical Único 08.05.0057</v>
      </c>
      <c r="F235" s="51" t="s">
        <v>232</v>
      </c>
      <c r="G235" s="51" t="s">
        <v>233</v>
      </c>
      <c r="H235" s="51">
        <f>'Sardina comun'!F72</f>
        <v>6546.8469999999998</v>
      </c>
      <c r="I235" s="11">
        <f>'Sardina comun'!G72</f>
        <v>-1416</v>
      </c>
      <c r="J235" s="11">
        <f>'Sardina comun'!H72</f>
        <v>5130.8469999999998</v>
      </c>
      <c r="K235" s="11">
        <f>'Sardina comun'!I72</f>
        <v>20.027000000000001</v>
      </c>
      <c r="L235" s="11">
        <f>'Sardina comun'!K72</f>
        <v>5110.82</v>
      </c>
      <c r="M235" s="48">
        <f>'Sardina comun'!L72</f>
        <v>3.9032541800603296E-3</v>
      </c>
      <c r="N235" s="246" t="str">
        <f>'IC Anch y SardC VIII'!O55</f>
        <v>-</v>
      </c>
      <c r="O235" s="34">
        <f>RESUMEN!$B$3</f>
        <v>44926</v>
      </c>
      <c r="P235" s="11">
        <v>2022</v>
      </c>
    </row>
    <row r="236" spans="1:16">
      <c r="A236" s="51" t="s">
        <v>155</v>
      </c>
      <c r="B236" s="51" t="s">
        <v>253</v>
      </c>
      <c r="C236" s="51" t="s">
        <v>250</v>
      </c>
      <c r="D236" s="51" t="s">
        <v>245</v>
      </c>
      <c r="E236" s="51" t="str">
        <f>'Sardina comun'!D73</f>
        <v>Sindicato de Trabajadores Independientes Pescadores Artesanales Históricos de Talcahuano, "SPARHITAL". Registro Sindical Único 08.05.0382</v>
      </c>
      <c r="F236" s="51" t="s">
        <v>232</v>
      </c>
      <c r="G236" s="51" t="s">
        <v>233</v>
      </c>
      <c r="H236" s="51">
        <f>'Sardina comun'!F73</f>
        <v>2005.1210000000001</v>
      </c>
      <c r="I236" s="11">
        <f>'Sardina comun'!G73</f>
        <v>-1653</v>
      </c>
      <c r="J236" s="11">
        <f>'Sardina comun'!H73</f>
        <v>352.12100000000009</v>
      </c>
      <c r="K236" s="11">
        <f>'Sardina comun'!I73</f>
        <v>22.489000000000001</v>
      </c>
      <c r="L236" s="11">
        <f>'Sardina comun'!K73</f>
        <v>329.63200000000012</v>
      </c>
      <c r="M236" s="48">
        <f>'Sardina comun'!L73</f>
        <v>6.386725017820577E-2</v>
      </c>
      <c r="N236" s="246" t="str">
        <f>'IC Anch y SardC VIII'!O56</f>
        <v>-</v>
      </c>
      <c r="O236" s="34">
        <f>RESUMEN!$B$3</f>
        <v>44926</v>
      </c>
      <c r="P236" s="11">
        <v>2022</v>
      </c>
    </row>
    <row r="237" spans="1:16">
      <c r="A237" s="51" t="s">
        <v>155</v>
      </c>
      <c r="B237" s="51" t="s">
        <v>253</v>
      </c>
      <c r="C237" s="51" t="s">
        <v>250</v>
      </c>
      <c r="D237" s="51" t="s">
        <v>245</v>
      </c>
      <c r="E237" s="51" t="str">
        <f>'Sardina comun'!D74</f>
        <v>Sindicato de Trabajadores Independientes Pescadores Artesanales Península de Tumbes, Registro Sindical Único 08.05.0391</v>
      </c>
      <c r="F237" s="51" t="s">
        <v>232</v>
      </c>
      <c r="G237" s="51" t="s">
        <v>233</v>
      </c>
      <c r="H237" s="51">
        <f>'Sardina comun'!F74</f>
        <v>3280.808</v>
      </c>
      <c r="I237" s="11">
        <f>'Sardina comun'!G74</f>
        <v>240</v>
      </c>
      <c r="J237" s="11">
        <f>'Sardina comun'!H74</f>
        <v>3520.808</v>
      </c>
      <c r="K237" s="11">
        <f>'Sardina comun'!I74</f>
        <v>25.413999999999998</v>
      </c>
      <c r="L237" s="11">
        <f>'Sardina comun'!K74</f>
        <v>3495.3939999999998</v>
      </c>
      <c r="M237" s="48">
        <f>'Sardina comun'!L74</f>
        <v>7.2182294518758185E-3</v>
      </c>
      <c r="N237" s="246" t="str">
        <f>'IC Anch y SardC VIII'!O57</f>
        <v>-</v>
      </c>
      <c r="O237" s="34">
        <f>RESUMEN!$B$3</f>
        <v>44926</v>
      </c>
      <c r="P237" s="11">
        <v>2022</v>
      </c>
    </row>
    <row r="238" spans="1:16">
      <c r="A238" s="51" t="s">
        <v>155</v>
      </c>
      <c r="B238" s="51" t="s">
        <v>253</v>
      </c>
      <c r="C238" s="51" t="s">
        <v>250</v>
      </c>
      <c r="D238" s="51" t="s">
        <v>245</v>
      </c>
      <c r="E238" s="51" t="str">
        <f>'Sardina comun'!D75</f>
        <v>Sindicato de Trabajadores Independientes Pescadores Artesanales, Armadores y Actividades Conexas de la Caleta Coliumo, Registro Sindical Único 08.06.0150</v>
      </c>
      <c r="F238" s="51" t="s">
        <v>232</v>
      </c>
      <c r="G238" s="51" t="s">
        <v>233</v>
      </c>
      <c r="H238" s="51">
        <f>'Sardina comun'!F75</f>
        <v>7355.1620000000003</v>
      </c>
      <c r="I238" s="11">
        <f>'Sardina comun'!G75</f>
        <v>1069</v>
      </c>
      <c r="J238" s="11">
        <f>'Sardina comun'!H75</f>
        <v>8424.1620000000003</v>
      </c>
      <c r="K238" s="11">
        <f>'Sardina comun'!I75</f>
        <v>2715.7999924492842</v>
      </c>
      <c r="L238" s="11">
        <f>'Sardina comun'!K75</f>
        <v>5708.362007550716</v>
      </c>
      <c r="M238" s="48">
        <f>'Sardina comun'!L75</f>
        <v>0.32238221350079499</v>
      </c>
      <c r="N238" s="246" t="str">
        <f>'IC Anch y SardC VIII'!O58</f>
        <v>-</v>
      </c>
      <c r="O238" s="34">
        <f>RESUMEN!$B$3</f>
        <v>44926</v>
      </c>
      <c r="P238" s="11">
        <v>2022</v>
      </c>
    </row>
    <row r="239" spans="1:16">
      <c r="A239" s="51" t="s">
        <v>155</v>
      </c>
      <c r="B239" s="51" t="s">
        <v>253</v>
      </c>
      <c r="C239" s="51" t="s">
        <v>250</v>
      </c>
      <c r="D239" s="51" t="s">
        <v>245</v>
      </c>
      <c r="E239" s="51" t="str">
        <f>'Sardina comun'!D76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39" s="51" t="s">
        <v>232</v>
      </c>
      <c r="G239" s="51" t="s">
        <v>233</v>
      </c>
      <c r="H239" s="51">
        <f>'Sardina comun'!F76</f>
        <v>313.16500000000002</v>
      </c>
      <c r="I239" s="11">
        <f>'Sardina comun'!G76</f>
        <v>-313.10000000000002</v>
      </c>
      <c r="J239" s="11">
        <f>'Sardina comun'!H76</f>
        <v>6.4999999999997726E-2</v>
      </c>
      <c r="K239" s="11">
        <f>'Sardina comun'!I76</f>
        <v>0</v>
      </c>
      <c r="L239" s="11">
        <f>'Sardina comun'!K76</f>
        <v>6.4999999999997726E-2</v>
      </c>
      <c r="M239" s="48">
        <f>'Sardina comun'!L76</f>
        <v>0</v>
      </c>
      <c r="N239" s="246" t="str">
        <f>'IC Anch y SardC VIII'!O59</f>
        <v>-</v>
      </c>
      <c r="O239" s="34">
        <f>RESUMEN!$B$3</f>
        <v>44926</v>
      </c>
      <c r="P239" s="11">
        <v>2022</v>
      </c>
    </row>
    <row r="240" spans="1:16">
      <c r="A240" s="51" t="s">
        <v>155</v>
      </c>
      <c r="B240" s="51" t="s">
        <v>253</v>
      </c>
      <c r="C240" s="51" t="s">
        <v>250</v>
      </c>
      <c r="D240" s="51" t="s">
        <v>245</v>
      </c>
      <c r="E240" s="51" t="str">
        <f>'Sardina comun'!D77</f>
        <v>Sindicato de Trabajadores Independientes Pescadores Artesanales, Buzos Mariscadores, Armadores Artesanales y Actividades Conexas de Coronel y del Golfo de Arauco VIII Region "SIPARBUMAR CORONEL". Registro Sindical Único 08.07.0183</v>
      </c>
      <c r="F240" s="51" t="s">
        <v>232</v>
      </c>
      <c r="G240" s="51" t="s">
        <v>233</v>
      </c>
      <c r="H240" s="51">
        <f>'Sardina comun'!F77</f>
        <v>8663.6740000000009</v>
      </c>
      <c r="I240" s="11">
        <f>'Sardina comun'!G77</f>
        <v>4708.4390000000003</v>
      </c>
      <c r="J240" s="11">
        <f>'Sardina comun'!H77</f>
        <v>13372.113000000001</v>
      </c>
      <c r="K240" s="11">
        <f>'Sardina comun'!I77</f>
        <v>6817.7659535446164</v>
      </c>
      <c r="L240" s="11">
        <f>'Sardina comun'!K77</f>
        <v>6554.3470464553848</v>
      </c>
      <c r="M240" s="48">
        <f>'Sardina comun'!L77</f>
        <v>0.50984956181155627</v>
      </c>
      <c r="N240" s="246" t="str">
        <f>'IC Anch y SardC VIII'!O60</f>
        <v>-</v>
      </c>
      <c r="O240" s="34">
        <f>RESUMEN!$B$3</f>
        <v>44926</v>
      </c>
      <c r="P240" s="11">
        <v>2022</v>
      </c>
    </row>
    <row r="241" spans="1:16">
      <c r="A241" s="51" t="s">
        <v>155</v>
      </c>
      <c r="B241" s="51" t="s">
        <v>253</v>
      </c>
      <c r="C241" s="51" t="s">
        <v>250</v>
      </c>
      <c r="D241" s="51" t="s">
        <v>245</v>
      </c>
      <c r="E241" s="51" t="str">
        <f>'Sardina comun'!D78</f>
        <v>Sindicato de Trabajadores Independientes Pescadores Artesanales, Lancheros, Acuicultores y Actividades Conexas de Caleta Lota Bajo "SIPESCA", Registro Sindical Único 08.07.0106</v>
      </c>
      <c r="F241" s="51" t="s">
        <v>232</v>
      </c>
      <c r="G241" s="51" t="s">
        <v>233</v>
      </c>
      <c r="H241" s="51">
        <f>'Sardina comun'!F78</f>
        <v>95.257999999999996</v>
      </c>
      <c r="I241" s="11">
        <f>'Sardina comun'!G78</f>
        <v>-27</v>
      </c>
      <c r="J241" s="11">
        <f>'Sardina comun'!H78</f>
        <v>68.257999999999996</v>
      </c>
      <c r="K241" s="11">
        <f>'Sardina comun'!I78</f>
        <v>55.536999999999999</v>
      </c>
      <c r="L241" s="11">
        <f>'Sardina comun'!K78</f>
        <v>12.720999999999997</v>
      </c>
      <c r="M241" s="48">
        <f>'Sardina comun'!L78</f>
        <v>0.8136335667614053</v>
      </c>
      <c r="N241" s="246" t="str">
        <f>'IC Anch y SardC VIII'!O61</f>
        <v>-</v>
      </c>
      <c r="O241" s="34">
        <f>RESUMEN!$B$3</f>
        <v>44926</v>
      </c>
      <c r="P241" s="11">
        <v>2022</v>
      </c>
    </row>
    <row r="242" spans="1:16">
      <c r="A242" s="51" t="s">
        <v>155</v>
      </c>
      <c r="B242" s="51" t="s">
        <v>253</v>
      </c>
      <c r="C242" s="51" t="s">
        <v>250</v>
      </c>
      <c r="D242" s="51" t="s">
        <v>245</v>
      </c>
      <c r="E242" s="51" t="str">
        <f>'Sardina comun'!D79</f>
        <v>Sindicato de Trabajadores Independientes Pescadores de la Caleta Cocholgüe, Registro Sindical Único 08.06.0023</v>
      </c>
      <c r="F242" s="51" t="s">
        <v>232</v>
      </c>
      <c r="G242" s="51" t="s">
        <v>233</v>
      </c>
      <c r="H242" s="51">
        <f>'Sardina comun'!F79</f>
        <v>2.9809999999999999</v>
      </c>
      <c r="I242" s="11">
        <f>'Sardina comun'!G79</f>
        <v>-2.6</v>
      </c>
      <c r="J242" s="11">
        <f>'Sardina comun'!H79</f>
        <v>0.38099999999999978</v>
      </c>
      <c r="K242" s="11">
        <f>'Sardina comun'!I79</f>
        <v>0</v>
      </c>
      <c r="L242" s="11">
        <f>'Sardina comun'!K79</f>
        <v>0.38099999999999978</v>
      </c>
      <c r="M242" s="48">
        <f>'Sardina comun'!L79</f>
        <v>0.87219054008721908</v>
      </c>
      <c r="N242" s="246" t="str">
        <f>'IC Anch y SardC VIII'!O62</f>
        <v>-</v>
      </c>
      <c r="O242" s="34">
        <f>RESUMEN!$B$3</f>
        <v>44926</v>
      </c>
      <c r="P242" s="11">
        <v>2022</v>
      </c>
    </row>
    <row r="243" spans="1:16">
      <c r="A243" s="51" t="s">
        <v>155</v>
      </c>
      <c r="B243" s="51" t="s">
        <v>253</v>
      </c>
      <c r="C243" s="51" t="s">
        <v>250</v>
      </c>
      <c r="D243" s="51" t="s">
        <v>245</v>
      </c>
      <c r="E243" s="51" t="str">
        <f>'Sardina comun'!D80</f>
        <v>Sindicato de Trabajadores Independientes Pescadores de la Caleta Coliumo, Registro Sindical Único 08.06.0027</v>
      </c>
      <c r="F243" s="51" t="s">
        <v>232</v>
      </c>
      <c r="G243" s="51" t="s">
        <v>233</v>
      </c>
      <c r="H243" s="51">
        <f>'Sardina comun'!F80</f>
        <v>9766.6129999999994</v>
      </c>
      <c r="I243" s="11">
        <f>'Sardina comun'!G80</f>
        <v>-2281</v>
      </c>
      <c r="J243" s="11">
        <f>'Sardina comun'!H80</f>
        <v>7485.6129999999994</v>
      </c>
      <c r="K243" s="11">
        <f>'Sardina comun'!I80</f>
        <v>238.87999999999997</v>
      </c>
      <c r="L243" s="11">
        <f>'Sardina comun'!K80</f>
        <v>7246.7329999999993</v>
      </c>
      <c r="M243" s="48">
        <f>'Sardina comun'!L80</f>
        <v>3.1911882166497249E-2</v>
      </c>
      <c r="N243" s="246" t="str">
        <f>'IC Anch y SardC VIII'!O63</f>
        <v>-</v>
      </c>
      <c r="O243" s="34">
        <f>RESUMEN!$B$3</f>
        <v>44926</v>
      </c>
      <c r="P243" s="11">
        <v>2022</v>
      </c>
    </row>
    <row r="244" spans="1:16">
      <c r="A244" s="51" t="s">
        <v>155</v>
      </c>
      <c r="B244" s="51" t="s">
        <v>253</v>
      </c>
      <c r="C244" s="51" t="s">
        <v>250</v>
      </c>
      <c r="D244" s="51" t="s">
        <v>245</v>
      </c>
      <c r="E244" s="51" t="str">
        <f>'Sardina comun'!D81</f>
        <v>Sindicato de Trabajadores Independientes Pescadores,  Armadores y  Buzos Mariscadores  y Actividades conexas de Talcahuano "SIPARBUM". Registro Sindical Único 08.05.0424</v>
      </c>
      <c r="F244" s="51" t="s">
        <v>232</v>
      </c>
      <c r="G244" s="51" t="s">
        <v>233</v>
      </c>
      <c r="H244" s="51">
        <f>'Sardina comun'!F81</f>
        <v>867.41499999999996</v>
      </c>
      <c r="I244" s="11">
        <f>'Sardina comun'!G81</f>
        <v>-31</v>
      </c>
      <c r="J244" s="11">
        <f>'Sardina comun'!H81</f>
        <v>836.41499999999996</v>
      </c>
      <c r="K244" s="11">
        <f>'Sardina comun'!I81</f>
        <v>112.75800054931642</v>
      </c>
      <c r="L244" s="11">
        <f>'Sardina comun'!K81</f>
        <v>723.65699945068354</v>
      </c>
      <c r="M244" s="48">
        <f>'Sardina comun'!L81</f>
        <v>0.13481106932481654</v>
      </c>
      <c r="N244" s="246" t="str">
        <f>'IC Anch y SardC VIII'!O64</f>
        <v>-</v>
      </c>
      <c r="O244" s="34">
        <f>RESUMEN!$B$3</f>
        <v>44926</v>
      </c>
      <c r="P244" s="11">
        <v>2022</v>
      </c>
    </row>
    <row r="245" spans="1:16">
      <c r="A245" s="51" t="s">
        <v>155</v>
      </c>
      <c r="B245" s="51" t="s">
        <v>253</v>
      </c>
      <c r="C245" s="51" t="s">
        <v>250</v>
      </c>
      <c r="D245" s="51" t="s">
        <v>245</v>
      </c>
      <c r="E245" s="51" t="str">
        <f>'Sardina comun'!D82</f>
        <v>Sindicato de Trabajadores Independientes Pescadores, Armadores  y ramas afines de la Pesca Artesanal "JUANOVOAARCE-LOTA" Registro Sindical Unico 08.07.0485</v>
      </c>
      <c r="F245" s="51" t="s">
        <v>232</v>
      </c>
      <c r="G245" s="51" t="s">
        <v>233</v>
      </c>
      <c r="H245" s="51">
        <f>'Sardina comun'!F82</f>
        <v>759.84299999999996</v>
      </c>
      <c r="I245" s="11">
        <f>'Sardina comun'!G82</f>
        <v>0</v>
      </c>
      <c r="J245" s="11">
        <f>'Sardina comun'!H82</f>
        <v>759.84299999999996</v>
      </c>
      <c r="K245" s="11">
        <f>'Sardina comun'!I82</f>
        <v>822.05800000000022</v>
      </c>
      <c r="L245" s="11">
        <f>'Sardina comun'!K82</f>
        <v>-62.215000000000259</v>
      </c>
      <c r="M245" s="48">
        <f>'Sardina comun'!L82</f>
        <v>1.0818787565325998</v>
      </c>
      <c r="N245" s="246" t="str">
        <f>'IC Anch y SardC VIII'!O65</f>
        <v>-</v>
      </c>
      <c r="O245" s="34">
        <f>RESUMEN!$B$3</f>
        <v>44926</v>
      </c>
      <c r="P245" s="11">
        <v>2022</v>
      </c>
    </row>
    <row r="246" spans="1:16" s="11" customFormat="1">
      <c r="A246" s="51" t="s">
        <v>155</v>
      </c>
      <c r="B246" s="51" t="s">
        <v>253</v>
      </c>
      <c r="C246" s="51" t="s">
        <v>250</v>
      </c>
      <c r="D246" s="51" t="s">
        <v>245</v>
      </c>
      <c r="E246" s="36" t="s">
        <v>319</v>
      </c>
      <c r="F246" s="51" t="s">
        <v>232</v>
      </c>
      <c r="G246" s="51" t="s">
        <v>233</v>
      </c>
      <c r="H246" s="51">
        <f>'Sardina comun'!F83</f>
        <v>1916.999</v>
      </c>
      <c r="I246" s="11">
        <f>'Sardina comun'!G83</f>
        <v>-1100</v>
      </c>
      <c r="J246" s="11">
        <f>'Sardina comun'!H83</f>
        <v>816.99900000000002</v>
      </c>
      <c r="K246" s="11">
        <f>'Sardina comun'!I83</f>
        <v>575.21900000000005</v>
      </c>
      <c r="L246" s="11">
        <f>'Sardina comun'!K83</f>
        <v>241.77999999999997</v>
      </c>
      <c r="M246" s="48">
        <f>'Sardina comun'!L83</f>
        <v>0.7040632852671791</v>
      </c>
      <c r="N246" s="246" t="str">
        <f>'IC Anch y SardC VIII'!O66</f>
        <v>-</v>
      </c>
      <c r="O246" s="34">
        <f>RESUMEN!$B$3</f>
        <v>44926</v>
      </c>
      <c r="P246" s="11">
        <v>2022</v>
      </c>
    </row>
    <row r="247" spans="1:16">
      <c r="A247" s="51" t="s">
        <v>155</v>
      </c>
      <c r="B247" s="51" t="s">
        <v>253</v>
      </c>
      <c r="C247" s="51" t="s">
        <v>250</v>
      </c>
      <c r="D247" s="51" t="s">
        <v>245</v>
      </c>
      <c r="E247" s="51" t="str">
        <f>'Sardina comun'!D84</f>
        <v>Sindicato de Trabajadores Independientes Pescadores, Armadores Artesanales, Buzos, Acuicultores y Ramos Afines de la Pesca Artesanal, Comuna de Talcahuano "SIPEARTAL". Registro Sindical Único 08.05.0487.</v>
      </c>
      <c r="F247" s="51" t="s">
        <v>232</v>
      </c>
      <c r="G247" s="51" t="s">
        <v>233</v>
      </c>
      <c r="H247" s="51">
        <f>'Sardina comun'!F84</f>
        <v>3087.2089999999998</v>
      </c>
      <c r="I247" s="11">
        <f>'Sardina comun'!G84</f>
        <v>-1370.2</v>
      </c>
      <c r="J247" s="11">
        <f>'Sardina comun'!H84</f>
        <v>1717.0089999999998</v>
      </c>
      <c r="K247" s="11">
        <f>'Sardina comun'!I84</f>
        <v>337.93201342824079</v>
      </c>
      <c r="L247" s="11">
        <f>'Sardina comun'!K84</f>
        <v>1379.0769865717589</v>
      </c>
      <c r="M247" s="48">
        <f>'Sardina comun'!L84</f>
        <v>0.1968143518340561</v>
      </c>
      <c r="N247" s="246" t="str">
        <f>'IC Anch y SardC VIII'!O67</f>
        <v>-</v>
      </c>
      <c r="O247" s="34">
        <f>RESUMEN!$B$3</f>
        <v>44926</v>
      </c>
      <c r="P247" s="11">
        <v>2022</v>
      </c>
    </row>
    <row r="248" spans="1:16">
      <c r="A248" s="51" t="s">
        <v>155</v>
      </c>
      <c r="B248" s="51" t="s">
        <v>253</v>
      </c>
      <c r="C248" s="51" t="s">
        <v>250</v>
      </c>
      <c r="D248" s="51" t="s">
        <v>245</v>
      </c>
      <c r="E248" s="51" t="str">
        <f>'Sardina comun'!D85</f>
        <v>Sindicato de Trabajadores Independientes Pescadores, Armadores y Ramas Afines de la Pesca Artesanal de Coronel "SIPESMAFESA". Registro Sindical Único 08.07.0332</v>
      </c>
      <c r="F248" s="51" t="s">
        <v>232</v>
      </c>
      <c r="G248" s="51" t="s">
        <v>233</v>
      </c>
      <c r="H248" s="51">
        <f>'Sardina comun'!F85</f>
        <v>4080.9490000000001</v>
      </c>
      <c r="I248" s="11">
        <f>'Sardina comun'!G85</f>
        <v>-530</v>
      </c>
      <c r="J248" s="11">
        <f>'Sardina comun'!H85</f>
        <v>3550.9490000000001</v>
      </c>
      <c r="K248" s="11">
        <f>'Sardina comun'!I85</f>
        <v>562.35002783203106</v>
      </c>
      <c r="L248" s="11">
        <f>'Sardina comun'!K85</f>
        <v>2988.5989721679689</v>
      </c>
      <c r="M248" s="48">
        <f>'Sardina comun'!L85</f>
        <v>0.15836612348756093</v>
      </c>
      <c r="N248" s="246" t="str">
        <f>'IC Anch y SardC VIII'!O68</f>
        <v>-</v>
      </c>
      <c r="O248" s="34">
        <f>RESUMEN!$B$3</f>
        <v>44926</v>
      </c>
      <c r="P248" s="11">
        <v>2022</v>
      </c>
    </row>
    <row r="249" spans="1:16">
      <c r="A249" s="51" t="s">
        <v>155</v>
      </c>
      <c r="B249" s="51" t="s">
        <v>253</v>
      </c>
      <c r="C249" s="51" t="s">
        <v>250</v>
      </c>
      <c r="D249" s="51" t="s">
        <v>245</v>
      </c>
      <c r="E249" s="51" t="str">
        <f>'Sardina comun'!D86</f>
        <v>Sindicato de Trabajadores Independientes Pescadores, Armadores y Ramos Afines "SIPEAYRAS" de Lota. Registro Sindical Único 08.07.0296</v>
      </c>
      <c r="F249" s="51" t="s">
        <v>232</v>
      </c>
      <c r="G249" s="51" t="s">
        <v>233</v>
      </c>
      <c r="H249" s="51">
        <f>'Sardina comun'!F86</f>
        <v>1135.739</v>
      </c>
      <c r="I249" s="11">
        <f>'Sardina comun'!G86</f>
        <v>0</v>
      </c>
      <c r="J249" s="11">
        <f>'Sardina comun'!H86</f>
        <v>1135.739</v>
      </c>
      <c r="K249" s="11">
        <f>'Sardina comun'!I86</f>
        <v>946.57100390624998</v>
      </c>
      <c r="L249" s="11">
        <f>'Sardina comun'!K86</f>
        <v>189.16799609375005</v>
      </c>
      <c r="M249" s="48">
        <f>'Sardina comun'!L86</f>
        <v>0.83344060907149442</v>
      </c>
      <c r="N249" s="246" t="str">
        <f>'IC Anch y SardC VIII'!O69</f>
        <v>-</v>
      </c>
      <c r="O249" s="34">
        <f>RESUMEN!$B$3</f>
        <v>44926</v>
      </c>
      <c r="P249" s="11">
        <v>2022</v>
      </c>
    </row>
    <row r="250" spans="1:16">
      <c r="A250" s="51" t="s">
        <v>155</v>
      </c>
      <c r="B250" s="51" t="s">
        <v>253</v>
      </c>
      <c r="C250" s="51" t="s">
        <v>250</v>
      </c>
      <c r="D250" s="51" t="s">
        <v>245</v>
      </c>
      <c r="E250" s="51" t="str">
        <f>'Sardina comun'!D87</f>
        <v>Sindicato de Trabajadores Independientes Pescadores, Armadores y Ramos Afines de la Pesca Artesanal de Coronel, SIPARMAR CORONEL , Registro Sindical Único 08.07.0271</v>
      </c>
      <c r="F250" s="51" t="s">
        <v>232</v>
      </c>
      <c r="G250" s="51" t="s">
        <v>233</v>
      </c>
      <c r="H250" s="51">
        <f>'Sardina comun'!F87</f>
        <v>1403.02</v>
      </c>
      <c r="I250" s="11">
        <f>'Sardina comun'!G87</f>
        <v>-22</v>
      </c>
      <c r="J250" s="11">
        <f>'Sardina comun'!H87</f>
        <v>1381.02</v>
      </c>
      <c r="K250" s="11">
        <f>'Sardina comun'!I87</f>
        <v>1177.915</v>
      </c>
      <c r="L250" s="11">
        <f>'Sardina comun'!K87</f>
        <v>203.10500000000002</v>
      </c>
      <c r="M250" s="48">
        <f>'Sardina comun'!L87</f>
        <v>0.85293116681872816</v>
      </c>
      <c r="N250" s="246" t="str">
        <f>'IC Anch y SardC VIII'!O70</f>
        <v>-</v>
      </c>
      <c r="O250" s="34">
        <f>RESUMEN!$B$3</f>
        <v>44926</v>
      </c>
      <c r="P250" s="11">
        <v>2022</v>
      </c>
    </row>
    <row r="251" spans="1:16">
      <c r="A251" s="51" t="s">
        <v>155</v>
      </c>
      <c r="B251" s="51" t="s">
        <v>253</v>
      </c>
      <c r="C251" s="51" t="s">
        <v>250</v>
      </c>
      <c r="D251" s="51" t="s">
        <v>245</v>
      </c>
      <c r="E251" s="51" t="str">
        <f>'Sardina comun'!D88</f>
        <v>Sindicato de Trabajadores Independientes Pescdores y Armadores artesanales de embarcaciones menores de la Caleta de Tumbes "SIPEAREM" Comuna Talcahuano, Registro Sindical Único 08.05.0569</v>
      </c>
      <c r="F251" s="51" t="s">
        <v>232</v>
      </c>
      <c r="G251" s="51" t="s">
        <v>233</v>
      </c>
      <c r="H251" s="51">
        <f>'Sardina comun'!F88</f>
        <v>93.497</v>
      </c>
      <c r="I251" s="11">
        <f>'Sardina comun'!G88</f>
        <v>0</v>
      </c>
      <c r="J251" s="11">
        <f>'Sardina comun'!H88</f>
        <v>93.497</v>
      </c>
      <c r="K251" s="11">
        <f>'Sardina comun'!I88</f>
        <v>0</v>
      </c>
      <c r="L251" s="11">
        <f>'Sardina comun'!K88</f>
        <v>93.497</v>
      </c>
      <c r="M251" s="48">
        <f>'Sardina comun'!L88</f>
        <v>0</v>
      </c>
      <c r="N251" s="246" t="str">
        <f>'IC Anch y SardC VIII'!O71</f>
        <v>-</v>
      </c>
      <c r="O251" s="34">
        <f>RESUMEN!$B$3</f>
        <v>44926</v>
      </c>
      <c r="P251" s="11">
        <v>2022</v>
      </c>
    </row>
    <row r="252" spans="1:16">
      <c r="A252" s="51" t="s">
        <v>155</v>
      </c>
      <c r="B252" s="51" t="s">
        <v>253</v>
      </c>
      <c r="C252" s="51" t="s">
        <v>250</v>
      </c>
      <c r="D252" s="51" t="s">
        <v>245</v>
      </c>
      <c r="E252" s="51" t="str">
        <f>'Sardina comun'!D89</f>
        <v>Sindicato de Trabajadores Independientes, Ayudantes de Buzos, Pescadores Artesanales y Algueras y Actividades Conexas de las Caletas Tomé y Quichiuto, Registro Sindical Único 08.06.0043</v>
      </c>
      <c r="F252" s="51" t="s">
        <v>232</v>
      </c>
      <c r="G252" s="51" t="s">
        <v>233</v>
      </c>
      <c r="H252" s="51">
        <f>'Sardina comun'!F89</f>
        <v>2120.1680000000001</v>
      </c>
      <c r="I252" s="11">
        <f>'Sardina comun'!G89</f>
        <v>-1250</v>
      </c>
      <c r="J252" s="11">
        <f>'Sardina comun'!H89</f>
        <v>870.16800000000012</v>
      </c>
      <c r="K252" s="11">
        <f>'Sardina comun'!I89</f>
        <v>205.39000317382806</v>
      </c>
      <c r="L252" s="11">
        <f>'Sardina comun'!K89</f>
        <v>664.77799682617206</v>
      </c>
      <c r="M252" s="48">
        <f>'Sardina comun'!L89</f>
        <v>0.23603488426812758</v>
      </c>
      <c r="N252" s="246" t="str">
        <f>'IC Anch y SardC VIII'!O72</f>
        <v>-</v>
      </c>
      <c r="O252" s="34">
        <f>RESUMEN!$B$3</f>
        <v>44926</v>
      </c>
      <c r="P252" s="11">
        <v>2022</v>
      </c>
    </row>
    <row r="253" spans="1:16">
      <c r="A253" s="51" t="s">
        <v>155</v>
      </c>
      <c r="B253" s="51" t="s">
        <v>253</v>
      </c>
      <c r="C253" s="51" t="s">
        <v>250</v>
      </c>
      <c r="D253" s="51" t="s">
        <v>245</v>
      </c>
      <c r="E253" s="51" t="str">
        <f>'Sardina comun'!D90</f>
        <v>Sindicato de Trabajadores Independientes, Pescadores Artesanales Pelágicos, Patrones y Tripulantes de Pesca Artesanal y Actividades Conexas de la Comuna de Talcahuano, " ASPAS". Registro Sindical Único 08.05.0474</v>
      </c>
      <c r="F253" s="51" t="s">
        <v>232</v>
      </c>
      <c r="G253" s="51" t="s">
        <v>233</v>
      </c>
      <c r="H253" s="51">
        <f>'Sardina comun'!F90</f>
        <v>3439.3739999999998</v>
      </c>
      <c r="I253" s="11">
        <f>'Sardina comun'!G90</f>
        <v>-1350</v>
      </c>
      <c r="J253" s="11">
        <f>'Sardina comun'!H90</f>
        <v>2089.3739999999998</v>
      </c>
      <c r="K253" s="11">
        <f>'Sardina comun'!I90</f>
        <v>342.91799658203126</v>
      </c>
      <c r="L253" s="11">
        <f>'Sardina comun'!K90</f>
        <v>1746.4560034179685</v>
      </c>
      <c r="M253" s="48">
        <f>'Sardina comun'!L90</f>
        <v>0.16412475534874624</v>
      </c>
      <c r="N253" s="246" t="str">
        <f>'IC Anch y SardC VIII'!O73</f>
        <v>-</v>
      </c>
      <c r="O253" s="34">
        <f>RESUMEN!$B$3</f>
        <v>44926</v>
      </c>
      <c r="P253" s="11">
        <v>2022</v>
      </c>
    </row>
    <row r="254" spans="1:16">
      <c r="A254" s="51" t="s">
        <v>155</v>
      </c>
      <c r="B254" s="51" t="s">
        <v>253</v>
      </c>
      <c r="C254" s="51" t="s">
        <v>250</v>
      </c>
      <c r="D254" s="51" t="s">
        <v>245</v>
      </c>
      <c r="E254" s="51" t="str">
        <f>'Sardina comun'!D91</f>
        <v>Sindicato de Trabajadores Independientes, Pescadores Artesanales y Ramos Afines Sta Maria Comuna de Talcahuano, " SIPASMA". Registro Sindical Único 08.05.0602</v>
      </c>
      <c r="F254" s="51" t="s">
        <v>232</v>
      </c>
      <c r="G254" s="51" t="s">
        <v>233</v>
      </c>
      <c r="H254" s="51">
        <f>'Sardina comun'!F91</f>
        <v>2639.6970000000001</v>
      </c>
      <c r="I254" s="11">
        <f>'Sardina comun'!G91</f>
        <v>1269.27</v>
      </c>
      <c r="J254" s="11">
        <f>'Sardina comun'!H91</f>
        <v>3908.9670000000001</v>
      </c>
      <c r="K254" s="11">
        <f>'Sardina comun'!I91</f>
        <v>205.34001519775387</v>
      </c>
      <c r="L254" s="11">
        <f>'Sardina comun'!K91</f>
        <v>3703.6269848022462</v>
      </c>
      <c r="M254" s="48">
        <f>'Sardina comun'!L91</f>
        <v>5.2530506191982143E-2</v>
      </c>
      <c r="N254" s="246" t="str">
        <f>'IC Anch y SardC VIII'!O74</f>
        <v>-</v>
      </c>
      <c r="O254" s="34">
        <f>RESUMEN!$B$3</f>
        <v>44926</v>
      </c>
      <c r="P254" s="11">
        <v>2022</v>
      </c>
    </row>
    <row r="255" spans="1:16">
      <c r="A255" s="51" t="s">
        <v>155</v>
      </c>
      <c r="B255" s="51" t="s">
        <v>253</v>
      </c>
      <c r="C255" s="51" t="s">
        <v>250</v>
      </c>
      <c r="D255" s="51" t="s">
        <v>245</v>
      </c>
      <c r="E255" s="51" t="str">
        <f>'Sardina comun'!D92</f>
        <v>Sindicato de Trabajadores Independientes, Pescadores Artesanales, Armadores Artesanales y Actividades Conexas de la Caleta de Lota VIII Región "SIPAR GENTE DE MAR". Registros Sindical Único 08.07.0326</v>
      </c>
      <c r="F255" s="51" t="s">
        <v>232</v>
      </c>
      <c r="G255" s="51" t="s">
        <v>233</v>
      </c>
      <c r="H255" s="51">
        <f>'Sardina comun'!F92</f>
        <v>5188.9170000000004</v>
      </c>
      <c r="I255" s="11">
        <f>'Sardina comun'!G92</f>
        <v>-338</v>
      </c>
      <c r="J255" s="11">
        <f>'Sardina comun'!H92</f>
        <v>4850.9170000000004</v>
      </c>
      <c r="K255" s="11">
        <f>'Sardina comun'!I92</f>
        <v>1392.8299941406246</v>
      </c>
      <c r="L255" s="11">
        <f>'Sardina comun'!K92</f>
        <v>3458.0870058593755</v>
      </c>
      <c r="M255" s="48">
        <f>'Sardina comun'!L92</f>
        <v>0.28712715433816421</v>
      </c>
      <c r="N255" s="246" t="str">
        <f>'IC Anch y SardC VIII'!O75</f>
        <v>-</v>
      </c>
      <c r="O255" s="34">
        <f>RESUMEN!$B$3</f>
        <v>44926</v>
      </c>
      <c r="P255" s="11">
        <v>2022</v>
      </c>
    </row>
    <row r="256" spans="1:16">
      <c r="A256" s="51" t="s">
        <v>155</v>
      </c>
      <c r="B256" s="51" t="s">
        <v>253</v>
      </c>
      <c r="C256" s="51" t="s">
        <v>250</v>
      </c>
      <c r="D256" s="51" t="s">
        <v>245</v>
      </c>
      <c r="E256" s="51" t="str">
        <f>'Sardina comun'!D93</f>
        <v>Sindicato de Trabajadores Independientes, Pescadores Artesanales, Armadores Artesanales, "Rio Maipo" de la Caleta de San Vicente de la Comuna de Talcahuano; Registro Sindical Único 08.05.0488.</v>
      </c>
      <c r="F256" s="51" t="s">
        <v>232</v>
      </c>
      <c r="G256" s="51" t="s">
        <v>233</v>
      </c>
      <c r="H256" s="51">
        <f>'Sardina comun'!F93</f>
        <v>1235.998</v>
      </c>
      <c r="I256" s="11">
        <f>'Sardina comun'!G93</f>
        <v>-851</v>
      </c>
      <c r="J256" s="11">
        <f>'Sardina comun'!H93</f>
        <v>384.99800000000005</v>
      </c>
      <c r="K256" s="11">
        <f>'Sardina comun'!I93</f>
        <v>45.686999999999998</v>
      </c>
      <c r="L256" s="11">
        <f>'Sardina comun'!K93</f>
        <v>339.31100000000004</v>
      </c>
      <c r="M256" s="48">
        <f>'Sardina comun'!L93</f>
        <v>0.11866814892544894</v>
      </c>
      <c r="N256" s="246" t="str">
        <f>'IC Anch y SardC VIII'!O76</f>
        <v>-</v>
      </c>
      <c r="O256" s="34">
        <f>RESUMEN!$B$3</f>
        <v>44926</v>
      </c>
      <c r="P256" s="11">
        <v>2022</v>
      </c>
    </row>
    <row r="257" spans="1:16">
      <c r="A257" s="51" t="s">
        <v>155</v>
      </c>
      <c r="B257" s="51" t="s">
        <v>253</v>
      </c>
      <c r="C257" s="51" t="s">
        <v>250</v>
      </c>
      <c r="D257" s="51" t="s">
        <v>245</v>
      </c>
      <c r="E257" s="51" t="str">
        <f>'Sardina comun'!D94</f>
        <v>Sindicato de Trabajadores Independientes, Pescadores Artesanales, Armadores Artesanales, Buzos Mariscadores y Recolectores de Orilla Isla Santa Maria Puerto Sur, Registro Sindical Único 08.07.0364.</v>
      </c>
      <c r="F257" s="51" t="s">
        <v>232</v>
      </c>
      <c r="G257" s="51" t="s">
        <v>233</v>
      </c>
      <c r="H257" s="51">
        <f>'Sardina comun'!F94</f>
        <v>18.382999999999999</v>
      </c>
      <c r="I257" s="11">
        <f>'Sardina comun'!G94</f>
        <v>0</v>
      </c>
      <c r="J257" s="11">
        <f>'Sardina comun'!H94</f>
        <v>18.382999999999999</v>
      </c>
      <c r="K257" s="11">
        <f>'Sardina comun'!I94</f>
        <v>0</v>
      </c>
      <c r="L257" s="11">
        <f>'Sardina comun'!K94</f>
        <v>18.382999999999999</v>
      </c>
      <c r="M257" s="48">
        <f>'Sardina comun'!L94</f>
        <v>0</v>
      </c>
      <c r="N257" s="246" t="str">
        <f>'IC Anch y SardC VIII'!O77</f>
        <v>-</v>
      </c>
      <c r="O257" s="34">
        <f>RESUMEN!$B$3</f>
        <v>44926</v>
      </c>
      <c r="P257" s="11">
        <v>2022</v>
      </c>
    </row>
    <row r="258" spans="1:16">
      <c r="A258" s="51" t="s">
        <v>155</v>
      </c>
      <c r="B258" s="51" t="s">
        <v>253</v>
      </c>
      <c r="C258" s="51" t="s">
        <v>250</v>
      </c>
      <c r="D258" s="51" t="s">
        <v>245</v>
      </c>
      <c r="E258" s="51" t="str">
        <f>'Sardina comun'!D95</f>
        <v>Sindicato de Trabajadores Independientes, Tripulantes y Armadores de Botes, Pescadores Artesanales, Algueros, Mariscadores y Actividades conexas de la caleta Tumbes de la comuna de Talcahuano. Registro Sindical Único 08.05.0495</v>
      </c>
      <c r="F258" s="51" t="s">
        <v>232</v>
      </c>
      <c r="G258" s="51" t="s">
        <v>233</v>
      </c>
      <c r="H258" s="51">
        <f>'Sardina comun'!F95</f>
        <v>547.38300000000004</v>
      </c>
      <c r="I258" s="11">
        <f>'Sardina comun'!G95</f>
        <v>-170</v>
      </c>
      <c r="J258" s="11">
        <f>'Sardina comun'!H95</f>
        <v>377.38300000000004</v>
      </c>
      <c r="K258" s="11">
        <f>'Sardina comun'!I95</f>
        <v>353.31200378417975</v>
      </c>
      <c r="L258" s="11">
        <f>'Sardina comun'!K95</f>
        <v>24.070996215820287</v>
      </c>
      <c r="M258" s="48">
        <f>'Sardina comun'!L95</f>
        <v>0.93621600279869444</v>
      </c>
      <c r="N258" s="246" t="str">
        <f>'IC Anch y SardC VIII'!O78</f>
        <v>-</v>
      </c>
      <c r="O258" s="34">
        <f>RESUMEN!$B$3</f>
        <v>44926</v>
      </c>
      <c r="P258" s="11">
        <v>2022</v>
      </c>
    </row>
    <row r="259" spans="1:16">
      <c r="A259" s="51" t="s">
        <v>155</v>
      </c>
      <c r="B259" s="51" t="s">
        <v>253</v>
      </c>
      <c r="C259" s="51" t="s">
        <v>250</v>
      </c>
      <c r="D259" s="51" t="s">
        <v>245</v>
      </c>
      <c r="E259" s="51" t="str">
        <f>'Sardina comun'!D96</f>
        <v>Sindicato Independiente de Armadores Pescadores Artesanales Tripulantes y Ramas Similares "Bahia Concepción", Registro Sindical Unico 08.05.0648</v>
      </c>
      <c r="F259" s="51" t="s">
        <v>232</v>
      </c>
      <c r="G259" s="51" t="s">
        <v>233</v>
      </c>
      <c r="H259" s="51">
        <f>'Sardina comun'!F96</f>
        <v>1344.7760000000001</v>
      </c>
      <c r="I259" s="11">
        <f>'Sardina comun'!G96</f>
        <v>131</v>
      </c>
      <c r="J259" s="11">
        <f>'Sardina comun'!H96</f>
        <v>1475.7760000000001</v>
      </c>
      <c r="K259" s="11">
        <f>'Sardina comun'!I96</f>
        <v>291.70499426269544</v>
      </c>
      <c r="L259" s="11">
        <f>'Sardina comun'!K96</f>
        <v>1184.0710057373046</v>
      </c>
      <c r="M259" s="48">
        <f>'Sardina comun'!L96</f>
        <v>0.19766210743547491</v>
      </c>
      <c r="N259" s="246" t="str">
        <f>'IC Anch y SardC VIII'!O79</f>
        <v>-</v>
      </c>
      <c r="O259" s="34">
        <f>RESUMEN!$B$3</f>
        <v>44926</v>
      </c>
      <c r="P259" s="11">
        <v>2022</v>
      </c>
    </row>
    <row r="260" spans="1:16">
      <c r="A260" s="51" t="s">
        <v>155</v>
      </c>
      <c r="B260" s="51" t="s">
        <v>253</v>
      </c>
      <c r="C260" s="51" t="s">
        <v>250</v>
      </c>
      <c r="D260" s="51" t="s">
        <v>245</v>
      </c>
      <c r="E260" s="51" t="str">
        <f>'Sardina comun'!D97</f>
        <v>Sindicato Independiente de Armadores y Pescadores Artesanales Afines "SARPE". Registro Sindical Único 08.05.0398</v>
      </c>
      <c r="F260" s="51" t="s">
        <v>232</v>
      </c>
      <c r="G260" s="51" t="s">
        <v>233</v>
      </c>
      <c r="H260" s="51">
        <f>'Sardina comun'!F97</f>
        <v>10573.871999999999</v>
      </c>
      <c r="I260" s="11">
        <f>'Sardina comun'!G97</f>
        <v>-4445</v>
      </c>
      <c r="J260" s="11">
        <f>'Sardina comun'!H97</f>
        <v>6128.8719999999994</v>
      </c>
      <c r="K260" s="11">
        <f>'Sardina comun'!I97</f>
        <v>457.63099999999929</v>
      </c>
      <c r="L260" s="11">
        <f>'Sardina comun'!K97</f>
        <v>5671.241</v>
      </c>
      <c r="M260" s="48">
        <f>'Sardina comun'!L97</f>
        <v>7.4668062899665599E-2</v>
      </c>
      <c r="N260" s="246" t="str">
        <f>'IC Anch y SardC VIII'!O80</f>
        <v>-</v>
      </c>
      <c r="O260" s="34">
        <f>RESUMEN!$B$3</f>
        <v>44926</v>
      </c>
      <c r="P260" s="11">
        <v>2022</v>
      </c>
    </row>
    <row r="261" spans="1:16" s="11" customFormat="1">
      <c r="A261" s="51" t="s">
        <v>155</v>
      </c>
      <c r="B261" s="51" t="s">
        <v>253</v>
      </c>
      <c r="C261" s="51" t="s">
        <v>250</v>
      </c>
      <c r="D261" s="51" t="s">
        <v>245</v>
      </c>
      <c r="E261" s="36" t="s">
        <v>320</v>
      </c>
      <c r="F261" s="51" t="s">
        <v>232</v>
      </c>
      <c r="G261" s="51" t="s">
        <v>233</v>
      </c>
      <c r="H261" s="51">
        <f>'Sardina comun'!F98</f>
        <v>97.08</v>
      </c>
      <c r="I261" s="11">
        <f>'Sardina comun'!G98</f>
        <v>-43</v>
      </c>
      <c r="J261" s="11">
        <f>'Sardina comun'!H98</f>
        <v>54.08</v>
      </c>
      <c r="K261" s="11">
        <f>'Sardina comun'!I98</f>
        <v>41.248999999999995</v>
      </c>
      <c r="L261" s="11">
        <f>'Sardina comun'!K98</f>
        <v>12.831000000000003</v>
      </c>
      <c r="M261" s="48">
        <f>'Sardina comun'!L98</f>
        <v>0.76274038461538451</v>
      </c>
      <c r="N261" s="246" t="str">
        <f>'IC Anch y SardC VIII'!O81</f>
        <v>-</v>
      </c>
      <c r="O261" s="34">
        <f>RESUMEN!$B$3</f>
        <v>44926</v>
      </c>
      <c r="P261" s="11">
        <v>2022</v>
      </c>
    </row>
    <row r="262" spans="1:16" s="11" customFormat="1">
      <c r="A262" s="51" t="s">
        <v>155</v>
      </c>
      <c r="B262" s="51" t="s">
        <v>253</v>
      </c>
      <c r="C262" s="51" t="s">
        <v>250</v>
      </c>
      <c r="D262" s="51" t="s">
        <v>245</v>
      </c>
      <c r="E262" s="36" t="s">
        <v>321</v>
      </c>
      <c r="F262" s="51" t="s">
        <v>232</v>
      </c>
      <c r="G262" s="51" t="s">
        <v>233</v>
      </c>
      <c r="H262" s="51">
        <f>'Sardina comun'!F99</f>
        <v>25.751000000000001</v>
      </c>
      <c r="I262" s="11">
        <f>'Sardina comun'!G99</f>
        <v>0</v>
      </c>
      <c r="J262" s="11">
        <f>'Sardina comun'!H99</f>
        <v>25.751000000000001</v>
      </c>
      <c r="K262" s="11">
        <f>'Sardina comun'!I99</f>
        <v>0</v>
      </c>
      <c r="L262" s="11">
        <f>'Sardina comun'!K99</f>
        <v>25.751000000000001</v>
      </c>
      <c r="M262" s="48">
        <f>'Sardina comun'!L99</f>
        <v>0</v>
      </c>
      <c r="N262" s="246" t="str">
        <f>'IC Anch y SardC VIII'!O82</f>
        <v>-</v>
      </c>
      <c r="O262" s="34">
        <f>RESUMEN!$B$3</f>
        <v>44926</v>
      </c>
      <c r="P262" s="11">
        <v>2022</v>
      </c>
    </row>
    <row r="263" spans="1:16" s="11" customFormat="1">
      <c r="A263" s="51" t="s">
        <v>155</v>
      </c>
      <c r="B263" s="51" t="s">
        <v>253</v>
      </c>
      <c r="C263" s="51" t="s">
        <v>250</v>
      </c>
      <c r="D263" s="51" t="s">
        <v>245</v>
      </c>
      <c r="E263" s="51" t="str">
        <f>'Sardina comun'!D100</f>
        <v>Sociedad Cooperativa Benesino Limitada ROL 5871</v>
      </c>
      <c r="F263" s="51" t="s">
        <v>232</v>
      </c>
      <c r="G263" s="51" t="s">
        <v>233</v>
      </c>
      <c r="H263" s="51">
        <f>'Sardina comun'!F100</f>
        <v>240.47800000000001</v>
      </c>
      <c r="I263" s="11">
        <f>'Sardina comun'!G100</f>
        <v>-27.1</v>
      </c>
      <c r="J263" s="11">
        <f>'Sardina comun'!H100</f>
        <v>213.37800000000001</v>
      </c>
      <c r="K263" s="11">
        <f>'Sardina comun'!I100</f>
        <v>148.64199997329715</v>
      </c>
      <c r="L263" s="11">
        <f>'Sardina comun'!K100</f>
        <v>64.736000026702868</v>
      </c>
      <c r="M263" s="48">
        <f>'Sardina comun'!L100</f>
        <v>0.6966135214187833</v>
      </c>
      <c r="N263" s="246" t="str">
        <f>'IC Anch y SardC VIII'!O83</f>
        <v>-</v>
      </c>
      <c r="O263" s="34">
        <f>RESUMEN!$B$3</f>
        <v>44926</v>
      </c>
      <c r="P263" s="11">
        <v>2022</v>
      </c>
    </row>
    <row r="264" spans="1:16">
      <c r="A264" s="51" t="s">
        <v>155</v>
      </c>
      <c r="B264" s="51" t="s">
        <v>253</v>
      </c>
      <c r="C264" s="51" t="s">
        <v>250</v>
      </c>
      <c r="D264" s="51" t="s">
        <v>245</v>
      </c>
      <c r="E264" s="51" t="str">
        <f>'Sardina comun'!D101</f>
        <v>STI Armadores y Pescadores artesanales, Acuicultores, Algueros (as) y Ramos afines "MAFMAR", Registro Sindical Unico 08.05.0645</v>
      </c>
      <c r="F264" s="51" t="s">
        <v>232</v>
      </c>
      <c r="G264" s="51" t="s">
        <v>233</v>
      </c>
      <c r="H264" s="51">
        <f>'Sardina comun'!F101</f>
        <v>2259.6950000000002</v>
      </c>
      <c r="I264" s="11">
        <f>'Sardina comun'!G101</f>
        <v>-700</v>
      </c>
      <c r="J264" s="11">
        <f>'Sardina comun'!H101</f>
        <v>1559.6950000000002</v>
      </c>
      <c r="K264" s="11">
        <f>'Sardina comun'!I101</f>
        <v>1090.9199863281251</v>
      </c>
      <c r="L264" s="11">
        <f>'Sardina comun'!K101</f>
        <v>468.77501367187506</v>
      </c>
      <c r="M264" s="48">
        <f>'Sardina comun'!L101</f>
        <v>0.69944443389773325</v>
      </c>
      <c r="N264" s="246" t="str">
        <f>'IC Anch y SardC VIII'!O84</f>
        <v>-</v>
      </c>
      <c r="O264" s="34">
        <f>RESUMEN!$B$3</f>
        <v>44926</v>
      </c>
      <c r="P264" s="11">
        <v>2022</v>
      </c>
    </row>
    <row r="265" spans="1:16">
      <c r="A265" s="51" t="s">
        <v>155</v>
      </c>
      <c r="B265" s="51" t="s">
        <v>253</v>
      </c>
      <c r="C265" s="51" t="s">
        <v>250</v>
      </c>
      <c r="D265" s="51" t="s">
        <v>245</v>
      </c>
      <c r="E265" s="51" t="str">
        <f>'Sardina comun'!D102</f>
        <v>CUOTA RESIDUAL VIII</v>
      </c>
      <c r="F265" s="51" t="s">
        <v>232</v>
      </c>
      <c r="G265" s="51" t="s">
        <v>233</v>
      </c>
      <c r="H265" s="51">
        <f>'Sardina comun'!F102</f>
        <v>94.021000000000001</v>
      </c>
      <c r="I265" s="11">
        <f>'Sardina comun'!G102</f>
        <v>0</v>
      </c>
      <c r="J265" s="11">
        <f>'Sardina comun'!H102</f>
        <v>94.021000000000001</v>
      </c>
      <c r="K265" s="11">
        <f>'Sardina comun'!I102</f>
        <v>174.917</v>
      </c>
      <c r="L265" s="11">
        <f>'Sardina comun'!K102</f>
        <v>-80.896000000000001</v>
      </c>
      <c r="M265" s="48">
        <f>'Sardina comun'!L102</f>
        <v>1.8604035268716563</v>
      </c>
      <c r="N265" s="246">
        <f>'IC Anch y SardC VIII'!O85</f>
        <v>44621</v>
      </c>
      <c r="O265" s="34">
        <f>RESUMEN!$B$3</f>
        <v>44926</v>
      </c>
      <c r="P265" s="11">
        <v>2022</v>
      </c>
    </row>
    <row r="266" spans="1:16">
      <c r="A266" s="143" t="s">
        <v>155</v>
      </c>
      <c r="B266" s="143" t="s">
        <v>253</v>
      </c>
      <c r="C266" s="143" t="s">
        <v>250</v>
      </c>
      <c r="D266" s="143" t="s">
        <v>46</v>
      </c>
      <c r="E266" s="143" t="str">
        <f>'Sardina comun'!D104</f>
        <v>Total Región del Biobio y Ñuble</v>
      </c>
      <c r="F266" s="143" t="s">
        <v>232</v>
      </c>
      <c r="G266" s="143" t="s">
        <v>233</v>
      </c>
      <c r="H266" s="143">
        <f>'Sardina comun'!F104</f>
        <v>220034.98700000002</v>
      </c>
      <c r="I266" s="43">
        <f>'Sardina comun'!G104</f>
        <v>-12309.154</v>
      </c>
      <c r="J266" s="43">
        <f>'Sardina comun'!H104</f>
        <v>207725.83300000001</v>
      </c>
      <c r="K266" s="128">
        <f>'Sardina comun'!I104</f>
        <v>69002.644935987584</v>
      </c>
      <c r="L266" s="128">
        <f>'Sardina comun'!K104</f>
        <v>138720.54406401241</v>
      </c>
      <c r="M266" s="49">
        <f>'Sardina comun'!L104</f>
        <v>0.33219406531872026</v>
      </c>
      <c r="N266" s="247" t="str">
        <f>'Sardina comun'!M104</f>
        <v>-</v>
      </c>
      <c r="O266" s="34">
        <f>RESUMEN!$B$3</f>
        <v>44926</v>
      </c>
      <c r="P266" s="11">
        <v>2022</v>
      </c>
    </row>
    <row r="267" spans="1:16">
      <c r="A267" s="51" t="s">
        <v>155</v>
      </c>
      <c r="B267" s="51" t="s">
        <v>253</v>
      </c>
      <c r="C267" s="51" t="s">
        <v>212</v>
      </c>
      <c r="D267" s="51" t="s">
        <v>46</v>
      </c>
      <c r="E267" s="51" t="str">
        <f>'Sardina comun'!D106</f>
        <v>Región de la Araucanía</v>
      </c>
      <c r="F267" s="51" t="s">
        <v>232</v>
      </c>
      <c r="G267" s="51" t="s">
        <v>233</v>
      </c>
      <c r="H267" s="51">
        <f>'Sardina comun'!F106</f>
        <v>3256</v>
      </c>
      <c r="I267" s="11">
        <f>'Sardina comun'!G106</f>
        <v>1312.22</v>
      </c>
      <c r="J267" s="11">
        <f>'Sardina comun'!H106</f>
        <v>4568.22</v>
      </c>
      <c r="K267" s="11">
        <f>'Sardina comun'!I106</f>
        <v>6337.52</v>
      </c>
      <c r="L267">
        <f>'Sardina comun'!K106</f>
        <v>-1769.3000000000002</v>
      </c>
      <c r="M267" s="48">
        <f>'Sardina comun'!L106</f>
        <v>1.3873062155500393</v>
      </c>
      <c r="N267" s="246">
        <f>'IC Anch-SardC V-VII y IX-X'!O19</f>
        <v>44872</v>
      </c>
      <c r="O267" s="34">
        <f>RESUMEN!$B$3</f>
        <v>44926</v>
      </c>
      <c r="P267" s="11">
        <v>2022</v>
      </c>
    </row>
    <row r="268" spans="1:16">
      <c r="A268" s="143" t="s">
        <v>155</v>
      </c>
      <c r="B268" s="143" t="s">
        <v>253</v>
      </c>
      <c r="C268" s="143" t="s">
        <v>212</v>
      </c>
      <c r="D268" s="143" t="s">
        <v>46</v>
      </c>
      <c r="E268" s="143" t="str">
        <f>'Sardina comun'!D108</f>
        <v>Total Región de La Araucanía</v>
      </c>
      <c r="F268" s="143" t="s">
        <v>232</v>
      </c>
      <c r="G268" s="143" t="s">
        <v>233</v>
      </c>
      <c r="H268" s="143">
        <f>'Sardina comun'!F108</f>
        <v>3256</v>
      </c>
      <c r="I268" s="43">
        <f>'Sardina comun'!G108</f>
        <v>1312.22</v>
      </c>
      <c r="J268" s="43">
        <f>'Sardina comun'!H108</f>
        <v>4568.22</v>
      </c>
      <c r="K268" s="43">
        <f>'Sardina comun'!I108</f>
        <v>6337.52</v>
      </c>
      <c r="L268" s="43">
        <f>'Sardina comun'!K108</f>
        <v>-1769.3000000000002</v>
      </c>
      <c r="M268" s="49">
        <f>'Sardina comun'!L108</f>
        <v>1.3873062155500393</v>
      </c>
      <c r="N268" s="247" t="str">
        <f>'Sardina comun'!M108</f>
        <v>-</v>
      </c>
      <c r="O268" s="34">
        <f>RESUMEN!$B$3</f>
        <v>44926</v>
      </c>
      <c r="P268" s="11">
        <v>2022</v>
      </c>
    </row>
    <row r="269" spans="1:16">
      <c r="A269" s="51" t="s">
        <v>155</v>
      </c>
      <c r="B269" s="51" t="s">
        <v>253</v>
      </c>
      <c r="C269" s="51" t="s">
        <v>211</v>
      </c>
      <c r="D269" s="51" t="s">
        <v>245</v>
      </c>
      <c r="E269" s="51" t="str">
        <f>'Sardina comun'!D110</f>
        <v>AG APEVAL. RAG 29-14</v>
      </c>
      <c r="F269" s="51" t="s">
        <v>232</v>
      </c>
      <c r="G269" s="51" t="s">
        <v>233</v>
      </c>
      <c r="H269" s="51">
        <f>'Sardina comun'!F110</f>
        <v>2420.2539999999999</v>
      </c>
      <c r="I269" s="11">
        <f>'Sardina comun'!G110</f>
        <v>-2419</v>
      </c>
      <c r="J269" s="11">
        <f>'Sardina comun'!H110</f>
        <v>1.2539999999999054</v>
      </c>
      <c r="K269" s="11">
        <f>'Sardina comun'!I110</f>
        <v>0</v>
      </c>
      <c r="L269">
        <f>'Sardina comun'!K110</f>
        <v>1.2539999999999054</v>
      </c>
      <c r="M269" s="48">
        <f>'Sardina comun'!L110</f>
        <v>0</v>
      </c>
      <c r="N269" s="246" t="str">
        <f>'Sardina comun'!M110</f>
        <v>-</v>
      </c>
      <c r="O269" s="34">
        <f>RESUMEN!$B$3</f>
        <v>44926</v>
      </c>
      <c r="P269" s="11">
        <v>2022</v>
      </c>
    </row>
    <row r="270" spans="1:16">
      <c r="A270" s="51" t="s">
        <v>155</v>
      </c>
      <c r="B270" s="51" t="s">
        <v>253</v>
      </c>
      <c r="C270" s="51" t="s">
        <v>211</v>
      </c>
      <c r="D270" s="51" t="s">
        <v>245</v>
      </c>
      <c r="E270" s="51" t="str">
        <f>'Sardina comun'!D111</f>
        <v xml:space="preserve"> AG ACERVAL. RAG 207-10</v>
      </c>
      <c r="F270" s="51" t="s">
        <v>232</v>
      </c>
      <c r="G270" s="51" t="s">
        <v>233</v>
      </c>
      <c r="H270" s="51">
        <f>'Sardina comun'!F111</f>
        <v>4315.1189999999997</v>
      </c>
      <c r="I270" s="11">
        <f>'Sardina comun'!G111</f>
        <v>0</v>
      </c>
      <c r="J270" s="11">
        <f>'Sardina comun'!H111</f>
        <v>4315.1189999999997</v>
      </c>
      <c r="K270" s="11">
        <f>'Sardina comun'!I111</f>
        <v>4945.5420000000004</v>
      </c>
      <c r="L270" s="11">
        <f>'Sardina comun'!K111</f>
        <v>-630.42300000000068</v>
      </c>
      <c r="M270" s="48">
        <f>'Sardina comun'!L111</f>
        <v>1.1460963185488049</v>
      </c>
      <c r="N270" s="246">
        <f>'Sardina comun'!M111</f>
        <v>44685</v>
      </c>
      <c r="O270" s="34">
        <f>RESUMEN!$B$3</f>
        <v>44926</v>
      </c>
      <c r="P270" s="11">
        <v>2022</v>
      </c>
    </row>
    <row r="271" spans="1:16">
      <c r="A271" s="51" t="s">
        <v>155</v>
      </c>
      <c r="B271" s="51" t="s">
        <v>253</v>
      </c>
      <c r="C271" s="51" t="s">
        <v>211</v>
      </c>
      <c r="D271" s="51" t="s">
        <v>245</v>
      </c>
      <c r="E271" s="51" t="str">
        <f>'Sardina comun'!D112</f>
        <v>AG ACERMAR. RAG 4205</v>
      </c>
      <c r="F271" s="51" t="s">
        <v>232</v>
      </c>
      <c r="G271" s="51" t="s">
        <v>233</v>
      </c>
      <c r="H271" s="51">
        <f>'Sardina comun'!F112</f>
        <v>3418.6109999999999</v>
      </c>
      <c r="I271" s="11">
        <f>'Sardina comun'!G112</f>
        <v>0</v>
      </c>
      <c r="J271" s="11">
        <f>'Sardina comun'!H112</f>
        <v>3418.6109999999999</v>
      </c>
      <c r="K271" s="11">
        <f>'Sardina comun'!I112</f>
        <v>4309.2240000000002</v>
      </c>
      <c r="L271" s="11">
        <f>'Sardina comun'!K112</f>
        <v>-890.61300000000028</v>
      </c>
      <c r="M271" s="48">
        <f>'Sardina comun'!L112</f>
        <v>1.2605189651586566</v>
      </c>
      <c r="N271" s="246">
        <f>'Sardina comun'!M112</f>
        <v>44915</v>
      </c>
      <c r="O271" s="34">
        <f>RESUMEN!$B$3</f>
        <v>44926</v>
      </c>
      <c r="P271" s="11">
        <v>2022</v>
      </c>
    </row>
    <row r="272" spans="1:16">
      <c r="A272" s="51" t="s">
        <v>155</v>
      </c>
      <c r="B272" s="51" t="s">
        <v>253</v>
      </c>
      <c r="C272" s="51" t="s">
        <v>211</v>
      </c>
      <c r="D272" s="51" t="s">
        <v>245</v>
      </c>
      <c r="E272" s="51" t="str">
        <f>'Sardina comun'!D113</f>
        <v xml:space="preserve"> AG ACER. RAG 3793</v>
      </c>
      <c r="F272" s="51" t="s">
        <v>232</v>
      </c>
      <c r="G272" s="51" t="s">
        <v>233</v>
      </c>
      <c r="H272" s="51">
        <f>'Sardina comun'!F113</f>
        <v>2564.71</v>
      </c>
      <c r="I272" s="11">
        <f>'Sardina comun'!G113</f>
        <v>0</v>
      </c>
      <c r="J272" s="11">
        <f>'Sardina comun'!H113</f>
        <v>2564.71</v>
      </c>
      <c r="K272" s="11">
        <f>'Sardina comun'!I113</f>
        <v>3169.4579999999996</v>
      </c>
      <c r="L272" s="11">
        <f>'Sardina comun'!K113</f>
        <v>-604.74799999999959</v>
      </c>
      <c r="M272" s="48">
        <f>'Sardina comun'!L113</f>
        <v>1.2357958599607752</v>
      </c>
      <c r="N272" s="246">
        <f>'Sardina comun'!M113</f>
        <v>44741</v>
      </c>
      <c r="O272" s="34">
        <f>RESUMEN!$B$3</f>
        <v>44926</v>
      </c>
      <c r="P272" s="11">
        <v>2022</v>
      </c>
    </row>
    <row r="273" spans="1:16">
      <c r="A273" s="51" t="s">
        <v>155</v>
      </c>
      <c r="B273" s="51" t="s">
        <v>253</v>
      </c>
      <c r="C273" s="51" t="s">
        <v>211</v>
      </c>
      <c r="D273" s="51" t="s">
        <v>245</v>
      </c>
      <c r="E273" s="51" t="str">
        <f>'Sardina comun'!D114</f>
        <v>AG SIPACERVAL RAG 44-14</v>
      </c>
      <c r="F273" s="51" t="s">
        <v>232</v>
      </c>
      <c r="G273" s="51" t="s">
        <v>233</v>
      </c>
      <c r="H273" s="51">
        <f>'Sardina comun'!F114</f>
        <v>10714.491</v>
      </c>
      <c r="I273" s="11">
        <f>'Sardina comun'!G114</f>
        <v>1490</v>
      </c>
      <c r="J273" s="11">
        <f>'Sardina comun'!H114</f>
        <v>12204.491</v>
      </c>
      <c r="K273" s="11">
        <f>'Sardina comun'!I114</f>
        <v>12998.77</v>
      </c>
      <c r="L273" s="11">
        <f>'Sardina comun'!K114</f>
        <v>-794.27900000000045</v>
      </c>
      <c r="M273" s="48">
        <f>'Sardina comun'!L114</f>
        <v>1.0650808788338653</v>
      </c>
      <c r="N273" s="246" t="str">
        <f>'Sardina comun'!M114</f>
        <v>-</v>
      </c>
      <c r="O273" s="34">
        <f>RESUMEN!$B$3</f>
        <v>44926</v>
      </c>
      <c r="P273" s="11">
        <v>2022</v>
      </c>
    </row>
    <row r="274" spans="1:16">
      <c r="A274" s="51" t="s">
        <v>155</v>
      </c>
      <c r="B274" s="51" t="s">
        <v>253</v>
      </c>
      <c r="C274" s="51" t="s">
        <v>211</v>
      </c>
      <c r="D274" s="51" t="s">
        <v>245</v>
      </c>
      <c r="E274" s="51" t="str">
        <f>'Sardina comun'!D115</f>
        <v>AG ARMAPES. RAG 264-10</v>
      </c>
      <c r="F274" s="51" t="s">
        <v>232</v>
      </c>
      <c r="G274" s="51" t="s">
        <v>233</v>
      </c>
      <c r="H274" s="51">
        <f>'Sardina comun'!F115</f>
        <v>1874.904</v>
      </c>
      <c r="I274" s="11">
        <f>'Sardina comun'!G115</f>
        <v>0</v>
      </c>
      <c r="J274" s="11">
        <f>'Sardina comun'!H115</f>
        <v>1874.904</v>
      </c>
      <c r="K274" s="11">
        <f>'Sardina comun'!I115</f>
        <v>2402.13</v>
      </c>
      <c r="L274" s="11">
        <f>'Sardina comun'!K115</f>
        <v>-527.22600000000011</v>
      </c>
      <c r="M274" s="48">
        <f>'Sardina comun'!L115</f>
        <v>1.2812015975217932</v>
      </c>
      <c r="N274" s="246">
        <f>'Sardina comun'!M115</f>
        <v>44743</v>
      </c>
      <c r="O274" s="34">
        <f>RESUMEN!$B$3</f>
        <v>44926</v>
      </c>
      <c r="P274" s="11">
        <v>2022</v>
      </c>
    </row>
    <row r="275" spans="1:16">
      <c r="A275" s="51" t="s">
        <v>155</v>
      </c>
      <c r="B275" s="51" t="s">
        <v>253</v>
      </c>
      <c r="C275" s="51" t="s">
        <v>211</v>
      </c>
      <c r="D275" s="51" t="s">
        <v>245</v>
      </c>
      <c r="E275" s="51" t="str">
        <f>'Sardina comun'!D116</f>
        <v xml:space="preserve"> AG APACER. RAG 46-14</v>
      </c>
      <c r="F275" s="51" t="s">
        <v>232</v>
      </c>
      <c r="G275" s="51" t="s">
        <v>233</v>
      </c>
      <c r="H275" s="51">
        <f>'Sardina comun'!F116</f>
        <v>1924.049</v>
      </c>
      <c r="I275" s="11">
        <f>'Sardina comun'!G116</f>
        <v>0</v>
      </c>
      <c r="J275" s="11">
        <f>'Sardina comun'!H116</f>
        <v>1924.049</v>
      </c>
      <c r="K275" s="11">
        <f>'Sardina comun'!I116</f>
        <v>2344.8159999999998</v>
      </c>
      <c r="L275" s="11">
        <f>'Sardina comun'!K116</f>
        <v>-420.76699999999983</v>
      </c>
      <c r="M275" s="48">
        <f>'Sardina comun'!L116</f>
        <v>1.2186882974394102</v>
      </c>
      <c r="N275" s="246" t="str">
        <f>'Sardina comun'!M116</f>
        <v>-</v>
      </c>
      <c r="O275" s="34">
        <f>RESUMEN!$B$3</f>
        <v>44926</v>
      </c>
      <c r="P275" s="11">
        <v>2022</v>
      </c>
    </row>
    <row r="276" spans="1:16">
      <c r="A276" s="51" t="s">
        <v>155</v>
      </c>
      <c r="B276" s="51" t="s">
        <v>253</v>
      </c>
      <c r="C276" s="51" t="s">
        <v>211</v>
      </c>
      <c r="D276" s="51" t="s">
        <v>245</v>
      </c>
      <c r="E276" s="51" t="str">
        <f>'Sardina comun'!D117</f>
        <v xml:space="preserve"> STI DE AMARGO. RSU 14.01.0105</v>
      </c>
      <c r="F276" s="51" t="s">
        <v>232</v>
      </c>
      <c r="G276" s="51" t="s">
        <v>233</v>
      </c>
      <c r="H276" s="51">
        <f>'Sardina comun'!F117</f>
        <v>2239.25</v>
      </c>
      <c r="I276" s="11">
        <f>'Sardina comun'!G117</f>
        <v>0</v>
      </c>
      <c r="J276" s="11">
        <f>'Sardina comun'!H117</f>
        <v>2239.25</v>
      </c>
      <c r="K276" s="11">
        <f>'Sardina comun'!I117</f>
        <v>2864.26</v>
      </c>
      <c r="L276" s="11">
        <f>'Sardina comun'!K117</f>
        <v>-625.01000000000022</v>
      </c>
      <c r="M276" s="48">
        <f>'Sardina comun'!L117</f>
        <v>1.2791157753712181</v>
      </c>
      <c r="N276" s="246" t="str">
        <f>'Sardina comun'!M117</f>
        <v>-</v>
      </c>
      <c r="O276" s="34">
        <f>RESUMEN!$B$3</f>
        <v>44926</v>
      </c>
      <c r="P276" s="11">
        <v>2022</v>
      </c>
    </row>
    <row r="277" spans="1:16">
      <c r="A277" s="51" t="s">
        <v>155</v>
      </c>
      <c r="B277" s="51" t="s">
        <v>253</v>
      </c>
      <c r="C277" s="51" t="s">
        <v>211</v>
      </c>
      <c r="D277" s="51" t="s">
        <v>245</v>
      </c>
      <c r="E277" s="51" t="str">
        <f>'Sardina comun'!D118</f>
        <v>STI DEL BALNEARIO DE NIEBLA. RSU 14.01.0127</v>
      </c>
      <c r="F277" s="51" t="s">
        <v>232</v>
      </c>
      <c r="G277" s="51" t="s">
        <v>233</v>
      </c>
      <c r="H277" s="51">
        <f>'Sardina comun'!F118</f>
        <v>912.26800000000003</v>
      </c>
      <c r="I277" s="11">
        <f>'Sardina comun'!G118</f>
        <v>-912</v>
      </c>
      <c r="J277" s="11">
        <f>'Sardina comun'!H118</f>
        <v>0.2680000000000291</v>
      </c>
      <c r="K277" s="11">
        <f>'Sardina comun'!I118</f>
        <v>0.11279999999999175</v>
      </c>
      <c r="L277" s="11">
        <f>'Sardina comun'!K118</f>
        <v>0.15520000000003736</v>
      </c>
      <c r="M277" s="48">
        <f>'Sardina comun'!L118</f>
        <v>0.42089552238798322</v>
      </c>
      <c r="N277" s="246" t="str">
        <f>'Sardina comun'!M118</f>
        <v>-</v>
      </c>
      <c r="O277" s="34">
        <f>RESUMEN!$B$3</f>
        <v>44926</v>
      </c>
      <c r="P277" s="11">
        <v>2022</v>
      </c>
    </row>
    <row r="278" spans="1:16">
      <c r="A278" s="51" t="s">
        <v>155</v>
      </c>
      <c r="B278" s="51" t="s">
        <v>253</v>
      </c>
      <c r="C278" s="51" t="s">
        <v>211</v>
      </c>
      <c r="D278" s="51" t="s">
        <v>245</v>
      </c>
      <c r="E278" s="51" t="str">
        <f>'Sardina comun'!D119</f>
        <v xml:space="preserve"> STI ARPAVAL. RSU 14.01.0514</v>
      </c>
      <c r="F278" s="51" t="s">
        <v>232</v>
      </c>
      <c r="G278" s="51" t="s">
        <v>233</v>
      </c>
      <c r="H278" s="51">
        <f>'Sardina comun'!F119</f>
        <v>814.60799999999995</v>
      </c>
      <c r="I278" s="11">
        <f>'Sardina comun'!G119</f>
        <v>-174</v>
      </c>
      <c r="J278" s="11">
        <f>'Sardina comun'!H119</f>
        <v>640.60799999999995</v>
      </c>
      <c r="K278" s="11">
        <f>'Sardina comun'!I119</f>
        <v>559.3610000000001</v>
      </c>
      <c r="L278" s="11">
        <f>'Sardina comun'!K119</f>
        <v>81.246999999999844</v>
      </c>
      <c r="M278" s="48">
        <f>'Sardina comun'!L119</f>
        <v>0.87317204905339951</v>
      </c>
      <c r="N278" s="246" t="str">
        <f>'Sardina comun'!M119</f>
        <v>-</v>
      </c>
      <c r="O278" s="34">
        <f>RESUMEN!$B$3</f>
        <v>44926</v>
      </c>
      <c r="P278" s="11">
        <v>2022</v>
      </c>
    </row>
    <row r="279" spans="1:16">
      <c r="A279" s="51" t="s">
        <v>155</v>
      </c>
      <c r="B279" s="51" t="s">
        <v>253</v>
      </c>
      <c r="C279" s="51" t="s">
        <v>211</v>
      </c>
      <c r="D279" s="51" t="s">
        <v>245</v>
      </c>
      <c r="E279" s="51" t="str">
        <f>'Sardina comun'!D120</f>
        <v>CUOTA RESIDUAL XIV</v>
      </c>
      <c r="F279" s="51" t="s">
        <v>232</v>
      </c>
      <c r="G279" s="51" t="s">
        <v>233</v>
      </c>
      <c r="H279" s="51">
        <f>'Sardina comun'!F120</f>
        <v>326.73399999999998</v>
      </c>
      <c r="I279" s="11">
        <f>'Sardina comun'!G120</f>
        <v>0</v>
      </c>
      <c r="J279" s="11">
        <f>'Sardina comun'!H120</f>
        <v>326.73399999999998</v>
      </c>
      <c r="K279" s="11">
        <f>'Sardina comun'!I120</f>
        <v>428.13800000000003</v>
      </c>
      <c r="L279" s="11">
        <f>'Sardina comun'!K120</f>
        <v>-101.40400000000005</v>
      </c>
      <c r="M279" s="48">
        <f>'Sardina comun'!L120</f>
        <v>1.3103564367344691</v>
      </c>
      <c r="N279" s="246">
        <f>'Sardina comun'!M120</f>
        <v>44907</v>
      </c>
      <c r="O279" s="34">
        <f>RESUMEN!$B$3</f>
        <v>44926</v>
      </c>
      <c r="P279" s="11">
        <v>2022</v>
      </c>
    </row>
    <row r="280" spans="1:16">
      <c r="A280" s="143" t="s">
        <v>155</v>
      </c>
      <c r="B280" s="143" t="s">
        <v>253</v>
      </c>
      <c r="C280" s="143" t="s">
        <v>211</v>
      </c>
      <c r="D280" s="143" t="s">
        <v>46</v>
      </c>
      <c r="E280" s="143" t="str">
        <f>'Sardina comun'!D122</f>
        <v>Total Región de Los Ríos</v>
      </c>
      <c r="F280" s="143" t="s">
        <v>232</v>
      </c>
      <c r="G280" s="143" t="s">
        <v>233</v>
      </c>
      <c r="H280" s="143">
        <f>'Sardina comun'!F122</f>
        <v>31524.997999999996</v>
      </c>
      <c r="I280" s="43">
        <f>'Sardina comun'!G122</f>
        <v>-2015</v>
      </c>
      <c r="J280" s="43">
        <f>'Sardina comun'!H122</f>
        <v>29509.997999999996</v>
      </c>
      <c r="K280" s="43">
        <f>'Sardina comun'!I122</f>
        <v>34021.811799999996</v>
      </c>
      <c r="L280" s="43">
        <f>'Sardina comun'!K122</f>
        <v>-4511.8137999999999</v>
      </c>
      <c r="M280" s="49">
        <f>'Sardina comun'!L122</f>
        <v>1.1528910235778396</v>
      </c>
      <c r="N280" s="247" t="str">
        <f>'Sardina comun'!M122</f>
        <v>-</v>
      </c>
      <c r="O280" s="34">
        <f>RESUMEN!$B$3</f>
        <v>44926</v>
      </c>
      <c r="P280" s="11">
        <v>2022</v>
      </c>
    </row>
    <row r="281" spans="1:16">
      <c r="A281" s="51" t="s">
        <v>155</v>
      </c>
      <c r="B281" s="145" t="s">
        <v>253</v>
      </c>
      <c r="C281" s="51" t="s">
        <v>252</v>
      </c>
      <c r="D281" s="51" t="s">
        <v>245</v>
      </c>
      <c r="E281" s="51" t="str">
        <f>'Sardina comun'!D124</f>
        <v>ARMAR AG. RAG 320-10</v>
      </c>
      <c r="F281" s="51" t="s">
        <v>232</v>
      </c>
      <c r="G281" s="51" t="s">
        <v>233</v>
      </c>
      <c r="H281" s="51">
        <f>'Sardina comun'!F124</f>
        <v>852.52</v>
      </c>
      <c r="I281" s="11">
        <f>'Sardina comun'!G124</f>
        <v>-743.29499999999996</v>
      </c>
      <c r="J281" s="11">
        <f>'Sardina comun'!H124</f>
        <v>109.22500000000002</v>
      </c>
      <c r="K281" s="11">
        <f>'Sardina comun'!I124</f>
        <v>85.38300000000001</v>
      </c>
      <c r="L281">
        <f>'Sardina comun'!K124</f>
        <v>23.842000000000013</v>
      </c>
      <c r="M281" s="48">
        <f>'Sardina comun'!L124</f>
        <v>0.78171663996337826</v>
      </c>
      <c r="N281" s="246" t="str">
        <f>'Sardina comun'!M124</f>
        <v>-</v>
      </c>
      <c r="O281" s="34">
        <f>RESUMEN!$B$3</f>
        <v>44926</v>
      </c>
      <c r="P281" s="11">
        <v>2022</v>
      </c>
    </row>
    <row r="282" spans="1:16">
      <c r="A282" s="51" t="s">
        <v>155</v>
      </c>
      <c r="B282" s="145" t="s">
        <v>253</v>
      </c>
      <c r="C282" s="51" t="s">
        <v>252</v>
      </c>
      <c r="D282" s="51" t="s">
        <v>245</v>
      </c>
      <c r="E282" s="51" t="str">
        <f>'Sardina comun'!D125</f>
        <v>ASOGFER AG. RAG 310-10</v>
      </c>
      <c r="F282" s="51" t="s">
        <v>232</v>
      </c>
      <c r="G282" s="51" t="s">
        <v>233</v>
      </c>
      <c r="H282" s="51">
        <f>'Sardina comun'!F125</f>
        <v>3042.1770000000001</v>
      </c>
      <c r="I282" s="11">
        <f>'Sardina comun'!G125</f>
        <v>-2194</v>
      </c>
      <c r="J282" s="11">
        <f>'Sardina comun'!H125</f>
        <v>848.17700000000013</v>
      </c>
      <c r="K282" s="11">
        <f>'Sardina comun'!I125</f>
        <v>412.88399999999996</v>
      </c>
      <c r="L282" s="11">
        <f>'Sardina comun'!K125</f>
        <v>435.29300000000018</v>
      </c>
      <c r="M282" s="48">
        <f>'Sardina comun'!L125</f>
        <v>0.48678990352249579</v>
      </c>
      <c r="N282" s="246" t="str">
        <f>'Sardina comun'!M125</f>
        <v>-</v>
      </c>
      <c r="O282" s="34">
        <f>RESUMEN!$B$3</f>
        <v>44926</v>
      </c>
      <c r="P282" s="11">
        <v>2022</v>
      </c>
    </row>
    <row r="283" spans="1:16">
      <c r="A283" s="51" t="s">
        <v>155</v>
      </c>
      <c r="B283" s="145" t="s">
        <v>253</v>
      </c>
      <c r="C283" s="51" t="s">
        <v>252</v>
      </c>
      <c r="D283" s="51" t="s">
        <v>245</v>
      </c>
      <c r="E283" s="51" t="str">
        <f>'Sardina comun'!D126</f>
        <v>AGARMAR.  RAG 156-10</v>
      </c>
      <c r="F283" s="51" t="s">
        <v>232</v>
      </c>
      <c r="G283" s="51" t="s">
        <v>233</v>
      </c>
      <c r="H283" s="51">
        <f>'Sardina comun'!F126</f>
        <v>3591.2429999999999</v>
      </c>
      <c r="I283" s="11">
        <f>'Sardina comun'!G126</f>
        <v>-2796</v>
      </c>
      <c r="J283" s="11">
        <f>'Sardina comun'!H126</f>
        <v>795.24299999999994</v>
      </c>
      <c r="K283" s="11">
        <f>'Sardina comun'!I126</f>
        <v>198.94499999999999</v>
      </c>
      <c r="L283" s="11">
        <f>'Sardina comun'!K126</f>
        <v>596.298</v>
      </c>
      <c r="M283" s="48">
        <f>'Sardina comun'!L126</f>
        <v>0.25016881632406701</v>
      </c>
      <c r="N283" s="246" t="str">
        <f>'Sardina comun'!M126</f>
        <v>-</v>
      </c>
      <c r="O283" s="34">
        <f>RESUMEN!$B$3</f>
        <v>44926</v>
      </c>
      <c r="P283" s="11">
        <v>2022</v>
      </c>
    </row>
    <row r="284" spans="1:16">
      <c r="A284" s="51" t="s">
        <v>155</v>
      </c>
      <c r="B284" s="145" t="s">
        <v>253</v>
      </c>
      <c r="C284" s="51" t="s">
        <v>252</v>
      </c>
      <c r="D284" s="51" t="s">
        <v>245</v>
      </c>
      <c r="E284" s="51" t="str">
        <f>'Sardina comun'!D127</f>
        <v>PESCA AUSTRAL. RAG 326-10</v>
      </c>
      <c r="F284" s="51" t="s">
        <v>232</v>
      </c>
      <c r="G284" s="51" t="s">
        <v>233</v>
      </c>
      <c r="H284" s="51">
        <f>'Sardina comun'!F127</f>
        <v>1117.0129999999999</v>
      </c>
      <c r="I284" s="11">
        <f>'Sardina comun'!G127</f>
        <v>-1097</v>
      </c>
      <c r="J284" s="11">
        <f>'Sardina comun'!H127</f>
        <v>20.01299999999992</v>
      </c>
      <c r="K284" s="11">
        <f>'Sardina comun'!I127</f>
        <v>0</v>
      </c>
      <c r="L284" s="11">
        <f>'Sardina comun'!K127</f>
        <v>20.01299999999992</v>
      </c>
      <c r="M284" s="48">
        <f>'Sardina comun'!L127</f>
        <v>0</v>
      </c>
      <c r="N284" s="246" t="str">
        <f>'Sardina comun'!M127</f>
        <v>-</v>
      </c>
      <c r="O284" s="34">
        <f>RESUMEN!$B$3</f>
        <v>44926</v>
      </c>
      <c r="P284" s="11">
        <v>2022</v>
      </c>
    </row>
    <row r="285" spans="1:16">
      <c r="A285" s="51" t="s">
        <v>155</v>
      </c>
      <c r="B285" s="145" t="s">
        <v>253</v>
      </c>
      <c r="C285" s="51" t="s">
        <v>252</v>
      </c>
      <c r="D285" s="51" t="s">
        <v>245</v>
      </c>
      <c r="E285" s="51" t="str">
        <f>'Sardina comun'!D128</f>
        <v>ASOGPESCA ANCUD. AG 4266</v>
      </c>
      <c r="F285" s="51" t="s">
        <v>232</v>
      </c>
      <c r="G285" s="51" t="s">
        <v>233</v>
      </c>
      <c r="H285" s="51">
        <f>'Sardina comun'!F128</f>
        <v>1173.7280000000001</v>
      </c>
      <c r="I285" s="11">
        <f>'Sardina comun'!G128</f>
        <v>-936.11</v>
      </c>
      <c r="J285" s="11">
        <f>'Sardina comun'!H128</f>
        <v>237.61800000000005</v>
      </c>
      <c r="K285" s="11">
        <f>'Sardina comun'!I128</f>
        <v>128.11199999999999</v>
      </c>
      <c r="L285" s="11">
        <f>'Sardina comun'!K128</f>
        <v>109.50600000000006</v>
      </c>
      <c r="M285" s="48">
        <f>'Sardina comun'!L128</f>
        <v>0.53915107441355437</v>
      </c>
      <c r="N285" s="246" t="str">
        <f>'Sardina comun'!M128</f>
        <v>-</v>
      </c>
      <c r="O285" s="34">
        <f>RESUMEN!$B$3</f>
        <v>44926</v>
      </c>
      <c r="P285" s="11">
        <v>2022</v>
      </c>
    </row>
    <row r="286" spans="1:16">
      <c r="A286" s="51" t="s">
        <v>155</v>
      </c>
      <c r="B286" s="145" t="s">
        <v>253</v>
      </c>
      <c r="C286" s="51" t="s">
        <v>252</v>
      </c>
      <c r="D286" s="51" t="s">
        <v>245</v>
      </c>
      <c r="E286" s="51" t="str">
        <f>'Sardina comun'!D129</f>
        <v>AQUEPESCA. AG 270-10</v>
      </c>
      <c r="F286" s="51" t="s">
        <v>232</v>
      </c>
      <c r="G286" s="51" t="s">
        <v>233</v>
      </c>
      <c r="H286" s="51">
        <f>'Sardina comun'!F129</f>
        <v>592.04</v>
      </c>
      <c r="I286" s="11">
        <f>'Sardina comun'!G129</f>
        <v>-592</v>
      </c>
      <c r="J286" s="11">
        <f>'Sardina comun'!H129</f>
        <v>3.999999999996362E-2</v>
      </c>
      <c r="K286" s="11">
        <f>'Sardina comun'!I129</f>
        <v>0</v>
      </c>
      <c r="L286" s="11">
        <f>'Sardina comun'!K129</f>
        <v>3.999999999996362E-2</v>
      </c>
      <c r="M286" s="48">
        <f>'Sardina comun'!L129</f>
        <v>0</v>
      </c>
      <c r="N286" s="246" t="str">
        <f>'Sardina comun'!M129</f>
        <v>-</v>
      </c>
      <c r="O286" s="34">
        <f>RESUMEN!$B$3</f>
        <v>44926</v>
      </c>
      <c r="P286" s="11">
        <v>2022</v>
      </c>
    </row>
    <row r="287" spans="1:16">
      <c r="A287" s="51" t="s">
        <v>155</v>
      </c>
      <c r="B287" s="145" t="s">
        <v>253</v>
      </c>
      <c r="C287" s="51" t="s">
        <v>252</v>
      </c>
      <c r="D287" s="51" t="s">
        <v>245</v>
      </c>
      <c r="E287" s="51" t="str">
        <f>'Sardina comun'!D130</f>
        <v>STI CAMINO CHINQUIHUE. RSU 10.01.0942</v>
      </c>
      <c r="F287" s="51" t="s">
        <v>232</v>
      </c>
      <c r="G287" s="51" t="s">
        <v>233</v>
      </c>
      <c r="H287" s="51">
        <f>'Sardina comun'!F130</f>
        <v>588.28899999999999</v>
      </c>
      <c r="I287" s="11">
        <f>'Sardina comun'!G130</f>
        <v>-588</v>
      </c>
      <c r="J287" s="11">
        <f>'Sardina comun'!H130</f>
        <v>0.28899999999998727</v>
      </c>
      <c r="K287" s="11">
        <f>'Sardina comun'!I130</f>
        <v>0</v>
      </c>
      <c r="L287" s="11">
        <f>'Sardina comun'!K130</f>
        <v>0.28899999999998727</v>
      </c>
      <c r="M287" s="48">
        <f>'Sardina comun'!L130</f>
        <v>0.99950874485159502</v>
      </c>
      <c r="N287" s="246">
        <f>'Sardina comun'!M130</f>
        <v>44818</v>
      </c>
      <c r="O287" s="34">
        <f>RESUMEN!$B$3</f>
        <v>44926</v>
      </c>
      <c r="P287" s="11">
        <v>2022</v>
      </c>
    </row>
    <row r="288" spans="1:16">
      <c r="A288" s="51" t="s">
        <v>155</v>
      </c>
      <c r="B288" s="145" t="s">
        <v>253</v>
      </c>
      <c r="C288" s="51" t="s">
        <v>252</v>
      </c>
      <c r="D288" s="51" t="s">
        <v>245</v>
      </c>
      <c r="E288" s="51" t="str">
        <f>'Sardina comun'!D131</f>
        <v xml:space="preserve">STI PECERCAL RSU 10.01.0948 </v>
      </c>
      <c r="F288" s="51" t="s">
        <v>232</v>
      </c>
      <c r="G288" s="51" t="s">
        <v>233</v>
      </c>
      <c r="H288" s="51">
        <f>'Sardina comun'!F131</f>
        <v>3062.3780000000002</v>
      </c>
      <c r="I288" s="11">
        <f>'Sardina comun'!G131</f>
        <v>-2753.8389999999999</v>
      </c>
      <c r="J288" s="11">
        <f>'Sardina comun'!H131</f>
        <v>308.53900000000021</v>
      </c>
      <c r="K288" s="11">
        <f>'Sardina comun'!I131</f>
        <v>225.80399999999997</v>
      </c>
      <c r="L288" s="11">
        <f>'Sardina comun'!K131</f>
        <v>82.735000000000241</v>
      </c>
      <c r="M288" s="48">
        <f>'Sardina comun'!L131</f>
        <v>0.73184913414511554</v>
      </c>
      <c r="N288" s="246" t="str">
        <f>'Sardina comun'!M131</f>
        <v>-</v>
      </c>
      <c r="O288" s="34">
        <f>RESUMEN!$B$3</f>
        <v>44926</v>
      </c>
      <c r="P288" s="11">
        <v>2022</v>
      </c>
    </row>
    <row r="289" spans="1:16">
      <c r="A289" s="51" t="s">
        <v>155</v>
      </c>
      <c r="B289" s="145" t="s">
        <v>253</v>
      </c>
      <c r="C289" s="51" t="s">
        <v>252</v>
      </c>
      <c r="D289" s="51" t="s">
        <v>245</v>
      </c>
      <c r="E289" s="51" t="str">
        <f>'Sardina comun'!D132</f>
        <v>STI PROVEEDORES MARITIMOS DE QUILLAIPE. RSU 10.01.0835</v>
      </c>
      <c r="F289" s="51" t="s">
        <v>232</v>
      </c>
      <c r="G289" s="51" t="s">
        <v>233</v>
      </c>
      <c r="H289" s="51">
        <f>'Sardina comun'!F132</f>
        <v>520.28200000000004</v>
      </c>
      <c r="I289" s="11">
        <f>'Sardina comun'!G132</f>
        <v>-490</v>
      </c>
      <c r="J289" s="11">
        <f>'Sardina comun'!H132</f>
        <v>30.282000000000039</v>
      </c>
      <c r="K289" s="11">
        <f>'Sardina comun'!I132</f>
        <v>2.0169999999999999</v>
      </c>
      <c r="L289" s="11">
        <f>'Sardina comun'!K132</f>
        <v>28.26500000000004</v>
      </c>
      <c r="M289" s="48">
        <f>'Sardina comun'!L132</f>
        <v>6.6607225414437532E-2</v>
      </c>
      <c r="N289" s="246" t="str">
        <f>'Sardina comun'!M132</f>
        <v>-</v>
      </c>
      <c r="O289" s="34">
        <f>RESUMEN!$B$3</f>
        <v>44926</v>
      </c>
      <c r="P289" s="11">
        <v>2022</v>
      </c>
    </row>
    <row r="290" spans="1:16">
      <c r="A290" s="51" t="s">
        <v>155</v>
      </c>
      <c r="B290" s="145" t="s">
        <v>253</v>
      </c>
      <c r="C290" s="51" t="s">
        <v>252</v>
      </c>
      <c r="D290" s="51" t="s">
        <v>245</v>
      </c>
      <c r="E290" s="51" t="str">
        <f>'Sardina comun'!D133</f>
        <v>CUOTA RESIDUAL X</v>
      </c>
      <c r="F290" s="51" t="s">
        <v>232</v>
      </c>
      <c r="G290" s="51" t="s">
        <v>233</v>
      </c>
      <c r="H290" s="51">
        <f>'Sardina comun'!F133</f>
        <v>379.32900000000001</v>
      </c>
      <c r="I290" s="11">
        <f>'Sardina comun'!G133</f>
        <v>0</v>
      </c>
      <c r="J290" s="11">
        <f>'Sardina comun'!H133</f>
        <v>379.32900000000001</v>
      </c>
      <c r="K290" s="11">
        <f>'Sardina comun'!I133</f>
        <v>445.59999999999997</v>
      </c>
      <c r="L290" s="11">
        <f>'Sardina comun'!K133</f>
        <v>-66.270999999999958</v>
      </c>
      <c r="M290" s="48">
        <f>'Sardina comun'!L133</f>
        <v>1.1747058621935047</v>
      </c>
      <c r="N290" s="246">
        <f>'Sardina comun'!M133</f>
        <v>44897</v>
      </c>
      <c r="O290" s="34">
        <f>RESUMEN!$B$3</f>
        <v>44926</v>
      </c>
      <c r="P290" s="11">
        <v>2022</v>
      </c>
    </row>
    <row r="291" spans="1:16">
      <c r="A291" s="143" t="s">
        <v>155</v>
      </c>
      <c r="B291" s="143" t="s">
        <v>253</v>
      </c>
      <c r="C291" s="143" t="s">
        <v>252</v>
      </c>
      <c r="D291" s="143" t="s">
        <v>245</v>
      </c>
      <c r="E291" s="143" t="str">
        <f>'Sardina comun'!D134</f>
        <v xml:space="preserve">Total Región de Los Lagos </v>
      </c>
      <c r="F291" s="143" t="s">
        <v>232</v>
      </c>
      <c r="G291" s="143" t="s">
        <v>233</v>
      </c>
      <c r="H291" s="143">
        <f>'Sardina comun'!F134</f>
        <v>14918.999000000002</v>
      </c>
      <c r="I291" s="43">
        <f>'Sardina comun'!G134</f>
        <v>-12190.243999999999</v>
      </c>
      <c r="J291" s="43">
        <f>'Sardina comun'!H134</f>
        <v>2728.7550000000028</v>
      </c>
      <c r="K291" s="43">
        <f>'Sardina comun'!I134</f>
        <v>1498.7449999999999</v>
      </c>
      <c r="L291" s="43">
        <f>'Sardina comun'!K134</f>
        <v>1230.0100000000029</v>
      </c>
      <c r="M291" s="49">
        <f>'Sardina comun'!L134</f>
        <v>0.54924132067554554</v>
      </c>
      <c r="N291" s="247" t="str">
        <f>'Sardina comun'!M134</f>
        <v>-</v>
      </c>
      <c r="O291" s="34">
        <f>RESUMEN!$B$3</f>
        <v>44926</v>
      </c>
      <c r="P291" s="11">
        <v>2022</v>
      </c>
    </row>
  </sheetData>
  <autoFilter ref="A1:Q29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T64"/>
  <sheetViews>
    <sheetView workbookViewId="0">
      <selection activeCell="F40" sqref="F40:L64"/>
    </sheetView>
  </sheetViews>
  <sheetFormatPr baseColWidth="10" defaultRowHeight="15"/>
  <cols>
    <col min="4" max="4" width="49.28515625" customWidth="1"/>
    <col min="5" max="5" width="14.140625" customWidth="1"/>
    <col min="6" max="6" width="11.28515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  <col min="15" max="15" width="22.85546875" customWidth="1"/>
    <col min="16" max="16" width="22.7109375" customWidth="1"/>
    <col min="17" max="17" width="11.5703125" bestFit="1" customWidth="1"/>
    <col min="18" max="18" width="15.42578125" style="11" customWidth="1"/>
    <col min="19" max="19" width="14.28515625" style="11" customWidth="1"/>
    <col min="20" max="20" width="15" customWidth="1"/>
  </cols>
  <sheetData>
    <row r="2" spans="2:20">
      <c r="C2" s="506" t="s">
        <v>23</v>
      </c>
      <c r="D2" s="506"/>
      <c r="E2" s="506"/>
      <c r="F2" s="506"/>
      <c r="G2" s="506"/>
      <c r="H2" s="506"/>
      <c r="I2" s="506"/>
      <c r="J2" s="506"/>
      <c r="K2" s="506"/>
      <c r="L2" s="506"/>
    </row>
    <row r="3" spans="2:20">
      <c r="C3" s="507"/>
      <c r="D3" s="508"/>
      <c r="E3" s="508"/>
      <c r="F3" s="508"/>
      <c r="G3" s="508"/>
      <c r="H3" s="508"/>
      <c r="I3" s="508"/>
      <c r="J3" s="508"/>
      <c r="K3" s="508"/>
      <c r="L3" s="508"/>
    </row>
    <row r="5" spans="2:20">
      <c r="D5" s="59" t="s">
        <v>24</v>
      </c>
      <c r="E5" s="4">
        <v>52192</v>
      </c>
      <c r="O5" s="510" t="s">
        <v>269</v>
      </c>
      <c r="P5" s="510"/>
      <c r="Q5" s="510"/>
      <c r="R5" s="510"/>
      <c r="S5" s="510"/>
      <c r="T5" s="510"/>
    </row>
    <row r="6" spans="2:20" ht="20.25" customHeight="1">
      <c r="D6" s="98" t="s">
        <v>36</v>
      </c>
      <c r="E6" s="58" t="s">
        <v>0</v>
      </c>
      <c r="F6" s="58" t="s">
        <v>20</v>
      </c>
      <c r="G6" s="58" t="s">
        <v>1</v>
      </c>
      <c r="H6" s="58" t="s">
        <v>2</v>
      </c>
      <c r="I6" s="58" t="s">
        <v>3</v>
      </c>
      <c r="J6" s="58" t="s">
        <v>4</v>
      </c>
      <c r="K6" s="58" t="s">
        <v>5</v>
      </c>
      <c r="L6" s="58" t="s">
        <v>6</v>
      </c>
      <c r="O6" s="100" t="s">
        <v>36</v>
      </c>
      <c r="P6" s="100" t="s">
        <v>270</v>
      </c>
      <c r="Q6" s="146" t="s">
        <v>323</v>
      </c>
      <c r="R6" s="100" t="s">
        <v>272</v>
      </c>
      <c r="S6" s="100" t="s">
        <v>273</v>
      </c>
      <c r="T6" s="100" t="s">
        <v>271</v>
      </c>
    </row>
    <row r="7" spans="2:20" ht="15" customHeight="1">
      <c r="B7">
        <v>1</v>
      </c>
      <c r="C7" s="503" t="s">
        <v>21</v>
      </c>
      <c r="D7" s="1" t="s">
        <v>7</v>
      </c>
      <c r="E7" s="1" t="s">
        <v>19</v>
      </c>
      <c r="F7" s="1">
        <v>0.1889343</v>
      </c>
      <c r="G7" s="2">
        <f t="shared" ref="G7:G27" si="0">$E$5*F7</f>
        <v>9860.8589855999999</v>
      </c>
      <c r="H7" s="1">
        <f>-840-220-1001-1941.5-835.043-100-235-1276.26-265-200-230-150-65-143-1962-150</f>
        <v>-9613.8029999999999</v>
      </c>
      <c r="I7" s="2">
        <f>G7+H7</f>
        <v>247.05598559999999</v>
      </c>
      <c r="J7" s="1"/>
      <c r="K7" s="2">
        <f>I7-J7</f>
        <v>247.05598559999999</v>
      </c>
      <c r="L7" s="3">
        <f>(H7/G7)*-1</f>
        <v>0.97494579468575904</v>
      </c>
      <c r="O7" s="99"/>
      <c r="P7" s="101"/>
      <c r="Q7" s="101"/>
      <c r="R7" s="101"/>
      <c r="S7" s="101"/>
      <c r="T7" s="102"/>
    </row>
    <row r="8" spans="2:20">
      <c r="B8" s="11">
        <v>2</v>
      </c>
      <c r="C8" s="504"/>
      <c r="D8" s="1" t="s">
        <v>8</v>
      </c>
      <c r="E8" s="1" t="s">
        <v>19</v>
      </c>
      <c r="F8" s="1">
        <v>0.19985240000000001</v>
      </c>
      <c r="G8" s="2">
        <f t="shared" si="0"/>
        <v>10430.6964608</v>
      </c>
      <c r="H8" s="1">
        <f>-450-368-375-273-2-144-105-90-1690-1424-346-310-2350-625-235-399-584-580</f>
        <v>-10350</v>
      </c>
      <c r="I8" s="2">
        <f t="shared" ref="I8:I23" si="1">G8+H8</f>
        <v>80.696460799999841</v>
      </c>
      <c r="J8" s="1"/>
      <c r="K8" s="2">
        <f t="shared" ref="K8:K33" si="2">I8-J8</f>
        <v>80.696460799999841</v>
      </c>
      <c r="L8" s="3">
        <f>(H8/G8)*-1</f>
        <v>0.99226355966705881</v>
      </c>
      <c r="O8" s="99"/>
      <c r="P8" s="101"/>
      <c r="Q8" s="101"/>
      <c r="R8" s="101"/>
      <c r="S8" s="101"/>
      <c r="T8" s="102"/>
    </row>
    <row r="9" spans="2:20">
      <c r="B9" s="11">
        <v>3</v>
      </c>
      <c r="C9" s="504"/>
      <c r="D9" s="1" t="s">
        <v>9</v>
      </c>
      <c r="E9" s="1" t="s">
        <v>19</v>
      </c>
      <c r="F9" s="1">
        <f>0.1381846+0.005+0.005+0.005+0.005</f>
        <v>0.15818460000000001</v>
      </c>
      <c r="G9" s="2">
        <f t="shared" si="0"/>
        <v>8255.9706432000003</v>
      </c>
      <c r="H9" s="1">
        <f>-5495-200-80-2147</f>
        <v>-7922</v>
      </c>
      <c r="I9" s="2">
        <f t="shared" si="1"/>
        <v>333.97064320000027</v>
      </c>
      <c r="J9" s="83">
        <v>292.428</v>
      </c>
      <c r="K9" s="2">
        <f t="shared" si="2"/>
        <v>41.542643200000271</v>
      </c>
      <c r="L9" s="3">
        <f>(H9/G9)*-1</f>
        <v>0.95954798561752708</v>
      </c>
    </row>
    <row r="10" spans="2:20">
      <c r="B10" s="11">
        <v>4</v>
      </c>
      <c r="C10" s="504"/>
      <c r="D10" s="1" t="s">
        <v>10</v>
      </c>
      <c r="E10" s="1" t="s">
        <v>19</v>
      </c>
      <c r="F10" s="1"/>
      <c r="G10" s="2">
        <f t="shared" si="0"/>
        <v>0</v>
      </c>
      <c r="H10" s="1"/>
      <c r="I10" s="2">
        <f t="shared" si="1"/>
        <v>0</v>
      </c>
      <c r="J10" s="1"/>
      <c r="K10" s="2">
        <f t="shared" si="2"/>
        <v>0</v>
      </c>
      <c r="L10" s="3">
        <v>0</v>
      </c>
    </row>
    <row r="11" spans="2:20" s="11" customFormat="1">
      <c r="B11" s="11">
        <v>5</v>
      </c>
      <c r="C11" s="504"/>
      <c r="D11" s="1" t="s">
        <v>28</v>
      </c>
      <c r="E11" s="1" t="s">
        <v>19</v>
      </c>
      <c r="F11" s="1">
        <f>0.005+0.005+0.005+0.0025+0.0025+0.005+0.005+0.0025+0.001+0.001</f>
        <v>3.4500000000000003E-2</v>
      </c>
      <c r="G11" s="2">
        <f t="shared" si="0"/>
        <v>1800.6240000000003</v>
      </c>
      <c r="H11" s="1">
        <f>-1287.852-467.922-44.85</f>
        <v>-1800.624</v>
      </c>
      <c r="I11" s="2">
        <f t="shared" si="1"/>
        <v>0</v>
      </c>
      <c r="J11" s="1"/>
      <c r="K11" s="2">
        <f t="shared" si="2"/>
        <v>0</v>
      </c>
      <c r="L11" s="3">
        <f t="shared" ref="L11:L23" si="3">(H11/G11)*-1</f>
        <v>0.99999999999999989</v>
      </c>
    </row>
    <row r="12" spans="2:20" s="11" customFormat="1">
      <c r="B12" s="11">
        <v>6</v>
      </c>
      <c r="C12" s="504"/>
      <c r="D12" s="1" t="s">
        <v>265</v>
      </c>
      <c r="E12" s="1" t="s">
        <v>19</v>
      </c>
      <c r="F12" s="1">
        <f>0.005+0.005+0.005+0.005</f>
        <v>0.02</v>
      </c>
      <c r="G12" s="2">
        <f t="shared" si="0"/>
        <v>1043.8399999999999</v>
      </c>
      <c r="H12" s="1">
        <f>-746.58-271.26-26</f>
        <v>-1043.8400000000001</v>
      </c>
      <c r="I12" s="2">
        <f t="shared" si="1"/>
        <v>0</v>
      </c>
      <c r="J12" s="1"/>
      <c r="K12" s="2">
        <f t="shared" si="2"/>
        <v>0</v>
      </c>
      <c r="L12" s="3">
        <f t="shared" si="3"/>
        <v>1.0000000000000002</v>
      </c>
    </row>
    <row r="13" spans="2:20" s="11" customFormat="1">
      <c r="B13" s="11">
        <v>7</v>
      </c>
      <c r="C13" s="504"/>
      <c r="D13" s="1" t="s">
        <v>264</v>
      </c>
      <c r="E13" s="1" t="s">
        <v>19</v>
      </c>
      <c r="F13" s="1">
        <f>0.0025+0.0025+0.0015+0.0015+0.001+0.001</f>
        <v>1.0000000000000002E-2</v>
      </c>
      <c r="G13" s="2">
        <f t="shared" si="0"/>
        <v>521.92000000000007</v>
      </c>
      <c r="H13" s="1">
        <f>-373.294-135.628</f>
        <v>-508.92199999999997</v>
      </c>
      <c r="I13" s="2">
        <f t="shared" si="1"/>
        <v>12.998000000000104</v>
      </c>
      <c r="J13" s="1"/>
      <c r="K13" s="2">
        <f t="shared" si="2"/>
        <v>12.998000000000104</v>
      </c>
      <c r="L13" s="3">
        <f t="shared" si="3"/>
        <v>0.97509580012262398</v>
      </c>
    </row>
    <row r="14" spans="2:20">
      <c r="B14" s="11">
        <v>8</v>
      </c>
      <c r="C14" s="504"/>
      <c r="D14" s="1" t="s">
        <v>11</v>
      </c>
      <c r="E14" s="1" t="s">
        <v>19</v>
      </c>
      <c r="F14" s="1">
        <f>0.0090276+0.0034332</f>
        <v>1.2460800000000001E-2</v>
      </c>
      <c r="G14" s="2">
        <f t="shared" si="0"/>
        <v>650.35407360000011</v>
      </c>
      <c r="H14" s="1">
        <f>-299.088-94.878-239.193</f>
        <v>-633.15899999999999</v>
      </c>
      <c r="I14" s="2">
        <f t="shared" si="1"/>
        <v>17.195073600000114</v>
      </c>
      <c r="J14" s="1"/>
      <c r="K14" s="2">
        <f t="shared" si="2"/>
        <v>17.195073600000114</v>
      </c>
      <c r="L14" s="3">
        <f t="shared" si="3"/>
        <v>0.97356044299866118</v>
      </c>
    </row>
    <row r="15" spans="2:20">
      <c r="B15" s="11">
        <v>9</v>
      </c>
      <c r="C15" s="504"/>
      <c r="D15" s="1" t="s">
        <v>12</v>
      </c>
      <c r="E15" s="1" t="s">
        <v>19</v>
      </c>
      <c r="F15" s="1">
        <f>0.009019+0.0081603+0.005066</f>
        <v>2.2245300000000003E-2</v>
      </c>
      <c r="G15" s="2">
        <f t="shared" si="0"/>
        <v>1161.0266976</v>
      </c>
      <c r="H15" s="1">
        <f>-242.568-887.048</f>
        <v>-1129.616</v>
      </c>
      <c r="I15" s="2">
        <f t="shared" si="1"/>
        <v>31.410697600000049</v>
      </c>
      <c r="J15" s="1"/>
      <c r="K15" s="2">
        <f t="shared" si="2"/>
        <v>31.410697600000049</v>
      </c>
      <c r="L15" s="3">
        <f t="shared" si="3"/>
        <v>0.97294575769452141</v>
      </c>
    </row>
    <row r="16" spans="2:20">
      <c r="B16" s="11">
        <v>10</v>
      </c>
      <c r="C16" s="504"/>
      <c r="D16" s="1" t="s">
        <v>13</v>
      </c>
      <c r="E16" s="1" t="s">
        <v>19</v>
      </c>
      <c r="F16" s="1">
        <v>2.7395699999999999E-2</v>
      </c>
      <c r="G16" s="2">
        <f t="shared" si="0"/>
        <v>1429.8363743999998</v>
      </c>
      <c r="H16" s="1">
        <f>-1011-69-301</f>
        <v>-1381</v>
      </c>
      <c r="I16" s="2">
        <f t="shared" si="1"/>
        <v>48.836374399999841</v>
      </c>
      <c r="J16" s="1"/>
      <c r="K16" s="2">
        <f t="shared" si="2"/>
        <v>48.836374399999841</v>
      </c>
      <c r="L16" s="3">
        <f t="shared" si="3"/>
        <v>0.96584478107119565</v>
      </c>
    </row>
    <row r="17" spans="2:12">
      <c r="B17" s="11">
        <v>11</v>
      </c>
      <c r="C17" s="504"/>
      <c r="D17" s="1" t="s">
        <v>14</v>
      </c>
      <c r="E17" s="1" t="s">
        <v>19</v>
      </c>
      <c r="F17" s="1">
        <v>1.36E-5</v>
      </c>
      <c r="G17" s="2">
        <f t="shared" si="0"/>
        <v>0.70981119999999998</v>
      </c>
      <c r="H17" s="1"/>
      <c r="I17" s="2">
        <f t="shared" si="1"/>
        <v>0.70981119999999998</v>
      </c>
      <c r="J17" s="1"/>
      <c r="K17" s="2">
        <f t="shared" si="2"/>
        <v>0.70981119999999998</v>
      </c>
      <c r="L17" s="3">
        <f t="shared" si="3"/>
        <v>0</v>
      </c>
    </row>
    <row r="18" spans="2:12">
      <c r="B18" s="11">
        <v>12</v>
      </c>
      <c r="C18" s="504"/>
      <c r="D18" s="1" t="s">
        <v>15</v>
      </c>
      <c r="E18" s="1" t="s">
        <v>19</v>
      </c>
      <c r="F18" s="1">
        <v>5.95182E-2</v>
      </c>
      <c r="G18" s="2">
        <f t="shared" si="0"/>
        <v>3106.3738944000002</v>
      </c>
      <c r="H18" s="2">
        <f>-550-692-640-100-0.50892-950</f>
        <v>-2932.5089200000002</v>
      </c>
      <c r="I18" s="2">
        <f t="shared" si="1"/>
        <v>173.86497439999994</v>
      </c>
      <c r="J18" s="83">
        <v>123.02</v>
      </c>
      <c r="K18" s="2">
        <f t="shared" si="2"/>
        <v>50.844974399999941</v>
      </c>
      <c r="L18" s="3">
        <f t="shared" si="3"/>
        <v>0.94402960483493825</v>
      </c>
    </row>
    <row r="19" spans="2:12">
      <c r="B19" s="11">
        <v>13</v>
      </c>
      <c r="C19" s="504"/>
      <c r="D19" s="1" t="s">
        <v>16</v>
      </c>
      <c r="E19" s="1" t="s">
        <v>19</v>
      </c>
      <c r="F19" s="1">
        <f>0.0138523-0.00079-0.00025</f>
        <v>1.2812299999999999E-2</v>
      </c>
      <c r="G19" s="2">
        <f t="shared" si="0"/>
        <v>668.69956159999992</v>
      </c>
      <c r="H19" s="1">
        <f>-475-170</f>
        <v>-645</v>
      </c>
      <c r="I19" s="2">
        <f t="shared" si="1"/>
        <v>23.699561599999925</v>
      </c>
      <c r="J19" s="1"/>
      <c r="K19" s="2">
        <f t="shared" si="2"/>
        <v>23.699561599999925</v>
      </c>
      <c r="L19" s="3">
        <f t="shared" si="3"/>
        <v>0.96455873016681226</v>
      </c>
    </row>
    <row r="20" spans="2:12">
      <c r="B20" s="11">
        <v>14</v>
      </c>
      <c r="C20" s="504"/>
      <c r="D20" s="1" t="s">
        <v>17</v>
      </c>
      <c r="E20" s="1" t="s">
        <v>19</v>
      </c>
      <c r="F20" s="1">
        <v>0.18105560000000001</v>
      </c>
      <c r="G20" s="2">
        <f t="shared" si="0"/>
        <v>9449.6538751999997</v>
      </c>
      <c r="H20" s="1">
        <f>-1152-182-2165-960-2968-1481</f>
        <v>-8908</v>
      </c>
      <c r="I20" s="2">
        <f t="shared" si="1"/>
        <v>541.65387519999967</v>
      </c>
      <c r="J20" s="83">
        <v>518.53599999999994</v>
      </c>
      <c r="K20" s="2">
        <f t="shared" si="2"/>
        <v>23.11787519999973</v>
      </c>
      <c r="L20" s="3">
        <f>(J20/I20)</f>
        <v>0.95731983789193109</v>
      </c>
    </row>
    <row r="21" spans="2:12">
      <c r="B21" s="11">
        <v>15</v>
      </c>
      <c r="C21" s="504"/>
      <c r="D21" s="1" t="s">
        <v>18</v>
      </c>
      <c r="E21" s="1" t="s">
        <v>19</v>
      </c>
      <c r="F21" s="1">
        <v>7.6500000000000003E-5</v>
      </c>
      <c r="G21" s="2">
        <f t="shared" si="0"/>
        <v>3.9926880000000002</v>
      </c>
      <c r="H21" s="1"/>
      <c r="I21" s="2">
        <f t="shared" si="1"/>
        <v>3.9926880000000002</v>
      </c>
      <c r="J21" s="1"/>
      <c r="K21" s="2">
        <f t="shared" si="2"/>
        <v>3.9926880000000002</v>
      </c>
      <c r="L21" s="3">
        <f t="shared" si="3"/>
        <v>0</v>
      </c>
    </row>
    <row r="22" spans="2:12">
      <c r="B22" s="11">
        <v>16</v>
      </c>
      <c r="C22" s="504"/>
      <c r="D22" s="1" t="s">
        <v>214</v>
      </c>
      <c r="E22" s="1" t="s">
        <v>19</v>
      </c>
      <c r="F22" s="1">
        <v>6.4013999999999998E-3</v>
      </c>
      <c r="G22" s="2">
        <f t="shared" si="0"/>
        <v>334.10186879999998</v>
      </c>
      <c r="H22" s="1">
        <f>-237-88</f>
        <v>-325</v>
      </c>
      <c r="I22" s="2">
        <f t="shared" si="1"/>
        <v>9.101868799999977</v>
      </c>
      <c r="J22" s="1"/>
      <c r="K22" s="2">
        <f t="shared" si="2"/>
        <v>9.101868799999977</v>
      </c>
      <c r="L22" s="3">
        <f t="shared" si="3"/>
        <v>0.97275720476305227</v>
      </c>
    </row>
    <row r="23" spans="2:12" s="11" customFormat="1">
      <c r="B23" s="11">
        <v>17</v>
      </c>
      <c r="C23" s="504"/>
      <c r="D23" s="1" t="s">
        <v>283</v>
      </c>
      <c r="E23" s="1" t="s">
        <v>19</v>
      </c>
      <c r="F23" s="1">
        <f>0.0025+0.0015</f>
        <v>4.0000000000000001E-3</v>
      </c>
      <c r="G23" s="2">
        <f t="shared" si="0"/>
        <v>208.768</v>
      </c>
      <c r="H23" s="1">
        <f>-149.317-5.2-54.251</f>
        <v>-208.768</v>
      </c>
      <c r="I23" s="2">
        <f t="shared" si="1"/>
        <v>0</v>
      </c>
      <c r="J23" s="1"/>
      <c r="K23" s="2">
        <f t="shared" si="2"/>
        <v>0</v>
      </c>
      <c r="L23" s="3">
        <f t="shared" si="3"/>
        <v>1</v>
      </c>
    </row>
    <row r="24" spans="2:12" s="11" customFormat="1">
      <c r="B24" s="11">
        <v>18</v>
      </c>
      <c r="C24" s="504"/>
      <c r="D24" s="1" t="s">
        <v>289</v>
      </c>
      <c r="E24" s="1" t="s">
        <v>19</v>
      </c>
      <c r="F24" s="1">
        <v>2.5000000000000001E-3</v>
      </c>
      <c r="G24" s="2">
        <f t="shared" si="0"/>
        <v>130.47999999999999</v>
      </c>
      <c r="H24" s="1">
        <f>-93.323-33.907</f>
        <v>-127.22999999999999</v>
      </c>
      <c r="I24" s="2">
        <f t="shared" ref="I24:I27" si="4">G24+H24</f>
        <v>3.25</v>
      </c>
      <c r="J24" s="1"/>
      <c r="K24" s="2">
        <f t="shared" ref="K24" si="5">I24-J24</f>
        <v>3.25</v>
      </c>
      <c r="L24" s="3">
        <f t="shared" ref="L24" si="6">(H24/G24)*-1</f>
        <v>0.97509196811771914</v>
      </c>
    </row>
    <row r="25" spans="2:12" s="11" customFormat="1">
      <c r="B25" s="11">
        <v>19</v>
      </c>
      <c r="C25" s="504"/>
      <c r="D25" s="1" t="s">
        <v>290</v>
      </c>
      <c r="E25" s="1" t="s">
        <v>19</v>
      </c>
      <c r="F25" s="1">
        <f>0.0025+0.0015</f>
        <v>4.0000000000000001E-3</v>
      </c>
      <c r="G25" s="2">
        <f t="shared" si="0"/>
        <v>208.768</v>
      </c>
      <c r="H25" s="1">
        <f>-149.317-54.251</f>
        <v>-203.56800000000001</v>
      </c>
      <c r="I25" s="2">
        <f t="shared" si="4"/>
        <v>5.1999999999999886</v>
      </c>
      <c r="J25" s="1"/>
      <c r="K25" s="2">
        <f t="shared" ref="K25:K27" si="7">I25-J25</f>
        <v>5.1999999999999886</v>
      </c>
      <c r="L25" s="3">
        <f t="shared" ref="L25" si="8">(H25/G25)*-1</f>
        <v>0.97509196811771925</v>
      </c>
    </row>
    <row r="26" spans="2:12" s="11" customFormat="1">
      <c r="B26" s="11">
        <v>20</v>
      </c>
      <c r="C26" s="504"/>
      <c r="D26" s="1" t="s">
        <v>299</v>
      </c>
      <c r="E26" s="1" t="s">
        <v>19</v>
      </c>
      <c r="F26" s="1">
        <v>5.0000000000000001E-3</v>
      </c>
      <c r="G26" s="2">
        <f t="shared" si="0"/>
        <v>260.95999999999998</v>
      </c>
      <c r="H26" s="1">
        <f>-186.645</f>
        <v>-186.64500000000001</v>
      </c>
      <c r="I26" s="2">
        <f t="shared" ref="I26" si="9">G26+H26</f>
        <v>74.314999999999969</v>
      </c>
      <c r="J26" s="1"/>
      <c r="K26" s="2">
        <f t="shared" ref="K26" si="10">I26-J26</f>
        <v>74.314999999999969</v>
      </c>
      <c r="L26" s="3">
        <f t="shared" ref="L26" si="11">(H26/G26)*-1</f>
        <v>0.71522455548743114</v>
      </c>
    </row>
    <row r="27" spans="2:12" s="11" customFormat="1">
      <c r="B27" s="11">
        <v>21</v>
      </c>
      <c r="C27" s="504"/>
      <c r="D27" s="1" t="s">
        <v>292</v>
      </c>
      <c r="E27" s="1" t="s">
        <v>19</v>
      </c>
      <c r="F27" s="1">
        <v>9.3999999999999998E-6</v>
      </c>
      <c r="G27" s="2">
        <f t="shared" si="0"/>
        <v>0.49060480000000001</v>
      </c>
      <c r="H27" s="1">
        <f>0.50892</f>
        <v>0.50892000000000004</v>
      </c>
      <c r="I27" s="2">
        <f t="shared" si="4"/>
        <v>0.9995248000000001</v>
      </c>
      <c r="J27" s="1"/>
      <c r="K27" s="2">
        <f t="shared" si="7"/>
        <v>0.9995248000000001</v>
      </c>
      <c r="L27" s="3">
        <v>0</v>
      </c>
    </row>
    <row r="28" spans="2:12" s="11" customFormat="1">
      <c r="B28" s="11">
        <v>22</v>
      </c>
      <c r="C28" s="504"/>
      <c r="D28" s="1" t="s">
        <v>654</v>
      </c>
      <c r="E28" s="1" t="s">
        <v>19</v>
      </c>
      <c r="F28" s="1">
        <f>0.005+0.0025+0.005+0.005</f>
        <v>1.7500000000000002E-2</v>
      </c>
      <c r="G28" s="2">
        <f t="shared" ref="G28" si="12">$E$5*F28</f>
        <v>913.36000000000013</v>
      </c>
      <c r="H28" s="1">
        <f>-653.258-260</f>
        <v>-913.25800000000004</v>
      </c>
      <c r="I28" s="2">
        <f t="shared" ref="I28" si="13">G28+H28</f>
        <v>0.10200000000008913</v>
      </c>
      <c r="J28" s="1"/>
      <c r="K28" s="2">
        <f t="shared" ref="K28" si="14">I28-J28</f>
        <v>0.10200000000008913</v>
      </c>
      <c r="L28" s="3">
        <v>0</v>
      </c>
    </row>
    <row r="29" spans="2:12" s="11" customFormat="1">
      <c r="B29" s="11">
        <v>23</v>
      </c>
      <c r="C29" s="504"/>
      <c r="D29" s="1" t="s">
        <v>655</v>
      </c>
      <c r="E29" s="1" t="s">
        <v>19</v>
      </c>
      <c r="F29" s="1">
        <f>0.005+0.005+0.0015+0.001+0.001+0.005</f>
        <v>1.8500000000000003E-2</v>
      </c>
      <c r="G29" s="2">
        <f t="shared" ref="G29:G32" si="15">$E$5*F29</f>
        <v>965.55200000000013</v>
      </c>
      <c r="H29" s="1">
        <f>-690.587-250.915</f>
        <v>-941.50199999999995</v>
      </c>
      <c r="I29" s="2">
        <f t="shared" ref="I29:I32" si="16">G29+H29</f>
        <v>24.050000000000182</v>
      </c>
      <c r="J29" s="1"/>
      <c r="K29" s="2">
        <f t="shared" ref="K29:K32" si="17">I29-J29</f>
        <v>24.050000000000182</v>
      </c>
      <c r="L29" s="3">
        <v>0</v>
      </c>
    </row>
    <row r="30" spans="2:12" s="11" customFormat="1">
      <c r="B30" s="11">
        <v>24</v>
      </c>
      <c r="C30" s="504"/>
      <c r="D30" s="1" t="s">
        <v>799</v>
      </c>
      <c r="E30" s="1" t="s">
        <v>19</v>
      </c>
      <c r="F30" s="1">
        <f>0.0025+0.0025+0.0025+0.0015+0.005</f>
        <v>1.3999999999999999E-2</v>
      </c>
      <c r="G30" s="2">
        <f t="shared" ref="G30:G31" si="18">$E$5*F30</f>
        <v>730.68799999999987</v>
      </c>
      <c r="H30" s="1">
        <f>-522.608-208.08</f>
        <v>-730.68799999999999</v>
      </c>
      <c r="I30" s="2">
        <f t="shared" ref="I30:I31" si="19">G30+H30</f>
        <v>0</v>
      </c>
      <c r="J30" s="1"/>
      <c r="K30" s="2">
        <f t="shared" ref="K30:K31" si="20">I30-J30</f>
        <v>0</v>
      </c>
      <c r="L30" s="3">
        <v>0</v>
      </c>
    </row>
    <row r="31" spans="2:12" s="11" customFormat="1">
      <c r="B31" s="11">
        <v>25</v>
      </c>
      <c r="C31" s="504"/>
      <c r="D31" s="1" t="s">
        <v>758</v>
      </c>
      <c r="E31" s="1" t="s">
        <v>19</v>
      </c>
      <c r="F31" s="1">
        <v>7.9000000000000001E-4</v>
      </c>
      <c r="G31" s="2">
        <f t="shared" si="18"/>
        <v>41.231679999999997</v>
      </c>
      <c r="H31" s="1">
        <f>-40</f>
        <v>-40</v>
      </c>
      <c r="I31" s="2">
        <f t="shared" si="19"/>
        <v>1.2316799999999972</v>
      </c>
      <c r="J31" s="1"/>
      <c r="K31" s="2">
        <f t="shared" si="20"/>
        <v>1.2316799999999972</v>
      </c>
      <c r="L31" s="3">
        <v>0</v>
      </c>
    </row>
    <row r="32" spans="2:12" s="11" customFormat="1">
      <c r="B32" s="11">
        <v>26</v>
      </c>
      <c r="C32" s="504"/>
      <c r="D32" s="1" t="s">
        <v>759</v>
      </c>
      <c r="E32" s="1" t="s">
        <v>19</v>
      </c>
      <c r="F32" s="1">
        <v>2.5000000000000001E-4</v>
      </c>
      <c r="G32" s="2">
        <f t="shared" si="15"/>
        <v>13.048</v>
      </c>
      <c r="H32" s="1"/>
      <c r="I32" s="2">
        <f t="shared" si="16"/>
        <v>13.048</v>
      </c>
      <c r="J32" s="1"/>
      <c r="K32" s="2">
        <f t="shared" si="17"/>
        <v>13.048</v>
      </c>
      <c r="L32" s="3">
        <v>0</v>
      </c>
    </row>
    <row r="33" spans="2:19">
      <c r="B33" s="11"/>
      <c r="C33" s="505"/>
      <c r="D33" s="7" t="s">
        <v>229</v>
      </c>
      <c r="E33" s="7" t="s">
        <v>19</v>
      </c>
      <c r="F33" s="7">
        <f>SUM(F7:F32)</f>
        <v>1.0000001000000001</v>
      </c>
      <c r="G33" s="8">
        <f>$E$5*F33</f>
        <v>52192.0052192</v>
      </c>
      <c r="H33" s="7">
        <f>SUM(H7:H32)</f>
        <v>-50544.623</v>
      </c>
      <c r="I33" s="8">
        <f>G33+H33</f>
        <v>1647.3822192000007</v>
      </c>
      <c r="J33" s="7">
        <f>SUM(J7:J32)</f>
        <v>933.98399999999992</v>
      </c>
      <c r="K33" s="8">
        <f t="shared" si="2"/>
        <v>713.39821920000077</v>
      </c>
      <c r="L33" s="9">
        <f>(H33/G33)*-1</f>
        <v>0.96843611943474484</v>
      </c>
    </row>
    <row r="35" spans="2:19">
      <c r="Q35" s="96"/>
      <c r="R35" s="96"/>
      <c r="S35" s="96"/>
    </row>
    <row r="36" spans="2:19">
      <c r="M36" s="96"/>
    </row>
    <row r="38" spans="2:19">
      <c r="D38" s="60" t="s">
        <v>25</v>
      </c>
      <c r="E38" s="4">
        <v>77680</v>
      </c>
    </row>
    <row r="39" spans="2:19">
      <c r="D39" s="62" t="s">
        <v>36</v>
      </c>
      <c r="E39" s="61" t="s">
        <v>0</v>
      </c>
      <c r="F39" s="61" t="s">
        <v>20</v>
      </c>
      <c r="G39" s="61" t="s">
        <v>1</v>
      </c>
      <c r="H39" s="61" t="s">
        <v>2</v>
      </c>
      <c r="I39" s="61" t="s">
        <v>3</v>
      </c>
      <c r="J39" s="61" t="s">
        <v>4</v>
      </c>
      <c r="K39" s="61" t="s">
        <v>5</v>
      </c>
      <c r="L39" s="61" t="s">
        <v>6</v>
      </c>
    </row>
    <row r="40" spans="2:19" ht="15" customHeight="1">
      <c r="B40">
        <v>1</v>
      </c>
      <c r="C40" s="509" t="s">
        <v>22</v>
      </c>
      <c r="D40" s="1" t="s">
        <v>7</v>
      </c>
      <c r="E40" s="1" t="s">
        <v>19</v>
      </c>
      <c r="F40" s="1">
        <v>8.84022E-2</v>
      </c>
      <c r="G40" s="2">
        <f>F40*$E$38</f>
        <v>6867.0828959999999</v>
      </c>
      <c r="H40" s="1">
        <f>-910-200-749-1676.812-768.491-100-129-1113.74-370-135.75+2-50-50-7-57-550.29</f>
        <v>-6865.0829999999996</v>
      </c>
      <c r="I40" s="2">
        <f>G40+H40</f>
        <v>1.9998960000002626</v>
      </c>
      <c r="J40" s="1"/>
      <c r="K40" s="2">
        <f>I40-J40</f>
        <v>1.9998960000002626</v>
      </c>
      <c r="L40" s="6">
        <f>(H40/G40)*-1</f>
        <v>0.99970877066284358</v>
      </c>
    </row>
    <row r="41" spans="2:19">
      <c r="B41" s="11">
        <v>2</v>
      </c>
      <c r="C41" s="509"/>
      <c r="D41" s="1" t="s">
        <v>8</v>
      </c>
      <c r="E41" s="1" t="s">
        <v>19</v>
      </c>
      <c r="F41" s="1">
        <v>0.212974</v>
      </c>
      <c r="G41" s="2">
        <f>F41*$E$38</f>
        <v>16543.820319999999</v>
      </c>
      <c r="H41" s="1">
        <f>-1050-732-770-542-320-287-240-200-3380-2664-694-670-2050-625-205-1101-314-600</f>
        <v>-16444</v>
      </c>
      <c r="I41" s="2">
        <f t="shared" ref="I41:I64" si="21">G41+H41</f>
        <v>99.820319999998901</v>
      </c>
      <c r="J41" s="1"/>
      <c r="K41" s="2">
        <f t="shared" ref="K41:K64" si="22">I41-J41</f>
        <v>99.820319999998901</v>
      </c>
      <c r="L41" s="6">
        <f>(H41/G41)*-1</f>
        <v>0.99396630777721118</v>
      </c>
    </row>
    <row r="42" spans="2:19">
      <c r="B42" s="11">
        <v>3</v>
      </c>
      <c r="C42" s="509"/>
      <c r="D42" s="1" t="s">
        <v>9</v>
      </c>
      <c r="E42" s="1" t="s">
        <v>19</v>
      </c>
      <c r="F42" s="1">
        <f>0.1558129+0.024+0.00235+0.0045+0.027</f>
        <v>0.21366289999999999</v>
      </c>
      <c r="G42" s="2">
        <f>F42*$E$38</f>
        <v>16597.334071999998</v>
      </c>
      <c r="H42" s="1">
        <f>-10202-3330-920-753</f>
        <v>-15205</v>
      </c>
      <c r="I42" s="2">
        <f t="shared" si="21"/>
        <v>1392.3340719999978</v>
      </c>
      <c r="J42" s="83">
        <v>1307.817</v>
      </c>
      <c r="K42" s="2">
        <f t="shared" si="22"/>
        <v>84.517071999997825</v>
      </c>
      <c r="L42" s="6">
        <f>(H42/G42)*-1</f>
        <v>0.91611098107925115</v>
      </c>
    </row>
    <row r="43" spans="2:19">
      <c r="B43" s="11">
        <v>4</v>
      </c>
      <c r="C43" s="509"/>
      <c r="D43" s="1" t="s">
        <v>11</v>
      </c>
      <c r="E43" s="1" t="s">
        <v>19</v>
      </c>
      <c r="F43" s="1">
        <f>0.0083744+0.0083744+0.0083744+0.0083734+0.0083734+0.0083734+0.0083734+0.0091293</f>
        <v>6.7746100000000004E-2</v>
      </c>
      <c r="G43" s="2">
        <f t="shared" ref="G43:G63" si="23">F43*$E$38</f>
        <v>5262.5170480000006</v>
      </c>
      <c r="H43" s="1">
        <f>-429.731-3340.207-716.56-772.916</f>
        <v>-5259.4139999999998</v>
      </c>
      <c r="I43" s="2">
        <f t="shared" si="21"/>
        <v>3.1030480000008538</v>
      </c>
      <c r="J43" s="1"/>
      <c r="K43" s="2">
        <f t="shared" si="22"/>
        <v>3.1030480000008538</v>
      </c>
      <c r="L43" s="6">
        <f t="shared" ref="L43:L64" si="24">(H43/G43)*-1</f>
        <v>0.99941034908358539</v>
      </c>
    </row>
    <row r="44" spans="2:19">
      <c r="B44" s="11">
        <v>5</v>
      </c>
      <c r="C44" s="509"/>
      <c r="D44" s="1" t="s">
        <v>12</v>
      </c>
      <c r="E44" s="1" t="s">
        <v>19</v>
      </c>
      <c r="F44" s="1">
        <f>0.0080429+0.0080165</f>
        <v>1.6059400000000001E-2</v>
      </c>
      <c r="G44" s="2">
        <f t="shared" si="23"/>
        <v>1247.4941920000001</v>
      </c>
      <c r="H44" s="1">
        <f>-626.14-619.887</f>
        <v>-1246.027</v>
      </c>
      <c r="I44" s="2">
        <f t="shared" si="21"/>
        <v>1.4671920000000682</v>
      </c>
      <c r="J44" s="1"/>
      <c r="K44" s="2">
        <f t="shared" si="22"/>
        <v>1.4671920000000682</v>
      </c>
      <c r="L44" s="6">
        <f t="shared" si="24"/>
        <v>0.99882388871274197</v>
      </c>
    </row>
    <row r="45" spans="2:19">
      <c r="B45" s="11">
        <v>6</v>
      </c>
      <c r="C45" s="509"/>
      <c r="D45" s="1" t="s">
        <v>13</v>
      </c>
      <c r="E45" s="1" t="s">
        <v>19</v>
      </c>
      <c r="F45" s="1">
        <v>2.0339699999999999E-2</v>
      </c>
      <c r="G45" s="2">
        <f t="shared" si="23"/>
        <v>1579.9878959999999</v>
      </c>
      <c r="H45" s="1">
        <f>-1406-31-134</f>
        <v>-1571</v>
      </c>
      <c r="I45" s="2">
        <f t="shared" si="21"/>
        <v>8.9878959999998642</v>
      </c>
      <c r="J45" s="1"/>
      <c r="K45" s="2">
        <f t="shared" si="22"/>
        <v>8.9878959999998642</v>
      </c>
      <c r="L45" s="6">
        <f t="shared" si="24"/>
        <v>0.994311414648964</v>
      </c>
    </row>
    <row r="46" spans="2:19">
      <c r="B46" s="11">
        <v>7</v>
      </c>
      <c r="C46" s="509"/>
      <c r="D46" s="1" t="s">
        <v>14</v>
      </c>
      <c r="E46" s="1" t="s">
        <v>19</v>
      </c>
      <c r="F46" s="1">
        <v>1.7E-5</v>
      </c>
      <c r="G46" s="2">
        <f t="shared" si="23"/>
        <v>1.32056</v>
      </c>
      <c r="H46" s="1"/>
      <c r="I46" s="2">
        <f t="shared" si="21"/>
        <v>1.32056</v>
      </c>
      <c r="J46" s="1"/>
      <c r="K46" s="2">
        <f t="shared" si="22"/>
        <v>1.32056</v>
      </c>
      <c r="L46" s="6">
        <f t="shared" si="24"/>
        <v>0</v>
      </c>
    </row>
    <row r="47" spans="2:19">
      <c r="B47" s="11">
        <v>8</v>
      </c>
      <c r="C47" s="509"/>
      <c r="D47" s="1" t="s">
        <v>15</v>
      </c>
      <c r="E47" s="1" t="s">
        <v>19</v>
      </c>
      <c r="F47" s="1">
        <v>8.2886199999999993E-2</v>
      </c>
      <c r="G47" s="2">
        <f t="shared" si="23"/>
        <v>6438.6000159999994</v>
      </c>
      <c r="H47" s="2">
        <f>-1520-1819-1940-150-0.7768+325-2</f>
        <v>-5106.7767999999996</v>
      </c>
      <c r="I47" s="2">
        <f t="shared" si="21"/>
        <v>1331.8232159999998</v>
      </c>
      <c r="J47" s="83">
        <v>1284.52</v>
      </c>
      <c r="K47" s="2">
        <f t="shared" si="22"/>
        <v>47.303215999999793</v>
      </c>
      <c r="L47" s="6">
        <f t="shared" si="24"/>
        <v>0.79315018595806497</v>
      </c>
    </row>
    <row r="48" spans="2:19">
      <c r="B48" s="11">
        <v>9</v>
      </c>
      <c r="C48" s="509"/>
      <c r="D48" s="1" t="s">
        <v>16</v>
      </c>
      <c r="E48" s="1" t="s">
        <v>19</v>
      </c>
      <c r="F48" s="1">
        <f>0.0361358-0.0015375-0.0002885</f>
        <v>3.4309800000000008E-2</v>
      </c>
      <c r="G48" s="2">
        <f t="shared" si="23"/>
        <v>2665.1852640000006</v>
      </c>
      <c r="H48" s="1">
        <f>-2385-275</f>
        <v>-2660</v>
      </c>
      <c r="I48" s="2">
        <f t="shared" si="21"/>
        <v>5.1852640000006431</v>
      </c>
      <c r="J48" s="1"/>
      <c r="K48" s="2">
        <f t="shared" si="22"/>
        <v>5.1852640000006431</v>
      </c>
      <c r="L48" s="6">
        <f t="shared" si="24"/>
        <v>0.99805444519372044</v>
      </c>
    </row>
    <row r="49" spans="2:12">
      <c r="B49" s="11">
        <v>10</v>
      </c>
      <c r="C49" s="509"/>
      <c r="D49" s="1" t="s">
        <v>17</v>
      </c>
      <c r="E49" s="1" t="s">
        <v>19</v>
      </c>
      <c r="F49" s="1">
        <f>0.1653059+0.00449</f>
        <v>0.1697959</v>
      </c>
      <c r="G49" s="2">
        <f t="shared" si="23"/>
        <v>13189.745512</v>
      </c>
      <c r="H49" s="1">
        <f>-2046-318-3765-740-2332-1119</f>
        <v>-10320</v>
      </c>
      <c r="I49" s="2">
        <f t="shared" si="21"/>
        <v>2869.7455119999995</v>
      </c>
      <c r="J49" s="83">
        <v>2853.2539999999999</v>
      </c>
      <c r="K49" s="2">
        <f t="shared" si="22"/>
        <v>16.491511999999602</v>
      </c>
      <c r="L49" s="6">
        <f>(J49/I49)</f>
        <v>0.99425331900301284</v>
      </c>
    </row>
    <row r="50" spans="2:12">
      <c r="B50" s="11">
        <v>11</v>
      </c>
      <c r="C50" s="509"/>
      <c r="D50" s="1" t="s">
        <v>26</v>
      </c>
      <c r="E50" s="1" t="s">
        <v>19</v>
      </c>
      <c r="F50" s="79">
        <f>0.0015+0.00225+0.00225+0.00225</f>
        <v>8.2500000000000004E-3</v>
      </c>
      <c r="G50" s="2">
        <f t="shared" si="23"/>
        <v>640.86</v>
      </c>
      <c r="H50" s="1">
        <f>-640.86</f>
        <v>-640.86</v>
      </c>
      <c r="I50" s="2">
        <f t="shared" si="21"/>
        <v>0</v>
      </c>
      <c r="J50" s="1"/>
      <c r="K50" s="2">
        <f t="shared" si="22"/>
        <v>0</v>
      </c>
      <c r="L50" s="6">
        <f t="shared" si="24"/>
        <v>1</v>
      </c>
    </row>
    <row r="51" spans="2:12">
      <c r="B51" s="11">
        <v>12</v>
      </c>
      <c r="C51" s="509"/>
      <c r="D51" s="1" t="s">
        <v>27</v>
      </c>
      <c r="E51" s="1" t="s">
        <v>19</v>
      </c>
      <c r="F51" s="1">
        <v>1.35E-2</v>
      </c>
      <c r="G51" s="2">
        <f t="shared" si="23"/>
        <v>1048.68</v>
      </c>
      <c r="H51" s="1">
        <f>-939.6</f>
        <v>-939.6</v>
      </c>
      <c r="I51" s="2">
        <f t="shared" si="21"/>
        <v>109.08000000000004</v>
      </c>
      <c r="J51" s="1"/>
      <c r="K51" s="2">
        <f t="shared" si="22"/>
        <v>109.08000000000004</v>
      </c>
      <c r="L51" s="6">
        <f t="shared" si="24"/>
        <v>0.89598352214212151</v>
      </c>
    </row>
    <row r="52" spans="2:12">
      <c r="B52" s="11">
        <v>13</v>
      </c>
      <c r="C52" s="509"/>
      <c r="D52" s="1" t="s">
        <v>28</v>
      </c>
      <c r="E52" s="1" t="s">
        <v>19</v>
      </c>
      <c r="F52" s="57">
        <f>0.00225+0.00225+0.00225+0.00675</f>
        <v>1.3499999999999998E-2</v>
      </c>
      <c r="G52" s="2">
        <f t="shared" si="23"/>
        <v>1048.6799999999998</v>
      </c>
      <c r="H52" s="1">
        <f>-939.6-109.08</f>
        <v>-1048.68</v>
      </c>
      <c r="I52" s="2">
        <f t="shared" si="21"/>
        <v>0</v>
      </c>
      <c r="J52" s="1"/>
      <c r="K52" s="2">
        <f t="shared" si="22"/>
        <v>0</v>
      </c>
      <c r="L52" s="6">
        <f t="shared" si="24"/>
        <v>1.0000000000000002</v>
      </c>
    </row>
    <row r="53" spans="2:12">
      <c r="B53" s="11">
        <v>14</v>
      </c>
      <c r="C53" s="509"/>
      <c r="D53" s="1" t="s">
        <v>29</v>
      </c>
      <c r="E53" s="1" t="s">
        <v>19</v>
      </c>
      <c r="F53" s="1">
        <f>0.00225+0.00225</f>
        <v>4.4999999999999997E-3</v>
      </c>
      <c r="G53" s="2">
        <f t="shared" si="23"/>
        <v>349.55999999999995</v>
      </c>
      <c r="H53" s="1">
        <f>-312.2-36.36</f>
        <v>-348.56</v>
      </c>
      <c r="I53" s="2">
        <f t="shared" si="21"/>
        <v>0.99999999999994316</v>
      </c>
      <c r="J53" s="1"/>
      <c r="K53" s="2">
        <f t="shared" si="22"/>
        <v>0.99999999999994316</v>
      </c>
      <c r="L53" s="6">
        <f t="shared" si="24"/>
        <v>0.99713926078498705</v>
      </c>
    </row>
    <row r="54" spans="2:12">
      <c r="B54" s="11">
        <v>15</v>
      </c>
      <c r="C54" s="509"/>
      <c r="D54" s="1" t="s">
        <v>30</v>
      </c>
      <c r="E54" s="1" t="s">
        <v>19</v>
      </c>
      <c r="F54" s="1">
        <v>2.2499999999999998E-3</v>
      </c>
      <c r="G54" s="2">
        <f t="shared" si="23"/>
        <v>174.77999999999997</v>
      </c>
      <c r="H54" s="1">
        <f>-156.6-18.18</f>
        <v>-174.78</v>
      </c>
      <c r="I54" s="2">
        <f t="shared" si="21"/>
        <v>0</v>
      </c>
      <c r="J54" s="1"/>
      <c r="K54" s="2">
        <f t="shared" si="22"/>
        <v>0</v>
      </c>
      <c r="L54" s="6">
        <f t="shared" si="24"/>
        <v>1.0000000000000002</v>
      </c>
    </row>
    <row r="55" spans="2:12">
      <c r="B55" s="11">
        <v>16</v>
      </c>
      <c r="C55" s="509"/>
      <c r="D55" s="1" t="s">
        <v>266</v>
      </c>
      <c r="E55" s="1" t="s">
        <v>19</v>
      </c>
      <c r="F55" s="57">
        <f>0.00225+0.00225+0.00225+0.00225</f>
        <v>8.9999999999999993E-3</v>
      </c>
      <c r="G55" s="2">
        <f t="shared" si="23"/>
        <v>699.11999999999989</v>
      </c>
      <c r="H55" s="1">
        <f>-626.4-72.72</f>
        <v>-699.12</v>
      </c>
      <c r="I55" s="2">
        <f t="shared" si="21"/>
        <v>0</v>
      </c>
      <c r="J55" s="1"/>
      <c r="K55" s="2">
        <f t="shared" si="22"/>
        <v>0</v>
      </c>
      <c r="L55" s="6">
        <f t="shared" si="24"/>
        <v>1.0000000000000002</v>
      </c>
    </row>
    <row r="56" spans="2:12">
      <c r="B56" s="11">
        <v>17</v>
      </c>
      <c r="C56" s="509"/>
      <c r="D56" s="1" t="s">
        <v>31</v>
      </c>
      <c r="E56" s="1" t="s">
        <v>19</v>
      </c>
      <c r="F56" s="1">
        <v>2.2499999999999998E-3</v>
      </c>
      <c r="G56" s="5">
        <f t="shared" si="23"/>
        <v>174.77999999999997</v>
      </c>
      <c r="H56" s="1">
        <f>-156.6-18.18</f>
        <v>-174.78</v>
      </c>
      <c r="I56" s="2">
        <f t="shared" si="21"/>
        <v>0</v>
      </c>
      <c r="J56" s="1"/>
      <c r="K56" s="2">
        <f t="shared" si="22"/>
        <v>0</v>
      </c>
      <c r="L56" s="6">
        <f t="shared" si="24"/>
        <v>1.0000000000000002</v>
      </c>
    </row>
    <row r="57" spans="2:12">
      <c r="B57" s="11">
        <v>18</v>
      </c>
      <c r="C57" s="509"/>
      <c r="D57" s="1" t="s">
        <v>32</v>
      </c>
      <c r="E57" s="1" t="s">
        <v>19</v>
      </c>
      <c r="F57" s="1">
        <f>0.00225+0.00225+0.00225</f>
        <v>6.7499999999999991E-3</v>
      </c>
      <c r="G57" s="5">
        <f t="shared" si="23"/>
        <v>524.33999999999992</v>
      </c>
      <c r="H57" s="1">
        <f>-469.8-54.54</f>
        <v>-524.34</v>
      </c>
      <c r="I57" s="2">
        <f t="shared" si="21"/>
        <v>0</v>
      </c>
      <c r="J57" s="1"/>
      <c r="K57" s="2">
        <f t="shared" si="22"/>
        <v>0</v>
      </c>
      <c r="L57" s="6">
        <f t="shared" si="24"/>
        <v>1.0000000000000002</v>
      </c>
    </row>
    <row r="58" spans="2:12">
      <c r="B58" s="11">
        <v>19</v>
      </c>
      <c r="C58" s="509"/>
      <c r="D58" s="1" t="s">
        <v>33</v>
      </c>
      <c r="E58" s="1" t="s">
        <v>19</v>
      </c>
      <c r="F58" s="1">
        <f>0.003+0.00215+0.0225</f>
        <v>2.7650000000000001E-2</v>
      </c>
      <c r="G58" s="5">
        <f t="shared" si="23"/>
        <v>2147.8519999999999</v>
      </c>
      <c r="H58" s="1">
        <f>-1924.44</f>
        <v>-1924.44</v>
      </c>
      <c r="I58" s="2">
        <f t="shared" si="21"/>
        <v>223.41199999999981</v>
      </c>
      <c r="J58" s="1"/>
      <c r="K58" s="2">
        <f t="shared" si="22"/>
        <v>223.41199999999981</v>
      </c>
      <c r="L58" s="6">
        <f t="shared" si="24"/>
        <v>0.89598352214212162</v>
      </c>
    </row>
    <row r="59" spans="2:12">
      <c r="B59" s="11">
        <v>20</v>
      </c>
      <c r="C59" s="509"/>
      <c r="D59" s="1" t="s">
        <v>34</v>
      </c>
      <c r="E59" s="1" t="s">
        <v>19</v>
      </c>
      <c r="F59" s="1">
        <v>1.0000000000000001E-5</v>
      </c>
      <c r="G59" s="5">
        <f t="shared" si="23"/>
        <v>0.77680000000000005</v>
      </c>
      <c r="H59" s="1"/>
      <c r="I59" s="2">
        <f t="shared" si="21"/>
        <v>0.77680000000000005</v>
      </c>
      <c r="J59" s="1"/>
      <c r="K59" s="2">
        <f t="shared" si="22"/>
        <v>0.77680000000000005</v>
      </c>
      <c r="L59" s="6">
        <f t="shared" si="24"/>
        <v>0</v>
      </c>
    </row>
    <row r="60" spans="2:12">
      <c r="B60" s="11">
        <v>21</v>
      </c>
      <c r="C60" s="509"/>
      <c r="D60" s="1" t="s">
        <v>214</v>
      </c>
      <c r="E60" s="1" t="s">
        <v>19</v>
      </c>
      <c r="F60" s="1">
        <v>4.3109999999999997E-3</v>
      </c>
      <c r="G60" s="5">
        <f t="shared" si="23"/>
        <v>334.87847999999997</v>
      </c>
      <c r="H60" s="1">
        <f>-298-36</f>
        <v>-334</v>
      </c>
      <c r="I60" s="2">
        <f t="shared" si="21"/>
        <v>0.87847999999996773</v>
      </c>
      <c r="J60" s="1"/>
      <c r="K60" s="2">
        <f t="shared" si="22"/>
        <v>0.87847999999996773</v>
      </c>
      <c r="L60" s="6">
        <f t="shared" si="24"/>
        <v>0.99737672005678013</v>
      </c>
    </row>
    <row r="61" spans="2:12" s="11" customFormat="1">
      <c r="B61" s="11">
        <v>22</v>
      </c>
      <c r="C61" s="509"/>
      <c r="D61" s="1" t="s">
        <v>292</v>
      </c>
      <c r="E61" s="1" t="s">
        <v>19</v>
      </c>
      <c r="F61" s="1">
        <v>1.0000000000000001E-5</v>
      </c>
      <c r="G61" s="5">
        <f t="shared" ref="G61:G62" si="25">F61*$E$38</f>
        <v>0.77680000000000005</v>
      </c>
      <c r="H61" s="1">
        <f>0.7768</f>
        <v>0.77680000000000005</v>
      </c>
      <c r="I61" s="2">
        <f t="shared" ref="I61:I62" si="26">G61+H61</f>
        <v>1.5536000000000001</v>
      </c>
      <c r="J61" s="1"/>
      <c r="K61" s="2">
        <f t="shared" ref="K61:K62" si="27">I61-J61</f>
        <v>1.5536000000000001</v>
      </c>
      <c r="L61" s="6">
        <f>(H61/G61)</f>
        <v>1</v>
      </c>
    </row>
    <row r="62" spans="2:12" s="11" customFormat="1">
      <c r="B62" s="11">
        <v>23</v>
      </c>
      <c r="C62" s="509"/>
      <c r="D62" s="1" t="s">
        <v>758</v>
      </c>
      <c r="E62" s="1" t="s">
        <v>19</v>
      </c>
      <c r="F62" s="1">
        <v>1.5375E-3</v>
      </c>
      <c r="G62" s="5">
        <f t="shared" si="25"/>
        <v>119.43300000000001</v>
      </c>
      <c r="H62" s="1">
        <f>-119</f>
        <v>-119</v>
      </c>
      <c r="I62" s="2">
        <f t="shared" si="26"/>
        <v>0.43300000000000693</v>
      </c>
      <c r="J62" s="1"/>
      <c r="K62" s="2">
        <f t="shared" si="27"/>
        <v>0.43300000000000693</v>
      </c>
      <c r="L62" s="6">
        <f t="shared" ref="L62" si="28">(H62/G62)*-1</f>
        <v>0.99637453635092477</v>
      </c>
    </row>
    <row r="63" spans="2:12" s="11" customFormat="1">
      <c r="B63" s="11">
        <v>24</v>
      </c>
      <c r="C63" s="509"/>
      <c r="D63" s="1" t="s">
        <v>759</v>
      </c>
      <c r="E63" s="1" t="s">
        <v>19</v>
      </c>
      <c r="F63" s="1">
        <v>2.8850000000000002E-4</v>
      </c>
      <c r="G63" s="5">
        <f t="shared" si="23"/>
        <v>22.410680000000003</v>
      </c>
      <c r="H63" s="1"/>
      <c r="I63" s="2">
        <f t="shared" si="21"/>
        <v>22.410680000000003</v>
      </c>
      <c r="J63" s="1"/>
      <c r="K63" s="2">
        <f t="shared" si="22"/>
        <v>22.410680000000003</v>
      </c>
      <c r="L63" s="6">
        <f t="shared" si="24"/>
        <v>0</v>
      </c>
    </row>
    <row r="64" spans="2:12">
      <c r="B64" s="11"/>
      <c r="C64" s="509"/>
      <c r="D64" s="7" t="s">
        <v>229</v>
      </c>
      <c r="E64" s="7" t="s">
        <v>19</v>
      </c>
      <c r="F64" s="142">
        <f>SUM(F40:F63)</f>
        <v>1.0000001999999997</v>
      </c>
      <c r="G64" s="8">
        <f>SUM(G40:G63)</f>
        <v>77680.015535999977</v>
      </c>
      <c r="H64" s="7">
        <f>SUM(H40:H63)</f>
        <v>-71604.683999999979</v>
      </c>
      <c r="I64" s="8">
        <f t="shared" si="21"/>
        <v>6075.3315359999979</v>
      </c>
      <c r="J64" s="7">
        <f>SUM(J40:J63)</f>
        <v>5445.5910000000003</v>
      </c>
      <c r="K64" s="8">
        <f t="shared" si="22"/>
        <v>629.74053599999752</v>
      </c>
      <c r="L64" s="10">
        <f t="shared" si="24"/>
        <v>0.92179028938035612</v>
      </c>
    </row>
  </sheetData>
  <mergeCells count="5">
    <mergeCell ref="C7:C33"/>
    <mergeCell ref="C2:L2"/>
    <mergeCell ref="C3:L3"/>
    <mergeCell ref="C40:C64"/>
    <mergeCell ref="O5:T5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Q137"/>
  <sheetViews>
    <sheetView topLeftCell="C1" zoomScale="80" zoomScaleNormal="80" workbookViewId="0">
      <pane ySplit="5" topLeftCell="A110" activePane="bottomLeft" state="frozen"/>
      <selection activeCell="B1" sqref="B1"/>
      <selection pane="bottomLeft" activeCell="K133" sqref="K133"/>
    </sheetView>
  </sheetViews>
  <sheetFormatPr baseColWidth="10" defaultRowHeight="15"/>
  <cols>
    <col min="1" max="2" width="11.42578125" style="11"/>
    <col min="3" max="3" width="13.28515625" style="11" customWidth="1"/>
    <col min="4" max="4" width="74.28515625" style="11" customWidth="1"/>
    <col min="5" max="5" width="12.140625" style="11" customWidth="1"/>
    <col min="6" max="6" width="14.5703125" style="11" bestFit="1" customWidth="1"/>
    <col min="7" max="7" width="12.7109375" style="11" customWidth="1"/>
    <col min="8" max="8" width="13.7109375" style="11" bestFit="1" customWidth="1"/>
    <col min="9" max="11" width="11.42578125" style="11"/>
    <col min="12" max="12" width="13.42578125" style="11" bestFit="1" customWidth="1"/>
    <col min="13" max="13" width="11.42578125" style="11"/>
    <col min="14" max="14" width="11.42578125" style="11" customWidth="1"/>
    <col min="15" max="15" width="10.140625" style="11" customWidth="1"/>
    <col min="16" max="16384" width="11.42578125" style="11"/>
  </cols>
  <sheetData>
    <row r="2" spans="2:17" ht="18.75">
      <c r="C2" s="517" t="s">
        <v>309</v>
      </c>
      <c r="D2" s="517"/>
      <c r="E2" s="517"/>
      <c r="F2" s="517"/>
      <c r="G2" s="517"/>
      <c r="H2" s="517"/>
      <c r="I2" s="517"/>
      <c r="J2" s="517"/>
      <c r="K2" s="517"/>
      <c r="L2" s="517"/>
      <c r="M2" s="517"/>
    </row>
    <row r="3" spans="2:17">
      <c r="C3" s="518"/>
      <c r="D3" s="519"/>
      <c r="E3" s="519"/>
      <c r="F3" s="519"/>
      <c r="G3" s="519"/>
      <c r="H3" s="519"/>
      <c r="I3" s="519"/>
      <c r="J3" s="519"/>
      <c r="K3" s="519"/>
      <c r="L3" s="519"/>
      <c r="M3" s="519"/>
    </row>
    <row r="5" spans="2:17" ht="39" customHeight="1">
      <c r="C5" s="13" t="s">
        <v>38</v>
      </c>
      <c r="D5" s="13" t="s">
        <v>35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30" t="s">
        <v>184</v>
      </c>
      <c r="K5" s="13" t="s">
        <v>5</v>
      </c>
      <c r="L5" s="13" t="s">
        <v>6</v>
      </c>
      <c r="M5" s="14" t="s">
        <v>37</v>
      </c>
    </row>
    <row r="6" spans="2:17">
      <c r="O6" s="11">
        <v>11504</v>
      </c>
      <c r="P6" s="493" t="s">
        <v>802</v>
      </c>
      <c r="Q6" s="493" t="s">
        <v>803</v>
      </c>
    </row>
    <row r="7" spans="2:17" ht="15" customHeight="1">
      <c r="B7" s="11">
        <v>1</v>
      </c>
      <c r="C7" s="520" t="s">
        <v>39</v>
      </c>
      <c r="D7" s="15" t="s">
        <v>130</v>
      </c>
      <c r="E7" s="1" t="s">
        <v>19</v>
      </c>
      <c r="F7" s="1">
        <v>11249.371999999999</v>
      </c>
      <c r="G7" s="1">
        <f>-2100-700-3786.25-1400-2943</f>
        <v>-10929.25</v>
      </c>
      <c r="H7" s="1">
        <f t="shared" ref="H7:H12" si="0">F7+G7</f>
        <v>320.12199999999939</v>
      </c>
      <c r="I7" s="75">
        <v>0.58399999999999996</v>
      </c>
      <c r="J7" s="1"/>
      <c r="K7" s="1">
        <f t="shared" ref="K7:K13" si="1">H7-(I7+J7)</f>
        <v>319.53799999999939</v>
      </c>
      <c r="L7" s="3">
        <f>(G7/F7)*-1</f>
        <v>0.97154312258497633</v>
      </c>
      <c r="M7" s="107" t="s">
        <v>284</v>
      </c>
      <c r="P7" s="490">
        <v>97.786609999999996</v>
      </c>
      <c r="Q7" s="491">
        <f>P7*$O$6/100</f>
        <v>11249.371614399999</v>
      </c>
    </row>
    <row r="8" spans="2:17">
      <c r="B8" s="11">
        <v>2</v>
      </c>
      <c r="C8" s="521"/>
      <c r="D8" s="15" t="s">
        <v>282</v>
      </c>
      <c r="E8" s="1" t="s">
        <v>19</v>
      </c>
      <c r="F8" s="1">
        <v>196.458</v>
      </c>
      <c r="G8" s="1">
        <f>-140.478-51.095</f>
        <v>-191.57300000000001</v>
      </c>
      <c r="H8" s="1">
        <f t="shared" si="0"/>
        <v>4.8849999999999909</v>
      </c>
      <c r="I8" s="78"/>
      <c r="J8" s="1"/>
      <c r="K8" s="1">
        <f t="shared" si="1"/>
        <v>4.8849999999999909</v>
      </c>
      <c r="L8" s="3">
        <f>(G8/F8)*-1</f>
        <v>0.97513463437477732</v>
      </c>
      <c r="M8" s="139" t="s">
        <v>284</v>
      </c>
      <c r="P8" s="490">
        <v>1.70773</v>
      </c>
      <c r="Q8" s="491">
        <f t="shared" ref="Q8:Q12" si="2">P8*$O$6/100</f>
        <v>196.45725920000001</v>
      </c>
    </row>
    <row r="9" spans="2:17">
      <c r="B9" s="11">
        <v>3</v>
      </c>
      <c r="C9" s="521"/>
      <c r="D9" s="16" t="s">
        <v>132</v>
      </c>
      <c r="E9" s="1" t="s">
        <v>19</v>
      </c>
      <c r="F9" s="1">
        <v>0.17299999999999999</v>
      </c>
      <c r="G9" s="1"/>
      <c r="H9" s="1">
        <f t="shared" si="0"/>
        <v>0.17299999999999999</v>
      </c>
      <c r="I9" s="78"/>
      <c r="J9" s="1"/>
      <c r="K9" s="1">
        <f t="shared" si="1"/>
        <v>0.17299999999999999</v>
      </c>
      <c r="L9" s="3">
        <f t="shared" ref="L9:L13" si="3">I9/H9</f>
        <v>0</v>
      </c>
      <c r="M9" s="25" t="s">
        <v>284</v>
      </c>
      <c r="P9" s="490">
        <v>7.5410000000000005E-2</v>
      </c>
      <c r="Q9" s="491">
        <f t="shared" si="2"/>
        <v>8.6751664000000002</v>
      </c>
    </row>
    <row r="10" spans="2:17">
      <c r="B10" s="11">
        <v>4</v>
      </c>
      <c r="C10" s="521"/>
      <c r="D10" s="16" t="s">
        <v>262</v>
      </c>
      <c r="E10" s="1" t="s">
        <v>19</v>
      </c>
      <c r="F10" s="1">
        <v>8.6750000000000007</v>
      </c>
      <c r="G10" s="1"/>
      <c r="H10" s="1">
        <f t="shared" si="0"/>
        <v>8.6750000000000007</v>
      </c>
      <c r="I10" s="78"/>
      <c r="J10" s="1"/>
      <c r="K10" s="1">
        <f t="shared" si="1"/>
        <v>8.6750000000000007</v>
      </c>
      <c r="L10" s="3">
        <f t="shared" si="3"/>
        <v>0</v>
      </c>
      <c r="M10" s="25" t="s">
        <v>284</v>
      </c>
      <c r="P10" s="490">
        <v>2.5000000000000001E-4</v>
      </c>
      <c r="Q10" s="491">
        <f t="shared" si="2"/>
        <v>2.8759999999999997E-2</v>
      </c>
    </row>
    <row r="11" spans="2:17">
      <c r="B11" s="11">
        <v>5</v>
      </c>
      <c r="C11" s="521"/>
      <c r="D11" s="16" t="s">
        <v>263</v>
      </c>
      <c r="E11" s="1" t="s">
        <v>19</v>
      </c>
      <c r="F11" s="1">
        <v>2.9000000000000001E-2</v>
      </c>
      <c r="G11" s="1"/>
      <c r="H11" s="1">
        <f t="shared" si="0"/>
        <v>2.9000000000000001E-2</v>
      </c>
      <c r="I11" s="78"/>
      <c r="J11" s="1"/>
      <c r="K11" s="1">
        <f t="shared" si="1"/>
        <v>2.9000000000000001E-2</v>
      </c>
      <c r="L11" s="3">
        <f t="shared" si="3"/>
        <v>0</v>
      </c>
      <c r="M11" s="25" t="s">
        <v>284</v>
      </c>
      <c r="P11" s="490">
        <v>1.5E-3</v>
      </c>
      <c r="Q11" s="491">
        <f t="shared" si="2"/>
        <v>0.17255999999999999</v>
      </c>
    </row>
    <row r="12" spans="2:17">
      <c r="B12" s="11">
        <v>6</v>
      </c>
      <c r="C12" s="521"/>
      <c r="D12" s="15" t="s">
        <v>133</v>
      </c>
      <c r="E12" s="1" t="s">
        <v>19</v>
      </c>
      <c r="F12" s="1">
        <v>49.293999999999997</v>
      </c>
      <c r="G12" s="1"/>
      <c r="H12" s="1">
        <f t="shared" si="0"/>
        <v>49.293999999999997</v>
      </c>
      <c r="I12" s="75"/>
      <c r="J12" s="1"/>
      <c r="K12" s="1">
        <f t="shared" si="1"/>
        <v>49.293999999999997</v>
      </c>
      <c r="L12" s="3">
        <f t="shared" si="3"/>
        <v>0</v>
      </c>
      <c r="M12" s="107" t="s">
        <v>284</v>
      </c>
      <c r="P12" s="490">
        <v>0.42848999999999998</v>
      </c>
      <c r="Q12" s="491">
        <f t="shared" si="2"/>
        <v>49.293489599999994</v>
      </c>
    </row>
    <row r="13" spans="2:17">
      <c r="C13" s="521"/>
      <c r="D13" s="45" t="s">
        <v>234</v>
      </c>
      <c r="E13" s="1" t="s">
        <v>19</v>
      </c>
      <c r="F13" s="1">
        <f>SUM(F7:F12)</f>
        <v>11504.001</v>
      </c>
      <c r="G13" s="1">
        <f>SUM(G7:G12)</f>
        <v>-11120.823</v>
      </c>
      <c r="H13" s="1">
        <f>SUM(H7:H12)</f>
        <v>383.17799999999937</v>
      </c>
      <c r="I13" s="25">
        <f>SUM(I7:I12)</f>
        <v>0.58399999999999996</v>
      </c>
      <c r="J13" s="1">
        <f>SUM(J7:J12)</f>
        <v>0</v>
      </c>
      <c r="K13" s="1">
        <f t="shared" si="1"/>
        <v>382.59399999999937</v>
      </c>
      <c r="L13" s="3">
        <f t="shared" si="3"/>
        <v>1.5240958510144135E-3</v>
      </c>
      <c r="M13" s="47" t="s">
        <v>284</v>
      </c>
    </row>
    <row r="14" spans="2:17">
      <c r="I14" s="51"/>
      <c r="M14" s="51"/>
    </row>
    <row r="15" spans="2:17" ht="15.75" customHeight="1">
      <c r="C15" s="522" t="s">
        <v>40</v>
      </c>
      <c r="D15" s="17" t="s">
        <v>249</v>
      </c>
      <c r="E15" s="1" t="s">
        <v>19</v>
      </c>
      <c r="F15" s="1">
        <v>74</v>
      </c>
      <c r="G15" s="81">
        <v>0</v>
      </c>
      <c r="H15" s="81">
        <f>F15+G15</f>
        <v>74</v>
      </c>
      <c r="I15" s="75">
        <v>0</v>
      </c>
      <c r="J15" s="1"/>
      <c r="K15" s="1">
        <f>H15-(I15+J15)</f>
        <v>74</v>
      </c>
      <c r="L15" s="3">
        <f>I15/H15</f>
        <v>0</v>
      </c>
      <c r="M15" s="25" t="s">
        <v>284</v>
      </c>
    </row>
    <row r="16" spans="2:17" ht="18.75" customHeight="1">
      <c r="C16" s="523"/>
      <c r="D16" s="17" t="s">
        <v>235</v>
      </c>
      <c r="E16" s="25" t="s">
        <v>19</v>
      </c>
      <c r="F16" s="1">
        <f>F15</f>
        <v>74</v>
      </c>
      <c r="G16" s="1">
        <f>G15</f>
        <v>0</v>
      </c>
      <c r="H16" s="1">
        <f>F16+G16</f>
        <v>74</v>
      </c>
      <c r="I16" s="25">
        <f>I15</f>
        <v>0</v>
      </c>
      <c r="J16" s="1">
        <f>J15</f>
        <v>0</v>
      </c>
      <c r="K16" s="1">
        <f>H16-(I16+J16)</f>
        <v>74</v>
      </c>
      <c r="L16" s="41">
        <f>I16/H16</f>
        <v>0</v>
      </c>
      <c r="M16" s="25" t="s">
        <v>284</v>
      </c>
    </row>
    <row r="17" spans="2:13">
      <c r="I17" s="51"/>
      <c r="M17" s="51"/>
    </row>
    <row r="18" spans="2:13" ht="15" customHeight="1">
      <c r="C18" s="524" t="s">
        <v>41</v>
      </c>
      <c r="D18" s="15" t="s">
        <v>127</v>
      </c>
      <c r="E18" s="1" t="s">
        <v>19</v>
      </c>
      <c r="F18" s="1">
        <v>719.38499999999999</v>
      </c>
      <c r="G18" s="1">
        <f>-514.097</f>
        <v>-514.09699999999998</v>
      </c>
      <c r="H18" s="1">
        <f>F18+G18</f>
        <v>205.28800000000001</v>
      </c>
      <c r="I18" s="75"/>
      <c r="J18" s="1"/>
      <c r="K18" s="1">
        <f>H18-(I18+J18)</f>
        <v>205.28800000000001</v>
      </c>
      <c r="L18" s="3">
        <f>(G18/F18)*-1</f>
        <v>0.71463402767641804</v>
      </c>
      <c r="M18" s="25" t="s">
        <v>284</v>
      </c>
    </row>
    <row r="19" spans="2:13">
      <c r="C19" s="524"/>
      <c r="D19" s="15" t="s">
        <v>128</v>
      </c>
      <c r="E19" s="1" t="s">
        <v>19</v>
      </c>
      <c r="F19" s="1">
        <v>390.04899999999998</v>
      </c>
      <c r="G19" s="1">
        <f>-278.742-101.4</f>
        <v>-380.14200000000005</v>
      </c>
      <c r="H19" s="1">
        <f>F19+G19</f>
        <v>9.9069999999999254</v>
      </c>
      <c r="I19" s="25"/>
      <c r="J19" s="1"/>
      <c r="K19" s="1">
        <f t="shared" ref="K19:K84" si="4">H19-(I19+J19)</f>
        <v>9.9069999999999254</v>
      </c>
      <c r="L19" s="3">
        <f>(G19/F19)*-1</f>
        <v>0.97460062710069784</v>
      </c>
      <c r="M19" s="25" t="s">
        <v>284</v>
      </c>
    </row>
    <row r="20" spans="2:13">
      <c r="C20" s="524"/>
      <c r="D20" s="15" t="s">
        <v>129</v>
      </c>
      <c r="E20" s="1" t="s">
        <v>19</v>
      </c>
      <c r="F20" s="1">
        <v>120.566</v>
      </c>
      <c r="G20" s="1"/>
      <c r="H20" s="1">
        <f>F20+G20</f>
        <v>120.566</v>
      </c>
      <c r="I20" s="25"/>
      <c r="J20" s="1"/>
      <c r="K20" s="1">
        <f t="shared" si="4"/>
        <v>120.566</v>
      </c>
      <c r="L20" s="3">
        <f>I20/H20</f>
        <v>0</v>
      </c>
      <c r="M20" s="25" t="s">
        <v>284</v>
      </c>
    </row>
    <row r="21" spans="2:13">
      <c r="C21" s="524"/>
      <c r="D21" s="15" t="s">
        <v>236</v>
      </c>
      <c r="E21" s="25" t="s">
        <v>19</v>
      </c>
      <c r="F21" s="1">
        <f>SUM(F18:F20)</f>
        <v>1230</v>
      </c>
      <c r="G21" s="1">
        <f>SUM(G18:G20)</f>
        <v>-894.23900000000003</v>
      </c>
      <c r="H21" s="25">
        <f>F21+G21</f>
        <v>335.76099999999997</v>
      </c>
      <c r="I21" s="25">
        <f>SUM(I18:I20)</f>
        <v>0</v>
      </c>
      <c r="J21" s="1"/>
      <c r="K21" s="25">
        <f t="shared" si="4"/>
        <v>335.76099999999997</v>
      </c>
      <c r="L21" s="41">
        <f>I21/H21</f>
        <v>0</v>
      </c>
      <c r="M21" s="25" t="s">
        <v>284</v>
      </c>
    </row>
    <row r="22" spans="2:13">
      <c r="I22" s="51"/>
      <c r="M22" s="51"/>
    </row>
    <row r="23" spans="2:13" ht="15" customHeight="1">
      <c r="B23" s="11">
        <v>1</v>
      </c>
      <c r="C23" s="513" t="s">
        <v>42</v>
      </c>
      <c r="D23" s="16" t="s">
        <v>47</v>
      </c>
      <c r="E23" s="1" t="s">
        <v>19</v>
      </c>
      <c r="F23" s="2">
        <v>206.41900000000001</v>
      </c>
      <c r="G23" s="1">
        <f>-84-41.9</f>
        <v>-125.9</v>
      </c>
      <c r="H23" s="1">
        <f t="shared" ref="H23:H49" si="5">F23+G23</f>
        <v>80.519000000000005</v>
      </c>
      <c r="I23" s="280">
        <v>24.950998443603517</v>
      </c>
      <c r="J23" s="1"/>
      <c r="K23" s="1">
        <f t="shared" si="4"/>
        <v>55.568001556396489</v>
      </c>
      <c r="L23" s="3">
        <f>I23/H23</f>
        <v>0.3098771525180829</v>
      </c>
      <c r="M23" s="356">
        <v>44637</v>
      </c>
    </row>
    <row r="24" spans="2:13">
      <c r="B24" s="11">
        <v>2</v>
      </c>
      <c r="C24" s="514"/>
      <c r="D24" s="15" t="s">
        <v>172</v>
      </c>
      <c r="E24" s="1" t="s">
        <v>19</v>
      </c>
      <c r="F24" s="2">
        <v>190.92</v>
      </c>
      <c r="G24" s="1">
        <f>-99</f>
        <v>-99</v>
      </c>
      <c r="H24" s="1">
        <f t="shared" si="5"/>
        <v>91.919999999999987</v>
      </c>
      <c r="I24" s="280">
        <v>0</v>
      </c>
      <c r="J24" s="1"/>
      <c r="K24" s="1">
        <f t="shared" si="4"/>
        <v>91.919999999999987</v>
      </c>
      <c r="L24" s="3">
        <f>I24/H24</f>
        <v>0</v>
      </c>
      <c r="M24" s="25" t="s">
        <v>284</v>
      </c>
    </row>
    <row r="25" spans="2:13">
      <c r="B25" s="11">
        <v>3</v>
      </c>
      <c r="C25" s="514"/>
      <c r="D25" s="15" t="s">
        <v>48</v>
      </c>
      <c r="E25" s="1" t="s">
        <v>19</v>
      </c>
      <c r="F25" s="2">
        <v>850.29100000000005</v>
      </c>
      <c r="G25" s="1">
        <f>-164-246</f>
        <v>-410</v>
      </c>
      <c r="H25" s="1">
        <f t="shared" si="5"/>
        <v>440.29100000000005</v>
      </c>
      <c r="I25" s="280">
        <v>120.3430000002384</v>
      </c>
      <c r="J25" s="1"/>
      <c r="K25" s="1">
        <f t="shared" si="4"/>
        <v>319.94799999976163</v>
      </c>
      <c r="L25" s="3">
        <f t="shared" ref="L25:L90" si="6">I25/H25</f>
        <v>0.27332605027183926</v>
      </c>
      <c r="M25" s="25" t="s">
        <v>284</v>
      </c>
    </row>
    <row r="26" spans="2:13">
      <c r="B26" s="11">
        <v>4</v>
      </c>
      <c r="C26" s="514"/>
      <c r="D26" s="15" t="s">
        <v>49</v>
      </c>
      <c r="E26" s="1" t="s">
        <v>19</v>
      </c>
      <c r="F26" s="2">
        <v>2325.2040000000002</v>
      </c>
      <c r="G26" s="1">
        <f>-35-1-1-1</f>
        <v>-38</v>
      </c>
      <c r="H26" s="1">
        <f t="shared" si="5"/>
        <v>2287.2040000000002</v>
      </c>
      <c r="I26" s="285">
        <v>1532.1050014648438</v>
      </c>
      <c r="J26" s="1"/>
      <c r="K26" s="1">
        <f t="shared" si="4"/>
        <v>755.0989985351564</v>
      </c>
      <c r="L26" s="3">
        <f t="shared" si="6"/>
        <v>0.66985935730474577</v>
      </c>
      <c r="M26" s="25" t="s">
        <v>284</v>
      </c>
    </row>
    <row r="27" spans="2:13">
      <c r="B27" s="11">
        <v>5</v>
      </c>
      <c r="C27" s="514"/>
      <c r="D27" s="16" t="s">
        <v>50</v>
      </c>
      <c r="E27" s="1" t="s">
        <v>19</v>
      </c>
      <c r="F27" s="2">
        <v>2285.8490000000002</v>
      </c>
      <c r="G27" s="1">
        <f>-100-391-100-412.9-412.9-50-142-518.7-80-20-27+50</f>
        <v>-2204.5</v>
      </c>
      <c r="H27" s="1">
        <f t="shared" si="5"/>
        <v>81.34900000000016</v>
      </c>
      <c r="I27" s="280">
        <v>0</v>
      </c>
      <c r="J27" s="1"/>
      <c r="K27" s="1">
        <f t="shared" si="4"/>
        <v>81.34900000000016</v>
      </c>
      <c r="L27" s="3">
        <f>(G27/F27)*-1</f>
        <v>0.96441190997305593</v>
      </c>
      <c r="M27" s="25" t="s">
        <v>284</v>
      </c>
    </row>
    <row r="28" spans="2:13">
      <c r="B28" s="11">
        <v>6</v>
      </c>
      <c r="C28" s="514"/>
      <c r="D28" s="15" t="s">
        <v>51</v>
      </c>
      <c r="E28" s="1" t="s">
        <v>19</v>
      </c>
      <c r="F28" s="2">
        <v>3951.165</v>
      </c>
      <c r="G28" s="1">
        <f>-500-100</f>
        <v>-600</v>
      </c>
      <c r="H28" s="1">
        <f t="shared" si="5"/>
        <v>3351.165</v>
      </c>
      <c r="I28" s="285">
        <v>2855.4339397277831</v>
      </c>
      <c r="J28" s="1"/>
      <c r="K28" s="1">
        <f t="shared" si="4"/>
        <v>495.73106027221684</v>
      </c>
      <c r="L28" s="3">
        <f t="shared" si="6"/>
        <v>0.85207202263325832</v>
      </c>
      <c r="M28" s="25" t="s">
        <v>284</v>
      </c>
    </row>
    <row r="29" spans="2:13">
      <c r="B29" s="11">
        <v>7</v>
      </c>
      <c r="C29" s="514"/>
      <c r="D29" s="15" t="s">
        <v>52</v>
      </c>
      <c r="E29" s="1" t="s">
        <v>19</v>
      </c>
      <c r="F29" s="2">
        <v>5984.2510000000002</v>
      </c>
      <c r="G29" s="1">
        <f>30</f>
        <v>30</v>
      </c>
      <c r="H29" s="1">
        <f t="shared" si="5"/>
        <v>6014.2510000000002</v>
      </c>
      <c r="I29" s="285">
        <v>5471.6710043745043</v>
      </c>
      <c r="J29" s="1"/>
      <c r="K29" s="1">
        <f t="shared" si="4"/>
        <v>542.57999562549594</v>
      </c>
      <c r="L29" s="3">
        <f t="shared" si="6"/>
        <v>0.90978427810453943</v>
      </c>
      <c r="M29" s="25" t="s">
        <v>284</v>
      </c>
    </row>
    <row r="30" spans="2:13">
      <c r="B30" s="11">
        <v>8</v>
      </c>
      <c r="C30" s="514"/>
      <c r="D30" s="15" t="s">
        <v>53</v>
      </c>
      <c r="E30" s="1" t="s">
        <v>19</v>
      </c>
      <c r="F30" s="2">
        <v>2275.3159999999998</v>
      </c>
      <c r="G30" s="1"/>
      <c r="H30" s="1">
        <f t="shared" si="5"/>
        <v>2275.3159999999998</v>
      </c>
      <c r="I30" s="285">
        <v>1876.7959897484784</v>
      </c>
      <c r="J30" s="1"/>
      <c r="K30" s="1">
        <f t="shared" si="4"/>
        <v>398.5200102515214</v>
      </c>
      <c r="L30" s="3">
        <f t="shared" si="6"/>
        <v>0.82485069755079232</v>
      </c>
      <c r="M30" s="25" t="s">
        <v>284</v>
      </c>
    </row>
    <row r="31" spans="2:13">
      <c r="B31" s="11">
        <v>9</v>
      </c>
      <c r="C31" s="514"/>
      <c r="D31" s="15" t="s">
        <v>54</v>
      </c>
      <c r="E31" s="1" t="s">
        <v>19</v>
      </c>
      <c r="F31" s="2">
        <v>2713.6869999999999</v>
      </c>
      <c r="G31" s="1">
        <f>-5-440</f>
        <v>-445</v>
      </c>
      <c r="H31" s="1">
        <f t="shared" si="5"/>
        <v>2268.6869999999999</v>
      </c>
      <c r="I31" s="285">
        <v>2682.5519999999997</v>
      </c>
      <c r="J31" s="1"/>
      <c r="K31" s="1">
        <f t="shared" si="4"/>
        <v>-413.86499999999978</v>
      </c>
      <c r="L31" s="3">
        <f t="shared" si="6"/>
        <v>1.1824249003939282</v>
      </c>
      <c r="M31" s="25" t="s">
        <v>284</v>
      </c>
    </row>
    <row r="32" spans="2:13">
      <c r="B32" s="11">
        <v>10</v>
      </c>
      <c r="C32" s="514"/>
      <c r="D32" s="15" t="s">
        <v>55</v>
      </c>
      <c r="E32" s="1" t="s">
        <v>19</v>
      </c>
      <c r="F32" s="2">
        <v>268.97899999999998</v>
      </c>
      <c r="G32" s="1">
        <f>-20</f>
        <v>-20</v>
      </c>
      <c r="H32" s="1">
        <f t="shared" si="5"/>
        <v>248.97899999999998</v>
      </c>
      <c r="I32" s="280">
        <v>209.56100053024292</v>
      </c>
      <c r="J32" s="1"/>
      <c r="K32" s="1">
        <f t="shared" si="4"/>
        <v>39.417999469757063</v>
      </c>
      <c r="L32" s="3">
        <f t="shared" si="6"/>
        <v>0.84168142907732357</v>
      </c>
      <c r="M32" s="25" t="s">
        <v>284</v>
      </c>
    </row>
    <row r="33" spans="2:13">
      <c r="B33" s="11">
        <v>11</v>
      </c>
      <c r="C33" s="514"/>
      <c r="D33" s="15" t="s">
        <v>56</v>
      </c>
      <c r="E33" s="1" t="s">
        <v>19</v>
      </c>
      <c r="F33" s="2">
        <v>2515.8960000000002</v>
      </c>
      <c r="G33" s="1">
        <f>-100</f>
        <v>-100</v>
      </c>
      <c r="H33" s="1">
        <f t="shared" si="5"/>
        <v>2415.8960000000002</v>
      </c>
      <c r="I33" s="285">
        <v>2713.7510000000002</v>
      </c>
      <c r="J33" s="1"/>
      <c r="K33" s="1">
        <f t="shared" si="4"/>
        <v>-297.85500000000002</v>
      </c>
      <c r="L33" s="3">
        <f t="shared" si="6"/>
        <v>1.1232896614754939</v>
      </c>
      <c r="M33" s="25" t="s">
        <v>284</v>
      </c>
    </row>
    <row r="34" spans="2:13">
      <c r="B34" s="11">
        <v>12</v>
      </c>
      <c r="C34" s="514"/>
      <c r="D34" s="15" t="s">
        <v>276</v>
      </c>
      <c r="E34" s="1" t="s">
        <v>19</v>
      </c>
      <c r="F34" s="2">
        <v>3543.35</v>
      </c>
      <c r="G34" s="1">
        <f>20+20+8+2448.75+40+2.9+17.7+10+89+800+36+223+100</f>
        <v>3815.35</v>
      </c>
      <c r="H34" s="1">
        <f t="shared" si="5"/>
        <v>7358.7</v>
      </c>
      <c r="I34" s="285">
        <v>6895.0530576171859</v>
      </c>
      <c r="J34" s="1"/>
      <c r="K34" s="1">
        <f t="shared" si="4"/>
        <v>463.6469423828139</v>
      </c>
      <c r="L34" s="3">
        <f t="shared" si="6"/>
        <v>0.93699336263432209</v>
      </c>
      <c r="M34" s="25" t="s">
        <v>284</v>
      </c>
    </row>
    <row r="35" spans="2:13">
      <c r="B35" s="11">
        <v>13</v>
      </c>
      <c r="C35" s="514"/>
      <c r="D35" s="15" t="s">
        <v>182</v>
      </c>
      <c r="E35" s="1" t="s">
        <v>19</v>
      </c>
      <c r="F35" s="2">
        <v>1932.85</v>
      </c>
      <c r="G35" s="1">
        <f>391+142+50+518.7+203+150+80+500+27</f>
        <v>2061.6999999999998</v>
      </c>
      <c r="H35" s="1">
        <f t="shared" si="5"/>
        <v>3994.5499999999997</v>
      </c>
      <c r="I35" s="285">
        <v>3163.6980283203125</v>
      </c>
      <c r="J35" s="1"/>
      <c r="K35" s="1">
        <f t="shared" si="4"/>
        <v>830.85197167968727</v>
      </c>
      <c r="L35" s="3">
        <f t="shared" si="6"/>
        <v>0.7920036120014301</v>
      </c>
      <c r="M35" s="25" t="s">
        <v>284</v>
      </c>
    </row>
    <row r="36" spans="2:13">
      <c r="B36" s="11">
        <v>14</v>
      </c>
      <c r="C36" s="514"/>
      <c r="D36" s="15" t="s">
        <v>277</v>
      </c>
      <c r="E36" s="1" t="s">
        <v>19</v>
      </c>
      <c r="F36" s="2">
        <v>1533.173</v>
      </c>
      <c r="G36" s="25">
        <f>13+4+40+51.095+20+5+440</f>
        <v>573.09500000000003</v>
      </c>
      <c r="H36" s="1">
        <f t="shared" si="5"/>
        <v>2106.268</v>
      </c>
      <c r="I36" s="280">
        <v>334.4909957275388</v>
      </c>
      <c r="J36" s="1"/>
      <c r="K36" s="1">
        <f t="shared" ref="K36:K37" si="7">H36-(I36+J36)</f>
        <v>1771.7770042724612</v>
      </c>
      <c r="L36" s="3">
        <f t="shared" ref="L36:L37" si="8">I36/H36</f>
        <v>0.15880742418701646</v>
      </c>
      <c r="M36" s="25" t="s">
        <v>284</v>
      </c>
    </row>
    <row r="37" spans="2:13">
      <c r="B37" s="11">
        <v>15</v>
      </c>
      <c r="C37" s="514"/>
      <c r="D37" s="15" t="s">
        <v>278</v>
      </c>
      <c r="E37" s="1" t="s">
        <v>19</v>
      </c>
      <c r="F37" s="2">
        <v>116.54900000000001</v>
      </c>
      <c r="G37" s="1">
        <f>1600+100+84+750+11.8+106+686+30+20+200+41.9+1034+200+54</f>
        <v>4917.7000000000007</v>
      </c>
      <c r="H37" s="1">
        <f t="shared" si="5"/>
        <v>5034.2490000000007</v>
      </c>
      <c r="I37" s="285">
        <v>1963.4059980468749</v>
      </c>
      <c r="J37" s="1"/>
      <c r="K37" s="1">
        <f t="shared" si="7"/>
        <v>3070.8430019531261</v>
      </c>
      <c r="L37" s="3">
        <f t="shared" si="8"/>
        <v>0.39000971109034827</v>
      </c>
      <c r="M37" s="25" t="s">
        <v>284</v>
      </c>
    </row>
    <row r="38" spans="2:13">
      <c r="B38" s="11">
        <v>16</v>
      </c>
      <c r="C38" s="514"/>
      <c r="D38" s="15" t="s">
        <v>57</v>
      </c>
      <c r="E38" s="1" t="s">
        <v>19</v>
      </c>
      <c r="F38" s="2">
        <v>655.95899999999995</v>
      </c>
      <c r="G38" s="1"/>
      <c r="H38" s="1">
        <f t="shared" si="5"/>
        <v>655.95899999999995</v>
      </c>
      <c r="I38" s="280">
        <v>685.58099719297888</v>
      </c>
      <c r="J38" s="1"/>
      <c r="K38" s="1">
        <f t="shared" si="4"/>
        <v>-29.621997192978938</v>
      </c>
      <c r="L38" s="3">
        <f t="shared" si="6"/>
        <v>1.0451583059200025</v>
      </c>
      <c r="M38" s="25" t="s">
        <v>284</v>
      </c>
    </row>
    <row r="39" spans="2:13">
      <c r="B39" s="11">
        <v>17</v>
      </c>
      <c r="C39" s="514"/>
      <c r="D39" s="15" t="s">
        <v>260</v>
      </c>
      <c r="E39" s="1" t="s">
        <v>19</v>
      </c>
      <c r="F39" s="2">
        <v>2895.1590000000001</v>
      </c>
      <c r="G39" s="1">
        <f>-875-525-550-400</f>
        <v>-2350</v>
      </c>
      <c r="H39" s="1">
        <f t="shared" si="5"/>
        <v>545.15900000000011</v>
      </c>
      <c r="I39" s="280">
        <v>208.82899609375002</v>
      </c>
      <c r="J39" s="1"/>
      <c r="K39" s="1">
        <f t="shared" si="4"/>
        <v>336.33000390625011</v>
      </c>
      <c r="L39" s="3">
        <f t="shared" si="6"/>
        <v>0.38306071456905227</v>
      </c>
      <c r="M39" s="25" t="s">
        <v>284</v>
      </c>
    </row>
    <row r="40" spans="2:13">
      <c r="B40" s="11">
        <v>18</v>
      </c>
      <c r="C40" s="514"/>
      <c r="D40" s="15" t="s">
        <v>58</v>
      </c>
      <c r="E40" s="1" t="s">
        <v>19</v>
      </c>
      <c r="F40" s="2">
        <v>53.64</v>
      </c>
      <c r="G40" s="1"/>
      <c r="H40" s="1">
        <f t="shared" si="5"/>
        <v>53.64</v>
      </c>
      <c r="I40" s="280">
        <v>27.501000019073487</v>
      </c>
      <c r="J40" s="1"/>
      <c r="K40" s="1">
        <f t="shared" si="4"/>
        <v>26.138999980926513</v>
      </c>
      <c r="L40" s="3">
        <f t="shared" si="6"/>
        <v>0.51269574979629917</v>
      </c>
      <c r="M40" s="25" t="s">
        <v>284</v>
      </c>
    </row>
    <row r="41" spans="2:13">
      <c r="B41" s="11">
        <v>19</v>
      </c>
      <c r="C41" s="514"/>
      <c r="D41" s="15" t="s">
        <v>59</v>
      </c>
      <c r="E41" s="1" t="s">
        <v>19</v>
      </c>
      <c r="F41" s="2">
        <v>15072.547</v>
      </c>
      <c r="G41" s="126">
        <f>100+100+75+400+12+150+1650+1-10+54.5-30-200-40-150-50+20-800-113-60-120+15</f>
        <v>1004.5</v>
      </c>
      <c r="H41" s="1">
        <f t="shared" si="5"/>
        <v>16077.047</v>
      </c>
      <c r="I41" s="285">
        <v>5020.8282323634685</v>
      </c>
      <c r="J41" s="1"/>
      <c r="K41" s="1">
        <f t="shared" si="4"/>
        <v>11056.218767636532</v>
      </c>
      <c r="L41" s="3">
        <f t="shared" si="6"/>
        <v>0.31229791343917002</v>
      </c>
      <c r="M41" s="25" t="s">
        <v>284</v>
      </c>
    </row>
    <row r="42" spans="2:13">
      <c r="B42" s="11">
        <v>20</v>
      </c>
      <c r="C42" s="514"/>
      <c r="D42" s="15" t="s">
        <v>60</v>
      </c>
      <c r="E42" s="1" t="s">
        <v>19</v>
      </c>
      <c r="F42" s="2">
        <v>232.22399999999999</v>
      </c>
      <c r="G42" s="1"/>
      <c r="H42" s="1">
        <f t="shared" si="5"/>
        <v>232.22399999999999</v>
      </c>
      <c r="I42" s="280">
        <v>21.759999999999998</v>
      </c>
      <c r="J42" s="1"/>
      <c r="K42" s="1">
        <f t="shared" si="4"/>
        <v>210.464</v>
      </c>
      <c r="L42" s="3">
        <f t="shared" si="6"/>
        <v>9.3702631941573647E-2</v>
      </c>
      <c r="M42" s="356">
        <v>44653</v>
      </c>
    </row>
    <row r="43" spans="2:13">
      <c r="B43" s="11">
        <v>21</v>
      </c>
      <c r="C43" s="514"/>
      <c r="D43" s="15" t="s">
        <v>61</v>
      </c>
      <c r="E43" s="1" t="s">
        <v>19</v>
      </c>
      <c r="F43" s="2">
        <v>2320.817</v>
      </c>
      <c r="G43" s="1">
        <f>-20</f>
        <v>-20</v>
      </c>
      <c r="H43" s="1">
        <f t="shared" si="5"/>
        <v>2300.817</v>
      </c>
      <c r="I43" s="285">
        <v>2141.5490064697265</v>
      </c>
      <c r="J43" s="1">
        <v>0.36399999999999999</v>
      </c>
      <c r="K43" s="1">
        <f t="shared" si="4"/>
        <v>158.90399353027351</v>
      </c>
      <c r="L43" s="3">
        <f t="shared" si="6"/>
        <v>0.93077763527900148</v>
      </c>
      <c r="M43" s="25" t="s">
        <v>284</v>
      </c>
    </row>
    <row r="44" spans="2:13">
      <c r="B44" s="11">
        <v>22</v>
      </c>
      <c r="C44" s="514"/>
      <c r="D44" s="15" t="s">
        <v>62</v>
      </c>
      <c r="E44" s="1" t="s">
        <v>19</v>
      </c>
      <c r="F44" s="2">
        <v>1730.441</v>
      </c>
      <c r="G44" s="1">
        <f>50</f>
        <v>50</v>
      </c>
      <c r="H44" s="1">
        <f t="shared" si="5"/>
        <v>1780.441</v>
      </c>
      <c r="I44" s="281">
        <v>1384.2739946289062</v>
      </c>
      <c r="J44" s="1"/>
      <c r="K44" s="2">
        <f t="shared" si="4"/>
        <v>396.16700537109386</v>
      </c>
      <c r="L44" s="3">
        <f t="shared" si="6"/>
        <v>0.77748939427305153</v>
      </c>
      <c r="M44" s="25" t="s">
        <v>284</v>
      </c>
    </row>
    <row r="45" spans="2:13">
      <c r="B45" s="11">
        <v>23</v>
      </c>
      <c r="C45" s="514"/>
      <c r="D45" s="15" t="s">
        <v>63</v>
      </c>
      <c r="E45" s="1" t="s">
        <v>19</v>
      </c>
      <c r="F45" s="2">
        <v>1641.944</v>
      </c>
      <c r="G45" s="1"/>
      <c r="H45" s="1">
        <f t="shared" si="5"/>
        <v>1641.944</v>
      </c>
      <c r="I45" s="285">
        <v>1493.3880015258792</v>
      </c>
      <c r="J45" s="1"/>
      <c r="K45" s="1">
        <f t="shared" si="4"/>
        <v>148.55599847412077</v>
      </c>
      <c r="L45" s="3">
        <f t="shared" si="6"/>
        <v>0.90952432088175916</v>
      </c>
      <c r="M45" s="25" t="s">
        <v>284</v>
      </c>
    </row>
    <row r="46" spans="2:13">
      <c r="B46" s="11">
        <v>24</v>
      </c>
      <c r="C46" s="514"/>
      <c r="D46" s="15" t="s">
        <v>181</v>
      </c>
      <c r="E46" s="1" t="s">
        <v>19</v>
      </c>
      <c r="F46" s="2">
        <v>3645.674</v>
      </c>
      <c r="G46" s="1">
        <f>100</f>
        <v>100</v>
      </c>
      <c r="H46" s="1">
        <f t="shared" si="5"/>
        <v>3745.674</v>
      </c>
      <c r="I46" s="285">
        <v>2396.5039785156259</v>
      </c>
      <c r="J46" s="1"/>
      <c r="K46" s="1">
        <f t="shared" si="4"/>
        <v>1349.170021484374</v>
      </c>
      <c r="L46" s="3">
        <f t="shared" si="6"/>
        <v>0.63980580758379557</v>
      </c>
      <c r="M46" s="25" t="s">
        <v>284</v>
      </c>
    </row>
    <row r="47" spans="2:13">
      <c r="B47" s="11">
        <v>25</v>
      </c>
      <c r="C47" s="514"/>
      <c r="D47" s="15" t="s">
        <v>64</v>
      </c>
      <c r="E47" s="1" t="s">
        <v>19</v>
      </c>
      <c r="F47" s="2">
        <v>2917.5630000000001</v>
      </c>
      <c r="G47" s="1">
        <f>600</f>
        <v>600</v>
      </c>
      <c r="H47" s="1">
        <f t="shared" si="5"/>
        <v>3517.5630000000001</v>
      </c>
      <c r="I47" s="285">
        <v>3214.5390114746115</v>
      </c>
      <c r="J47" s="1"/>
      <c r="K47" s="1">
        <f t="shared" si="4"/>
        <v>303.02398852538863</v>
      </c>
      <c r="L47" s="3">
        <f t="shared" si="6"/>
        <v>0.91385399820120106</v>
      </c>
      <c r="M47" s="25" t="s">
        <v>284</v>
      </c>
    </row>
    <row r="48" spans="2:13">
      <c r="B48" s="11">
        <v>26</v>
      </c>
      <c r="C48" s="514"/>
      <c r="D48" s="15" t="s">
        <v>65</v>
      </c>
      <c r="E48" s="1" t="s">
        <v>19</v>
      </c>
      <c r="F48" s="2">
        <v>177.334</v>
      </c>
      <c r="G48" s="1">
        <f>150+40+50+20+30</f>
        <v>290</v>
      </c>
      <c r="H48" s="1">
        <f t="shared" si="5"/>
        <v>467.334</v>
      </c>
      <c r="I48" s="280">
        <v>56.448999999463567</v>
      </c>
      <c r="J48" s="1"/>
      <c r="K48" s="1">
        <f t="shared" ref="K48:K49" si="9">H48-(I48+J48)</f>
        <v>410.88500000053642</v>
      </c>
      <c r="L48" s="3">
        <f t="shared" ref="L48:L49" si="10">I48/H48</f>
        <v>0.12078941399398196</v>
      </c>
      <c r="M48" s="25" t="s">
        <v>284</v>
      </c>
    </row>
    <row r="49" spans="2:13" ht="16.5" customHeight="1">
      <c r="B49" s="11">
        <v>27</v>
      </c>
      <c r="C49" s="514"/>
      <c r="D49" s="15" t="s">
        <v>66</v>
      </c>
      <c r="E49" s="1" t="s">
        <v>19</v>
      </c>
      <c r="F49" s="2">
        <v>2247.5500000000002</v>
      </c>
      <c r="G49" s="1"/>
      <c r="H49" s="1">
        <f t="shared" si="5"/>
        <v>2247.5500000000002</v>
      </c>
      <c r="I49" s="285">
        <v>3002.6420075759893</v>
      </c>
      <c r="J49" s="1"/>
      <c r="K49" s="1">
        <f t="shared" si="9"/>
        <v>-755.0920075759891</v>
      </c>
      <c r="L49" s="3">
        <f t="shared" si="10"/>
        <v>1.3359622733981398</v>
      </c>
      <c r="M49" s="25" t="s">
        <v>284</v>
      </c>
    </row>
    <row r="50" spans="2:13">
      <c r="B50" s="11">
        <v>28</v>
      </c>
      <c r="C50" s="514"/>
      <c r="D50" s="15" t="s">
        <v>67</v>
      </c>
      <c r="E50" s="1" t="s">
        <v>19</v>
      </c>
      <c r="F50" s="2">
        <v>1753.9280000000001</v>
      </c>
      <c r="G50" s="1"/>
      <c r="H50" s="1">
        <f t="shared" ref="H50:H89" si="11">F50+G50</f>
        <v>1753.9280000000001</v>
      </c>
      <c r="I50" s="280">
        <v>1242.45</v>
      </c>
      <c r="J50" s="1"/>
      <c r="K50" s="1">
        <f t="shared" si="4"/>
        <v>511.47800000000007</v>
      </c>
      <c r="L50" s="3">
        <f t="shared" si="6"/>
        <v>0.70838141588480252</v>
      </c>
      <c r="M50" s="25" t="s">
        <v>284</v>
      </c>
    </row>
    <row r="51" spans="2:13">
      <c r="B51" s="11">
        <v>29</v>
      </c>
      <c r="C51" s="514"/>
      <c r="D51" s="15" t="s">
        <v>68</v>
      </c>
      <c r="E51" s="1" t="s">
        <v>19</v>
      </c>
      <c r="F51" s="2">
        <v>68.117999999999995</v>
      </c>
      <c r="G51" s="1">
        <f>-48.7</f>
        <v>-48.7</v>
      </c>
      <c r="H51" s="1">
        <f t="shared" si="11"/>
        <v>19.417999999999992</v>
      </c>
      <c r="I51" s="280">
        <v>0</v>
      </c>
      <c r="J51" s="1"/>
      <c r="K51" s="1">
        <f t="shared" si="4"/>
        <v>19.417999999999992</v>
      </c>
      <c r="L51" s="3">
        <f>(G51/F51)*-1</f>
        <v>0.71493584661910226</v>
      </c>
      <c r="M51" s="25" t="s">
        <v>284</v>
      </c>
    </row>
    <row r="52" spans="2:13">
      <c r="B52" s="11">
        <v>30</v>
      </c>
      <c r="C52" s="514"/>
      <c r="D52" s="15" t="s">
        <v>69</v>
      </c>
      <c r="E52" s="1" t="s">
        <v>19</v>
      </c>
      <c r="F52" s="2">
        <v>3025.0970000000002</v>
      </c>
      <c r="G52" s="1">
        <f>-20-5-20-40-5</f>
        <v>-90</v>
      </c>
      <c r="H52" s="1">
        <f t="shared" si="11"/>
        <v>2935.0970000000002</v>
      </c>
      <c r="I52" s="285">
        <v>2905.8290141601565</v>
      </c>
      <c r="J52" s="1"/>
      <c r="K52" s="1">
        <f t="shared" si="4"/>
        <v>29.267985839843732</v>
      </c>
      <c r="L52" s="3">
        <f t="shared" si="6"/>
        <v>0.99002827305542418</v>
      </c>
      <c r="M52" s="25" t="s">
        <v>284</v>
      </c>
    </row>
    <row r="53" spans="2:13">
      <c r="B53" s="11">
        <v>31</v>
      </c>
      <c r="C53" s="514"/>
      <c r="D53" s="15" t="s">
        <v>70</v>
      </c>
      <c r="E53" s="1" t="s">
        <v>19</v>
      </c>
      <c r="F53" s="2">
        <v>2512.8119999999999</v>
      </c>
      <c r="G53" s="1">
        <f>10</f>
        <v>10</v>
      </c>
      <c r="H53" s="1">
        <f t="shared" si="11"/>
        <v>2522.8119999999999</v>
      </c>
      <c r="I53" s="285">
        <v>2871.5939956054681</v>
      </c>
      <c r="J53" s="1"/>
      <c r="K53" s="1">
        <f t="shared" si="4"/>
        <v>-348.78199560546818</v>
      </c>
      <c r="L53" s="3">
        <f t="shared" si="6"/>
        <v>1.1382512829356559</v>
      </c>
      <c r="M53" s="25" t="s">
        <v>284</v>
      </c>
    </row>
    <row r="54" spans="2:13">
      <c r="B54" s="11">
        <v>32</v>
      </c>
      <c r="C54" s="514"/>
      <c r="D54" s="15" t="s">
        <v>318</v>
      </c>
      <c r="E54" s="1" t="s">
        <v>19</v>
      </c>
      <c r="F54" s="2">
        <v>320.64800000000002</v>
      </c>
      <c r="G54" s="1">
        <f>-89</f>
        <v>-89</v>
      </c>
      <c r="H54" s="1">
        <f t="shared" si="11"/>
        <v>231.64800000000002</v>
      </c>
      <c r="I54" s="280">
        <v>195.65600000250342</v>
      </c>
      <c r="J54" s="1"/>
      <c r="K54" s="1">
        <f t="shared" si="4"/>
        <v>35.991999997496606</v>
      </c>
      <c r="L54" s="3">
        <f t="shared" si="6"/>
        <v>0.84462632961434325</v>
      </c>
      <c r="M54" s="25"/>
    </row>
    <row r="55" spans="2:13">
      <c r="B55" s="11">
        <v>33</v>
      </c>
      <c r="C55" s="514"/>
      <c r="D55" s="15" t="s">
        <v>71</v>
      </c>
      <c r="E55" s="1" t="s">
        <v>19</v>
      </c>
      <c r="F55" s="2">
        <v>1.2999999999999999E-2</v>
      </c>
      <c r="G55" s="1"/>
      <c r="H55" s="1">
        <f t="shared" si="11"/>
        <v>1.2999999999999999E-2</v>
      </c>
      <c r="I55" s="280">
        <v>0</v>
      </c>
      <c r="J55" s="1"/>
      <c r="K55" s="1">
        <f t="shared" si="4"/>
        <v>1.2999999999999999E-2</v>
      </c>
      <c r="L55" s="3">
        <f t="shared" si="6"/>
        <v>0</v>
      </c>
      <c r="M55" s="25" t="s">
        <v>284</v>
      </c>
    </row>
    <row r="56" spans="2:13">
      <c r="B56" s="11">
        <v>34</v>
      </c>
      <c r="C56" s="514"/>
      <c r="D56" s="15" t="s">
        <v>72</v>
      </c>
      <c r="E56" s="1" t="s">
        <v>19</v>
      </c>
      <c r="F56" s="2">
        <v>414.065</v>
      </c>
      <c r="G56" s="1">
        <f>-20+37.86+278.742-273-107.6</f>
        <v>-83.997999999999962</v>
      </c>
      <c r="H56" s="1">
        <f t="shared" si="11"/>
        <v>330.06700000000001</v>
      </c>
      <c r="I56" s="280">
        <v>-2.9802293965985882E-9</v>
      </c>
      <c r="J56" s="1"/>
      <c r="K56" s="1">
        <f t="shared" si="4"/>
        <v>330.06700000298025</v>
      </c>
      <c r="L56" s="3">
        <f t="shared" si="6"/>
        <v>-9.0291649774093997E-12</v>
      </c>
      <c r="M56" s="25" t="s">
        <v>284</v>
      </c>
    </row>
    <row r="57" spans="2:13">
      <c r="B57" s="11">
        <v>35</v>
      </c>
      <c r="C57" s="514"/>
      <c r="D57" s="15" t="s">
        <v>73</v>
      </c>
      <c r="E57" s="1" t="s">
        <v>19</v>
      </c>
      <c r="F57" s="2">
        <v>1316.085</v>
      </c>
      <c r="G57" s="1"/>
      <c r="H57" s="1">
        <f t="shared" si="11"/>
        <v>1316.085</v>
      </c>
      <c r="I57" s="285">
        <v>1190.6779993896487</v>
      </c>
      <c r="J57" s="1"/>
      <c r="K57" s="1">
        <f t="shared" si="4"/>
        <v>125.40700061035136</v>
      </c>
      <c r="L57" s="3">
        <f t="shared" si="6"/>
        <v>0.90471208120269486</v>
      </c>
      <c r="M57" s="25" t="s">
        <v>284</v>
      </c>
    </row>
    <row r="58" spans="2:13">
      <c r="B58" s="11">
        <v>36</v>
      </c>
      <c r="C58" s="514"/>
      <c r="D58" s="15" t="s">
        <v>74</v>
      </c>
      <c r="E58" s="1" t="s">
        <v>19</v>
      </c>
      <c r="F58" s="2">
        <v>439.94099999999997</v>
      </c>
      <c r="G58" s="1">
        <f>-100+273-70-258.9</f>
        <v>-155.89999999999998</v>
      </c>
      <c r="H58" s="1">
        <f t="shared" si="11"/>
        <v>284.041</v>
      </c>
      <c r="I58" s="280">
        <v>250.851</v>
      </c>
      <c r="J58" s="1"/>
      <c r="K58" s="1">
        <f t="shared" si="4"/>
        <v>33.19</v>
      </c>
      <c r="L58" s="3">
        <f t="shared" si="6"/>
        <v>0.88315067191004115</v>
      </c>
      <c r="M58" s="25" t="s">
        <v>284</v>
      </c>
    </row>
    <row r="59" spans="2:13">
      <c r="B59" s="11">
        <v>37</v>
      </c>
      <c r="C59" s="514"/>
      <c r="D59" s="15" t="s">
        <v>75</v>
      </c>
      <c r="E59" s="1" t="s">
        <v>19</v>
      </c>
      <c r="F59" s="2">
        <v>2717.64</v>
      </c>
      <c r="G59" s="1">
        <f>400-10-10-10-10-10</f>
        <v>350</v>
      </c>
      <c r="H59" s="1">
        <f t="shared" si="11"/>
        <v>3067.64</v>
      </c>
      <c r="I59" s="285">
        <v>1758.8630039062496</v>
      </c>
      <c r="J59" s="1"/>
      <c r="K59" s="1">
        <f t="shared" si="4"/>
        <v>1308.7769960937503</v>
      </c>
      <c r="L59" s="3">
        <f t="shared" si="6"/>
        <v>0.57336030430762719</v>
      </c>
      <c r="M59" s="25" t="s">
        <v>284</v>
      </c>
    </row>
    <row r="60" spans="2:13">
      <c r="B60" s="11">
        <v>38</v>
      </c>
      <c r="C60" s="514"/>
      <c r="D60" s="15" t="s">
        <v>76</v>
      </c>
      <c r="E60" s="1" t="s">
        <v>19</v>
      </c>
      <c r="F60" s="2">
        <v>909.21699999999998</v>
      </c>
      <c r="G60" s="1">
        <f>-223</f>
        <v>-223</v>
      </c>
      <c r="H60" s="1">
        <f t="shared" si="11"/>
        <v>686.21699999999998</v>
      </c>
      <c r="I60" s="280">
        <v>256.37000000033527</v>
      </c>
      <c r="J60" s="1"/>
      <c r="K60" s="1">
        <f t="shared" si="4"/>
        <v>429.84699999966472</v>
      </c>
      <c r="L60" s="3">
        <f t="shared" si="6"/>
        <v>0.37359902188423671</v>
      </c>
      <c r="M60" s="25" t="s">
        <v>284</v>
      </c>
    </row>
    <row r="61" spans="2:13">
      <c r="B61" s="11">
        <v>39</v>
      </c>
      <c r="C61" s="514"/>
      <c r="D61" s="15" t="s">
        <v>77</v>
      </c>
      <c r="E61" s="1" t="s">
        <v>19</v>
      </c>
      <c r="F61" s="2">
        <v>708.82600000000002</v>
      </c>
      <c r="G61" s="1"/>
      <c r="H61" s="1">
        <f t="shared" si="11"/>
        <v>708.82600000000002</v>
      </c>
      <c r="I61" s="280">
        <v>432.84099584007254</v>
      </c>
      <c r="J61" s="1"/>
      <c r="K61" s="1">
        <f t="shared" si="4"/>
        <v>275.98500415992748</v>
      </c>
      <c r="L61" s="3">
        <f t="shared" si="6"/>
        <v>0.61064491968419965</v>
      </c>
      <c r="M61" s="25" t="s">
        <v>284</v>
      </c>
    </row>
    <row r="62" spans="2:13">
      <c r="B62" s="11">
        <v>40</v>
      </c>
      <c r="C62" s="514"/>
      <c r="D62" s="15" t="s">
        <v>78</v>
      </c>
      <c r="E62" s="1" t="s">
        <v>19</v>
      </c>
      <c r="F62" s="2">
        <v>2219.6729999999998</v>
      </c>
      <c r="G62" s="1">
        <f>-520-200-50</f>
        <v>-770</v>
      </c>
      <c r="H62" s="1">
        <f t="shared" si="11"/>
        <v>1449.6729999999998</v>
      </c>
      <c r="I62" s="285">
        <v>1616.8289946289067</v>
      </c>
      <c r="J62" s="1"/>
      <c r="K62" s="1">
        <f t="shared" si="4"/>
        <v>-167.15599462890691</v>
      </c>
      <c r="L62" s="3">
        <f t="shared" si="6"/>
        <v>1.1153059997867842</v>
      </c>
      <c r="M62" s="25" t="s">
        <v>284</v>
      </c>
    </row>
    <row r="63" spans="2:13">
      <c r="B63" s="11">
        <v>41</v>
      </c>
      <c r="C63" s="514"/>
      <c r="D63" s="15" t="s">
        <v>79</v>
      </c>
      <c r="E63" s="1" t="s">
        <v>19</v>
      </c>
      <c r="F63" s="2">
        <v>130.02799999999999</v>
      </c>
      <c r="G63" s="1">
        <f>-78-48.5</f>
        <v>-126.5</v>
      </c>
      <c r="H63" s="1">
        <f t="shared" si="11"/>
        <v>3.5279999999999916</v>
      </c>
      <c r="I63" s="280">
        <v>0</v>
      </c>
      <c r="J63" s="1"/>
      <c r="K63" s="1">
        <f t="shared" si="4"/>
        <v>3.5279999999999916</v>
      </c>
      <c r="L63" s="3">
        <f t="shared" si="6"/>
        <v>0</v>
      </c>
      <c r="M63" s="25" t="s">
        <v>284</v>
      </c>
    </row>
    <row r="64" spans="2:13">
      <c r="B64" s="11">
        <v>42</v>
      </c>
      <c r="C64" s="514"/>
      <c r="D64" s="15" t="s">
        <v>80</v>
      </c>
      <c r="E64" s="1" t="s">
        <v>19</v>
      </c>
      <c r="F64" s="2">
        <v>1022.3049999999999</v>
      </c>
      <c r="G64" s="1"/>
      <c r="H64" s="1">
        <f t="shared" si="11"/>
        <v>1022.3049999999999</v>
      </c>
      <c r="I64" s="280">
        <v>678.07799999999997</v>
      </c>
      <c r="J64" s="1"/>
      <c r="K64" s="1">
        <f t="shared" si="4"/>
        <v>344.22699999999998</v>
      </c>
      <c r="L64" s="3">
        <f t="shared" si="6"/>
        <v>0.66328346237179703</v>
      </c>
      <c r="M64" s="25" t="s">
        <v>284</v>
      </c>
    </row>
    <row r="65" spans="2:13">
      <c r="B65" s="11">
        <v>43</v>
      </c>
      <c r="C65" s="514"/>
      <c r="D65" s="15" t="s">
        <v>81</v>
      </c>
      <c r="E65" s="1" t="s">
        <v>19</v>
      </c>
      <c r="F65" s="2">
        <v>2163.7629999999999</v>
      </c>
      <c r="G65" s="1"/>
      <c r="H65" s="1">
        <f t="shared" si="11"/>
        <v>2163.7629999999999</v>
      </c>
      <c r="I65" s="285">
        <v>2569.6070001583093</v>
      </c>
      <c r="J65" s="1"/>
      <c r="K65" s="1">
        <f t="shared" si="4"/>
        <v>-405.84400015830943</v>
      </c>
      <c r="L65" s="3">
        <f t="shared" si="6"/>
        <v>1.1875639800469411</v>
      </c>
      <c r="M65" s="25" t="s">
        <v>284</v>
      </c>
    </row>
    <row r="66" spans="2:13">
      <c r="B66" s="11">
        <v>44</v>
      </c>
      <c r="C66" s="514"/>
      <c r="D66" s="15" t="s">
        <v>82</v>
      </c>
      <c r="E66" s="1" t="s">
        <v>19</v>
      </c>
      <c r="F66" s="2">
        <v>1573.963</v>
      </c>
      <c r="G66" s="1">
        <f>246</f>
        <v>246</v>
      </c>
      <c r="H66" s="1">
        <f t="shared" si="11"/>
        <v>1819.963</v>
      </c>
      <c r="I66" s="285">
        <v>2978.1219907226568</v>
      </c>
      <c r="J66" s="1"/>
      <c r="K66" s="1">
        <f t="shared" si="4"/>
        <v>-1158.1589907226569</v>
      </c>
      <c r="L66" s="3">
        <f t="shared" si="6"/>
        <v>1.636364030874615</v>
      </c>
      <c r="M66" s="25" t="s">
        <v>284</v>
      </c>
    </row>
    <row r="67" spans="2:13">
      <c r="B67" s="11">
        <v>45</v>
      </c>
      <c r="C67" s="514"/>
      <c r="D67" s="15" t="s">
        <v>83</v>
      </c>
      <c r="E67" s="1" t="s">
        <v>19</v>
      </c>
      <c r="F67" s="2">
        <v>2666.9969999999998</v>
      </c>
      <c r="G67" s="1">
        <f>-1600-200-106-686-54</f>
        <v>-2646</v>
      </c>
      <c r="H67" s="1">
        <f t="shared" si="11"/>
        <v>20.996999999999844</v>
      </c>
      <c r="I67" s="280">
        <v>18.512000000953673</v>
      </c>
      <c r="J67" s="1"/>
      <c r="K67" s="1">
        <f t="shared" si="4"/>
        <v>2.4849999990461704</v>
      </c>
      <c r="L67" s="3">
        <f>(G67/F67)*-1</f>
        <v>0.99212710025545592</v>
      </c>
      <c r="M67" s="47">
        <v>44797</v>
      </c>
    </row>
    <row r="68" spans="2:13">
      <c r="B68" s="11">
        <v>46</v>
      </c>
      <c r="C68" s="514"/>
      <c r="D68" s="15" t="s">
        <v>84</v>
      </c>
      <c r="E68" s="1" t="s">
        <v>19</v>
      </c>
      <c r="F68" s="2">
        <v>16.547999999999998</v>
      </c>
      <c r="G68" s="1">
        <f>-11.8</f>
        <v>-11.8</v>
      </c>
      <c r="H68" s="1">
        <f t="shared" si="11"/>
        <v>4.7479999999999976</v>
      </c>
      <c r="I68" s="280">
        <v>0</v>
      </c>
      <c r="J68" s="1"/>
      <c r="K68" s="1">
        <f t="shared" si="4"/>
        <v>4.7479999999999976</v>
      </c>
      <c r="L68" s="3">
        <f t="shared" si="6"/>
        <v>0</v>
      </c>
      <c r="M68" s="25" t="s">
        <v>284</v>
      </c>
    </row>
    <row r="69" spans="2:13">
      <c r="B69" s="11">
        <v>47</v>
      </c>
      <c r="C69" s="514"/>
      <c r="D69" s="15" t="s">
        <v>85</v>
      </c>
      <c r="E69" s="1" t="s">
        <v>19</v>
      </c>
      <c r="F69" s="2">
        <v>3169.567</v>
      </c>
      <c r="G69" s="1">
        <f>-194.41</f>
        <v>-194.41</v>
      </c>
      <c r="H69" s="1">
        <f t="shared" si="11"/>
        <v>2975.1570000000002</v>
      </c>
      <c r="I69" s="285">
        <v>4307.3889999999992</v>
      </c>
      <c r="J69" s="1"/>
      <c r="K69" s="1">
        <f t="shared" si="4"/>
        <v>-1332.2319999999991</v>
      </c>
      <c r="L69" s="3">
        <f t="shared" si="6"/>
        <v>1.4477854446000662</v>
      </c>
      <c r="M69" s="25" t="s">
        <v>284</v>
      </c>
    </row>
    <row r="70" spans="2:13">
      <c r="B70" s="11">
        <v>48</v>
      </c>
      <c r="C70" s="514"/>
      <c r="D70" s="15" t="s">
        <v>279</v>
      </c>
      <c r="E70" s="1" t="s">
        <v>19</v>
      </c>
      <c r="F70" s="2">
        <v>285.43</v>
      </c>
      <c r="G70" s="1">
        <f>-21-183</f>
        <v>-204</v>
      </c>
      <c r="H70" s="1">
        <f t="shared" ref="H70" si="12">F70+G70</f>
        <v>81.430000000000007</v>
      </c>
      <c r="I70" s="280">
        <v>0</v>
      </c>
      <c r="J70" s="1"/>
      <c r="K70" s="1">
        <f t="shared" ref="K70" si="13">H70-(I70+J70)</f>
        <v>81.430000000000007</v>
      </c>
      <c r="L70" s="3">
        <f t="shared" ref="L70" si="14">I70/H70</f>
        <v>0</v>
      </c>
      <c r="M70" s="25" t="s">
        <v>284</v>
      </c>
    </row>
    <row r="71" spans="2:13">
      <c r="B71" s="11">
        <v>49</v>
      </c>
      <c r="C71" s="514"/>
      <c r="D71" s="15" t="s">
        <v>86</v>
      </c>
      <c r="E71" s="1" t="s">
        <v>19</v>
      </c>
      <c r="F71" s="2">
        <v>1298.5530000000001</v>
      </c>
      <c r="G71" s="1">
        <f>-50-150-50</f>
        <v>-250</v>
      </c>
      <c r="H71" s="1">
        <f t="shared" si="11"/>
        <v>1048.5530000000001</v>
      </c>
      <c r="I71" s="280">
        <v>767.34500878906238</v>
      </c>
      <c r="J71" s="1"/>
      <c r="K71" s="1">
        <f t="shared" si="4"/>
        <v>281.20799121093773</v>
      </c>
      <c r="L71" s="3">
        <f t="shared" si="6"/>
        <v>0.73181327866980717</v>
      </c>
      <c r="M71" s="25" t="s">
        <v>284</v>
      </c>
    </row>
    <row r="72" spans="2:13">
      <c r="B72" s="11">
        <v>50</v>
      </c>
      <c r="C72" s="514"/>
      <c r="D72" s="15" t="s">
        <v>87</v>
      </c>
      <c r="E72" s="1" t="s">
        <v>19</v>
      </c>
      <c r="F72" s="2">
        <v>4386.3140000000003</v>
      </c>
      <c r="G72" s="1">
        <f>-144-40</f>
        <v>-184</v>
      </c>
      <c r="H72" s="1">
        <f t="shared" si="11"/>
        <v>4202.3140000000003</v>
      </c>
      <c r="I72" s="285">
        <v>3779.2060000000006</v>
      </c>
      <c r="J72" s="1"/>
      <c r="K72" s="1">
        <f t="shared" si="4"/>
        <v>423.10799999999972</v>
      </c>
      <c r="L72" s="3">
        <f t="shared" si="6"/>
        <v>0.89931547238021725</v>
      </c>
      <c r="M72" s="25" t="s">
        <v>284</v>
      </c>
    </row>
    <row r="73" spans="2:13">
      <c r="B73" s="11">
        <v>51</v>
      </c>
      <c r="C73" s="514"/>
      <c r="D73" s="15" t="s">
        <v>88</v>
      </c>
      <c r="E73" s="1" t="s">
        <v>19</v>
      </c>
      <c r="F73" s="2">
        <v>1343.4090000000001</v>
      </c>
      <c r="G73" s="1">
        <f>-145-50+70-284-300-220</f>
        <v>-929</v>
      </c>
      <c r="H73" s="1">
        <f t="shared" si="11"/>
        <v>414.40900000000011</v>
      </c>
      <c r="I73" s="280">
        <v>406.19999707031252</v>
      </c>
      <c r="J73" s="1"/>
      <c r="K73" s="1">
        <f t="shared" si="4"/>
        <v>8.2090029296875855</v>
      </c>
      <c r="L73" s="3">
        <f t="shared" si="6"/>
        <v>0.9801910602093884</v>
      </c>
      <c r="M73" s="25" t="s">
        <v>284</v>
      </c>
    </row>
    <row r="74" spans="2:13">
      <c r="B74" s="11">
        <v>52</v>
      </c>
      <c r="C74" s="514"/>
      <c r="D74" s="15" t="s">
        <v>89</v>
      </c>
      <c r="E74" s="1" t="s">
        <v>19</v>
      </c>
      <c r="F74" s="2">
        <v>2198.105</v>
      </c>
      <c r="G74" s="1">
        <f>10</f>
        <v>10</v>
      </c>
      <c r="H74" s="1">
        <f t="shared" si="11"/>
        <v>2208.105</v>
      </c>
      <c r="I74" s="282">
        <v>2593.395</v>
      </c>
      <c r="J74" s="1">
        <v>0.13200000000000001</v>
      </c>
      <c r="K74" s="1">
        <f t="shared" si="4"/>
        <v>-385.42200000000003</v>
      </c>
      <c r="L74" s="3">
        <f t="shared" si="6"/>
        <v>1.174488984898816</v>
      </c>
      <c r="M74" s="25" t="s">
        <v>284</v>
      </c>
    </row>
    <row r="75" spans="2:13">
      <c r="B75" s="11">
        <v>53</v>
      </c>
      <c r="C75" s="514"/>
      <c r="D75" s="15" t="s">
        <v>173</v>
      </c>
      <c r="E75" s="1" t="s">
        <v>19</v>
      </c>
      <c r="F75" s="2">
        <v>4927.8760000000002</v>
      </c>
      <c r="G75" s="1">
        <f>228+286</f>
        <v>514</v>
      </c>
      <c r="H75" s="1">
        <f t="shared" si="11"/>
        <v>5441.8760000000002</v>
      </c>
      <c r="I75" s="285">
        <v>6265.0280398407031</v>
      </c>
      <c r="J75" s="1">
        <v>0.19700000000000001</v>
      </c>
      <c r="K75" s="1">
        <f t="shared" si="4"/>
        <v>-823.34903984070297</v>
      </c>
      <c r="L75" s="3">
        <f t="shared" si="6"/>
        <v>1.1512625498707987</v>
      </c>
      <c r="M75" s="25" t="s">
        <v>284</v>
      </c>
    </row>
    <row r="76" spans="2:13">
      <c r="B76" s="11">
        <v>54</v>
      </c>
      <c r="C76" s="514"/>
      <c r="D76" s="15" t="s">
        <v>90</v>
      </c>
      <c r="E76" s="1" t="s">
        <v>19</v>
      </c>
      <c r="F76" s="2">
        <v>209.81700000000001</v>
      </c>
      <c r="G76" s="1">
        <f>-150-54.5</f>
        <v>-204.5</v>
      </c>
      <c r="H76" s="1">
        <f t="shared" si="11"/>
        <v>5.3170000000000073</v>
      </c>
      <c r="I76" s="280">
        <v>0</v>
      </c>
      <c r="J76" s="1"/>
      <c r="K76" s="1">
        <f t="shared" si="4"/>
        <v>5.3170000000000073</v>
      </c>
      <c r="L76" s="3">
        <f t="shared" si="6"/>
        <v>0</v>
      </c>
      <c r="M76" s="25" t="s">
        <v>284</v>
      </c>
    </row>
    <row r="77" spans="2:13">
      <c r="B77" s="11">
        <v>55</v>
      </c>
      <c r="C77" s="514"/>
      <c r="D77" s="15" t="s">
        <v>91</v>
      </c>
      <c r="E77" s="1" t="s">
        <v>19</v>
      </c>
      <c r="F77" s="2">
        <v>5804.5649999999996</v>
      </c>
      <c r="G77" s="1">
        <f>37.86+262.177-20+27-20+50+20+60+10+50+1909+60+70+790.333-30+100</f>
        <v>3376.3700000000003</v>
      </c>
      <c r="H77" s="1">
        <f t="shared" si="11"/>
        <v>9180.9349999999995</v>
      </c>
      <c r="I77" s="285">
        <v>4726.2368936762814</v>
      </c>
      <c r="J77" s="1">
        <v>1.635</v>
      </c>
      <c r="K77" s="1">
        <f t="shared" si="4"/>
        <v>4453.0631063237179</v>
      </c>
      <c r="L77" s="3">
        <f t="shared" si="6"/>
        <v>0.51478818809590543</v>
      </c>
      <c r="M77" s="25" t="s">
        <v>284</v>
      </c>
    </row>
    <row r="78" spans="2:13">
      <c r="B78" s="11">
        <v>56</v>
      </c>
      <c r="C78" s="514"/>
      <c r="D78" s="15" t="s">
        <v>174</v>
      </c>
      <c r="E78" s="1" t="s">
        <v>19</v>
      </c>
      <c r="F78" s="2">
        <v>63.822000000000003</v>
      </c>
      <c r="G78" s="25">
        <f>-13-4</f>
        <v>-17</v>
      </c>
      <c r="H78" s="1">
        <f t="shared" si="11"/>
        <v>46.822000000000003</v>
      </c>
      <c r="I78" s="280">
        <v>15.278999999783933</v>
      </c>
      <c r="J78" s="1"/>
      <c r="K78" s="1">
        <f t="shared" si="4"/>
        <v>31.543000000216068</v>
      </c>
      <c r="L78" s="3">
        <f t="shared" si="6"/>
        <v>0.32632096022775475</v>
      </c>
      <c r="M78" s="25" t="s">
        <v>284</v>
      </c>
    </row>
    <row r="79" spans="2:13">
      <c r="B79" s="11">
        <v>57</v>
      </c>
      <c r="C79" s="514"/>
      <c r="D79" s="15" t="s">
        <v>92</v>
      </c>
      <c r="E79" s="1" t="s">
        <v>19</v>
      </c>
      <c r="F79" s="2">
        <v>1.9970000000000001</v>
      </c>
      <c r="G79" s="1">
        <f>-1.4</f>
        <v>-1.4</v>
      </c>
      <c r="H79" s="1">
        <f t="shared" si="11"/>
        <v>0.5970000000000002</v>
      </c>
      <c r="I79" s="280">
        <v>0</v>
      </c>
      <c r="J79" s="1"/>
      <c r="K79" s="1">
        <f t="shared" si="4"/>
        <v>0.5970000000000002</v>
      </c>
      <c r="L79" s="3">
        <f>(G79/F79)*-1</f>
        <v>0.70105157736604895</v>
      </c>
      <c r="M79" s="25" t="s">
        <v>284</v>
      </c>
    </row>
    <row r="80" spans="2:13">
      <c r="B80" s="11">
        <v>58</v>
      </c>
      <c r="C80" s="514"/>
      <c r="D80" s="15" t="s">
        <v>175</v>
      </c>
      <c r="E80" s="1" t="s">
        <v>19</v>
      </c>
      <c r="F80" s="2">
        <v>6543.5219999999999</v>
      </c>
      <c r="G80" s="1"/>
      <c r="H80" s="1">
        <f t="shared" si="11"/>
        <v>6543.5219999999999</v>
      </c>
      <c r="I80" s="285">
        <v>9825.7539806547156</v>
      </c>
      <c r="J80" s="1"/>
      <c r="K80" s="1">
        <f t="shared" si="4"/>
        <v>-3282.2319806547157</v>
      </c>
      <c r="L80" s="3">
        <f t="shared" si="6"/>
        <v>1.5016002056162898</v>
      </c>
      <c r="M80" s="25" t="s">
        <v>284</v>
      </c>
    </row>
    <row r="81" spans="2:13">
      <c r="B81" s="11">
        <v>59</v>
      </c>
      <c r="C81" s="514"/>
      <c r="D81" s="15" t="s">
        <v>176</v>
      </c>
      <c r="E81" s="1" t="s">
        <v>19</v>
      </c>
      <c r="F81" s="2">
        <v>581.15800000000002</v>
      </c>
      <c r="G81" s="1">
        <f>-148.408+10+1</f>
        <v>-137.40799999999999</v>
      </c>
      <c r="H81" s="1">
        <f t="shared" si="11"/>
        <v>443.75</v>
      </c>
      <c r="I81" s="280">
        <v>419.49200012207029</v>
      </c>
      <c r="J81" s="1"/>
      <c r="K81" s="1">
        <f t="shared" si="4"/>
        <v>24.257999877929706</v>
      </c>
      <c r="L81" s="3">
        <f t="shared" si="6"/>
        <v>0.94533408478213021</v>
      </c>
      <c r="M81" s="25" t="s">
        <v>284</v>
      </c>
    </row>
    <row r="82" spans="2:13">
      <c r="B82" s="11">
        <v>60</v>
      </c>
      <c r="C82" s="514"/>
      <c r="D82" s="15" t="s">
        <v>177</v>
      </c>
      <c r="E82" s="1" t="s">
        <v>19</v>
      </c>
      <c r="F82" s="2">
        <v>509.08600000000001</v>
      </c>
      <c r="G82" s="1">
        <f>-150</f>
        <v>-150</v>
      </c>
      <c r="H82" s="1">
        <f t="shared" si="11"/>
        <v>359.08600000000001</v>
      </c>
      <c r="I82" s="280">
        <v>102.25400646967429</v>
      </c>
      <c r="J82" s="1"/>
      <c r="K82" s="1">
        <f t="shared" si="4"/>
        <v>256.83199353032569</v>
      </c>
      <c r="L82" s="3">
        <f t="shared" si="6"/>
        <v>0.28476188564765625</v>
      </c>
      <c r="M82" s="25" t="s">
        <v>284</v>
      </c>
    </row>
    <row r="83" spans="2:13">
      <c r="B83" s="11">
        <v>61</v>
      </c>
      <c r="C83" s="514"/>
      <c r="D83" s="15" t="s">
        <v>319</v>
      </c>
      <c r="E83" s="1" t="s">
        <v>19</v>
      </c>
      <c r="F83" s="2">
        <v>1284.3679999999999</v>
      </c>
      <c r="G83" s="1">
        <f>-100</f>
        <v>-100</v>
      </c>
      <c r="H83" s="1">
        <f t="shared" si="11"/>
        <v>1184.3679999999999</v>
      </c>
      <c r="I83" s="285">
        <v>1111.941</v>
      </c>
      <c r="J83" s="1"/>
      <c r="K83" s="1">
        <f t="shared" si="4"/>
        <v>72.426999999999907</v>
      </c>
      <c r="L83" s="3">
        <f t="shared" si="6"/>
        <v>0.93884755413857868</v>
      </c>
      <c r="M83" s="25" t="s">
        <v>284</v>
      </c>
    </row>
    <row r="84" spans="2:13">
      <c r="B84" s="11">
        <v>62</v>
      </c>
      <c r="C84" s="514"/>
      <c r="D84" s="15" t="s">
        <v>178</v>
      </c>
      <c r="E84" s="1" t="s">
        <v>19</v>
      </c>
      <c r="F84" s="2">
        <v>2068.3960000000002</v>
      </c>
      <c r="G84" s="1">
        <f>-26.8-20-60-50</f>
        <v>-156.80000000000001</v>
      </c>
      <c r="H84" s="1">
        <f t="shared" si="11"/>
        <v>1911.5960000000002</v>
      </c>
      <c r="I84" s="285">
        <v>1943.500997558594</v>
      </c>
      <c r="J84" s="1"/>
      <c r="K84" s="1">
        <f t="shared" si="4"/>
        <v>-31.904997558593777</v>
      </c>
      <c r="L84" s="3">
        <f t="shared" si="6"/>
        <v>1.0166902408032836</v>
      </c>
      <c r="M84" s="25" t="s">
        <v>284</v>
      </c>
    </row>
    <row r="85" spans="2:13">
      <c r="B85" s="11">
        <v>63</v>
      </c>
      <c r="C85" s="514"/>
      <c r="D85" s="15" t="s">
        <v>93</v>
      </c>
      <c r="E85" s="1" t="s">
        <v>19</v>
      </c>
      <c r="F85" s="2">
        <v>2734.1909999999998</v>
      </c>
      <c r="G85" s="1">
        <f>-30-20-70</f>
        <v>-120</v>
      </c>
      <c r="H85" s="1">
        <f t="shared" si="11"/>
        <v>2614.1909999999998</v>
      </c>
      <c r="I85" s="285">
        <v>2394.4619919433594</v>
      </c>
      <c r="J85" s="1"/>
      <c r="K85" s="1">
        <f t="shared" ref="K85:K135" si="15">H85-(I85+J85)</f>
        <v>219.7290080566404</v>
      </c>
      <c r="L85" s="3">
        <f t="shared" si="6"/>
        <v>0.9159476074790861</v>
      </c>
      <c r="M85" s="25" t="s">
        <v>284</v>
      </c>
    </row>
    <row r="86" spans="2:13">
      <c r="B86" s="11">
        <v>64</v>
      </c>
      <c r="C86" s="514"/>
      <c r="D86" s="15" t="s">
        <v>94</v>
      </c>
      <c r="E86" s="1" t="s">
        <v>19</v>
      </c>
      <c r="F86" s="2">
        <v>760.93200000000002</v>
      </c>
      <c r="G86" s="1"/>
      <c r="H86" s="1">
        <f t="shared" si="11"/>
        <v>760.93200000000002</v>
      </c>
      <c r="I86" s="280">
        <v>631.28299751281747</v>
      </c>
      <c r="J86" s="1"/>
      <c r="K86" s="1">
        <f t="shared" si="15"/>
        <v>129.64900248718254</v>
      </c>
      <c r="L86" s="3">
        <f t="shared" si="6"/>
        <v>0.82961814920757371</v>
      </c>
      <c r="M86" s="25" t="s">
        <v>284</v>
      </c>
    </row>
    <row r="87" spans="2:13">
      <c r="B87" s="11">
        <v>65</v>
      </c>
      <c r="C87" s="514"/>
      <c r="D87" s="15" t="s">
        <v>95</v>
      </c>
      <c r="E87" s="1" t="s">
        <v>19</v>
      </c>
      <c r="F87" s="2">
        <v>940.00800000000004</v>
      </c>
      <c r="G87" s="1">
        <f>-36</f>
        <v>-36</v>
      </c>
      <c r="H87" s="1">
        <f t="shared" si="11"/>
        <v>904.00800000000004</v>
      </c>
      <c r="I87" s="280">
        <v>435.38200002577895</v>
      </c>
      <c r="J87" s="1"/>
      <c r="K87" s="1">
        <f t="shared" si="15"/>
        <v>468.62599997422109</v>
      </c>
      <c r="L87" s="3">
        <f t="shared" si="6"/>
        <v>0.48161299460378554</v>
      </c>
      <c r="M87" s="25" t="s">
        <v>284</v>
      </c>
    </row>
    <row r="88" spans="2:13">
      <c r="B88" s="11">
        <v>66</v>
      </c>
      <c r="C88" s="514"/>
      <c r="D88" s="15" t="s">
        <v>96</v>
      </c>
      <c r="E88" s="1" t="s">
        <v>19</v>
      </c>
      <c r="F88" s="2">
        <v>62.642000000000003</v>
      </c>
      <c r="G88" s="1"/>
      <c r="H88" s="1">
        <f t="shared" si="11"/>
        <v>62.642000000000003</v>
      </c>
      <c r="I88" s="280">
        <v>0</v>
      </c>
      <c r="J88" s="1"/>
      <c r="K88" s="1">
        <f t="shared" si="15"/>
        <v>62.642000000000003</v>
      </c>
      <c r="L88" s="3">
        <f t="shared" si="6"/>
        <v>0</v>
      </c>
      <c r="M88" s="25" t="s">
        <v>284</v>
      </c>
    </row>
    <row r="89" spans="2:13">
      <c r="B89" s="11">
        <v>67</v>
      </c>
      <c r="C89" s="514"/>
      <c r="D89" s="15" t="s">
        <v>97</v>
      </c>
      <c r="E89" s="1" t="s">
        <v>19</v>
      </c>
      <c r="F89" s="2">
        <v>1420.489</v>
      </c>
      <c r="G89" s="1">
        <f>-750</f>
        <v>-750</v>
      </c>
      <c r="H89" s="1">
        <f t="shared" si="11"/>
        <v>670.48900000000003</v>
      </c>
      <c r="I89" s="280">
        <v>250.14899780273456</v>
      </c>
      <c r="J89" s="1"/>
      <c r="K89" s="1">
        <f t="shared" si="15"/>
        <v>420.34000219726545</v>
      </c>
      <c r="L89" s="3">
        <f t="shared" si="6"/>
        <v>0.37308441719809654</v>
      </c>
      <c r="M89" s="25" t="s">
        <v>284</v>
      </c>
    </row>
    <row r="90" spans="2:13">
      <c r="B90" s="11">
        <v>68</v>
      </c>
      <c r="C90" s="514"/>
      <c r="D90" s="15" t="s">
        <v>98</v>
      </c>
      <c r="E90" s="1" t="s">
        <v>19</v>
      </c>
      <c r="F90" s="2">
        <v>2304.3420000000001</v>
      </c>
      <c r="G90" s="1">
        <f>-50-50-50</f>
        <v>-150</v>
      </c>
      <c r="H90" s="1">
        <f t="shared" ref="H90:H103" si="16">F90+G90</f>
        <v>2154.3420000000001</v>
      </c>
      <c r="I90" s="285">
        <v>2221.1499931917187</v>
      </c>
      <c r="J90" s="1"/>
      <c r="K90" s="1">
        <f t="shared" si="15"/>
        <v>-66.807993191718651</v>
      </c>
      <c r="L90" s="3">
        <f t="shared" si="6"/>
        <v>1.0310108576965582</v>
      </c>
      <c r="M90" s="25" t="s">
        <v>284</v>
      </c>
    </row>
    <row r="91" spans="2:13">
      <c r="B91" s="11">
        <v>69</v>
      </c>
      <c r="C91" s="514"/>
      <c r="D91" s="15" t="s">
        <v>99</v>
      </c>
      <c r="E91" s="1" t="s">
        <v>19</v>
      </c>
      <c r="F91" s="2">
        <v>1768.568</v>
      </c>
      <c r="G91" s="1">
        <f>240+514.097+99</f>
        <v>853.09699999999998</v>
      </c>
      <c r="H91" s="1">
        <f t="shared" si="16"/>
        <v>2621.665</v>
      </c>
      <c r="I91" s="285">
        <v>3567.2439999999997</v>
      </c>
      <c r="J91" s="1"/>
      <c r="K91" s="1">
        <f t="shared" si="15"/>
        <v>-945.57899999999972</v>
      </c>
      <c r="L91" s="3">
        <f t="shared" ref="L91:L103" si="17">I91/H91</f>
        <v>1.3606788052630674</v>
      </c>
      <c r="M91" s="25" t="s">
        <v>284</v>
      </c>
    </row>
    <row r="92" spans="2:13">
      <c r="B92" s="11">
        <v>70</v>
      </c>
      <c r="C92" s="514"/>
      <c r="D92" s="15" t="s">
        <v>100</v>
      </c>
      <c r="E92" s="1" t="s">
        <v>19</v>
      </c>
      <c r="F92" s="2">
        <v>3476.5169999999998</v>
      </c>
      <c r="G92" s="1">
        <f>-20-30-40+412.9</f>
        <v>322.89999999999998</v>
      </c>
      <c r="H92" s="1">
        <f t="shared" si="16"/>
        <v>3799.4169999999999</v>
      </c>
      <c r="I92" s="285">
        <v>3736.975006591797</v>
      </c>
      <c r="J92" s="1"/>
      <c r="K92" s="1">
        <f t="shared" si="15"/>
        <v>62.441993408202961</v>
      </c>
      <c r="L92" s="3">
        <f t="shared" si="17"/>
        <v>0.98356537505406672</v>
      </c>
      <c r="M92" s="25" t="s">
        <v>284</v>
      </c>
    </row>
    <row r="93" spans="2:13">
      <c r="B93" s="11">
        <v>71</v>
      </c>
      <c r="C93" s="514"/>
      <c r="D93" s="15" t="s">
        <v>179</v>
      </c>
      <c r="E93" s="1" t="s">
        <v>19</v>
      </c>
      <c r="F93" s="2">
        <v>828.10500000000002</v>
      </c>
      <c r="G93" s="1">
        <f>50-1-50</f>
        <v>-1</v>
      </c>
      <c r="H93" s="1">
        <f t="shared" si="16"/>
        <v>827.10500000000002</v>
      </c>
      <c r="I93" s="280">
        <v>226.47299999999998</v>
      </c>
      <c r="J93" s="1"/>
      <c r="K93" s="1">
        <f t="shared" si="15"/>
        <v>600.63200000000006</v>
      </c>
      <c r="L93" s="3">
        <f t="shared" si="17"/>
        <v>0.27381408648236921</v>
      </c>
      <c r="M93" s="25" t="s">
        <v>284</v>
      </c>
    </row>
    <row r="94" spans="2:13">
      <c r="B94" s="11">
        <v>72</v>
      </c>
      <c r="C94" s="514"/>
      <c r="D94" s="15" t="s">
        <v>180</v>
      </c>
      <c r="E94" s="1" t="s">
        <v>19</v>
      </c>
      <c r="F94" s="2">
        <v>12.317</v>
      </c>
      <c r="G94" s="1"/>
      <c r="H94" s="1">
        <f t="shared" si="16"/>
        <v>12.317</v>
      </c>
      <c r="I94" s="280">
        <v>14.439000001132486</v>
      </c>
      <c r="J94" s="1"/>
      <c r="K94" s="1">
        <f t="shared" si="15"/>
        <v>-2.122000001132486</v>
      </c>
      <c r="L94" s="3">
        <f>(G94/F94)*-1</f>
        <v>0</v>
      </c>
      <c r="M94" s="25" t="s">
        <v>284</v>
      </c>
    </row>
    <row r="95" spans="2:13">
      <c r="B95" s="11">
        <v>73</v>
      </c>
      <c r="C95" s="514"/>
      <c r="D95" s="15" t="s">
        <v>722</v>
      </c>
      <c r="E95" s="1" t="s">
        <v>19</v>
      </c>
      <c r="F95" s="2">
        <v>366.74099999999999</v>
      </c>
      <c r="G95" s="1">
        <f>-40-60</f>
        <v>-100</v>
      </c>
      <c r="H95" s="1">
        <f t="shared" si="16"/>
        <v>266.74099999999999</v>
      </c>
      <c r="I95" s="280">
        <v>205.14599729919433</v>
      </c>
      <c r="J95" s="1"/>
      <c r="K95" s="1">
        <f t="shared" si="15"/>
        <v>61.595002700805651</v>
      </c>
      <c r="L95" s="3">
        <f t="shared" si="17"/>
        <v>0.76908310795563617</v>
      </c>
      <c r="M95" s="25" t="s">
        <v>284</v>
      </c>
    </row>
    <row r="96" spans="2:13">
      <c r="B96" s="11">
        <v>74</v>
      </c>
      <c r="C96" s="514"/>
      <c r="D96" s="15" t="s">
        <v>102</v>
      </c>
      <c r="E96" s="1" t="s">
        <v>19</v>
      </c>
      <c r="F96" s="2">
        <v>900.98500000000001</v>
      </c>
      <c r="G96" s="1">
        <f>412.9+63</f>
        <v>475.9</v>
      </c>
      <c r="H96" s="1">
        <f t="shared" si="16"/>
        <v>1376.885</v>
      </c>
      <c r="I96" s="285">
        <v>1402.8029992675788</v>
      </c>
      <c r="J96" s="1">
        <v>2.3730000000000002</v>
      </c>
      <c r="K96" s="1">
        <f t="shared" si="15"/>
        <v>-28.290999267578854</v>
      </c>
      <c r="L96" s="3">
        <f t="shared" si="17"/>
        <v>1.0188236485019293</v>
      </c>
      <c r="M96" s="25" t="s">
        <v>284</v>
      </c>
    </row>
    <row r="97" spans="2:14">
      <c r="B97" s="11">
        <v>75</v>
      </c>
      <c r="C97" s="514"/>
      <c r="D97" s="15" t="s">
        <v>103</v>
      </c>
      <c r="E97" s="1" t="s">
        <v>19</v>
      </c>
      <c r="F97" s="2">
        <v>7084.3760000000002</v>
      </c>
      <c r="G97" s="1">
        <f>100-50-100</f>
        <v>-50</v>
      </c>
      <c r="H97" s="1">
        <f t="shared" si="16"/>
        <v>7034.3760000000002</v>
      </c>
      <c r="I97" s="285">
        <v>6690.2100029067988</v>
      </c>
      <c r="J97" s="1">
        <v>67.89</v>
      </c>
      <c r="K97" s="1">
        <f t="shared" si="15"/>
        <v>276.27599709320111</v>
      </c>
      <c r="L97" s="3">
        <f t="shared" si="17"/>
        <v>0.95107369906112471</v>
      </c>
      <c r="M97" s="25" t="s">
        <v>284</v>
      </c>
    </row>
    <row r="98" spans="2:14">
      <c r="B98" s="11">
        <v>76</v>
      </c>
      <c r="C98" s="514"/>
      <c r="D98" s="15" t="s">
        <v>320</v>
      </c>
      <c r="E98" s="1" t="s">
        <v>19</v>
      </c>
      <c r="F98" s="2">
        <v>65.043000000000006</v>
      </c>
      <c r="G98" s="1">
        <f>-27</f>
        <v>-27</v>
      </c>
      <c r="H98" s="1">
        <f t="shared" si="16"/>
        <v>38.043000000000006</v>
      </c>
      <c r="I98" s="280">
        <v>0.88600000000000001</v>
      </c>
      <c r="J98" s="1"/>
      <c r="K98" s="1">
        <f t="shared" si="15"/>
        <v>37.157000000000004</v>
      </c>
      <c r="L98" s="3">
        <f t="shared" si="17"/>
        <v>2.3289435638619453E-2</v>
      </c>
      <c r="M98" s="25" t="s">
        <v>284</v>
      </c>
    </row>
    <row r="99" spans="2:14">
      <c r="B99" s="11">
        <v>77</v>
      </c>
      <c r="C99" s="514"/>
      <c r="D99" s="15" t="s">
        <v>321</v>
      </c>
      <c r="E99" s="1" t="s">
        <v>19</v>
      </c>
      <c r="F99" s="2">
        <v>17.253</v>
      </c>
      <c r="G99" s="1"/>
      <c r="H99" s="1">
        <f t="shared" si="16"/>
        <v>17.253</v>
      </c>
      <c r="I99" s="280">
        <v>0</v>
      </c>
      <c r="J99" s="1"/>
      <c r="K99" s="1">
        <f t="shared" si="15"/>
        <v>17.253</v>
      </c>
      <c r="L99" s="3">
        <f t="shared" si="17"/>
        <v>0</v>
      </c>
      <c r="M99" s="25" t="s">
        <v>284</v>
      </c>
    </row>
    <row r="100" spans="2:14">
      <c r="B100" s="11">
        <v>78</v>
      </c>
      <c r="C100" s="514"/>
      <c r="D100" s="15" t="s">
        <v>261</v>
      </c>
      <c r="E100" s="1" t="s">
        <v>19</v>
      </c>
      <c r="F100" s="2">
        <v>161.11699999999999</v>
      </c>
      <c r="G100" s="1">
        <f>-8-2.9-17.7</f>
        <v>-28.6</v>
      </c>
      <c r="H100" s="1">
        <f t="shared" si="16"/>
        <v>132.517</v>
      </c>
      <c r="I100" s="280">
        <v>0</v>
      </c>
      <c r="J100" s="1"/>
      <c r="K100" s="1">
        <f t="shared" si="15"/>
        <v>132.517</v>
      </c>
      <c r="L100" s="3">
        <f t="shared" si="17"/>
        <v>0</v>
      </c>
      <c r="M100" s="25" t="s">
        <v>284</v>
      </c>
    </row>
    <row r="101" spans="2:14">
      <c r="B101" s="11">
        <v>79</v>
      </c>
      <c r="C101" s="514"/>
      <c r="D101" s="15" t="s">
        <v>104</v>
      </c>
      <c r="E101" s="1" t="s">
        <v>19</v>
      </c>
      <c r="F101" s="2">
        <v>1513.97</v>
      </c>
      <c r="G101" s="1">
        <f>-100-200</f>
        <v>-300</v>
      </c>
      <c r="H101" s="1">
        <f t="shared" si="16"/>
        <v>1213.97</v>
      </c>
      <c r="I101" s="280">
        <v>1012.253989990234</v>
      </c>
      <c r="J101" s="1"/>
      <c r="K101" s="1">
        <f t="shared" si="15"/>
        <v>201.71601000976602</v>
      </c>
      <c r="L101" s="3">
        <f t="shared" si="17"/>
        <v>0.83383773074312706</v>
      </c>
      <c r="M101" s="25" t="s">
        <v>284</v>
      </c>
    </row>
    <row r="102" spans="2:14">
      <c r="B102" s="11">
        <v>80</v>
      </c>
      <c r="C102" s="514"/>
      <c r="D102" s="15" t="s">
        <v>105</v>
      </c>
      <c r="E102" s="1" t="s">
        <v>19</v>
      </c>
      <c r="F102" s="2">
        <v>62.993000000000002</v>
      </c>
      <c r="G102" s="1"/>
      <c r="H102" s="1">
        <f t="shared" si="16"/>
        <v>62.993000000000002</v>
      </c>
      <c r="I102" s="282">
        <v>44.106000000000002</v>
      </c>
      <c r="J102" s="1"/>
      <c r="K102" s="1">
        <f t="shared" si="15"/>
        <v>18.887</v>
      </c>
      <c r="L102" s="3">
        <f t="shared" si="17"/>
        <v>0.70017303509913797</v>
      </c>
      <c r="M102" s="47">
        <v>44621</v>
      </c>
    </row>
    <row r="103" spans="2:14">
      <c r="C103" s="514"/>
      <c r="D103" s="15" t="s">
        <v>206</v>
      </c>
      <c r="E103" s="25" t="s">
        <v>19</v>
      </c>
      <c r="F103" s="25"/>
      <c r="G103" s="2">
        <f>200+140.478+74+840+48.7+520+50+37.87+237+220+1001+186.645+1941.5+1011+550+692+640+1152+35+835.043+450+23.89+100+26.8+20+100+375+273+2+300+21+144+100+105+700+587.5+5495+235+1276.26+145+144+183+190+150+40+90+750+522.608+265+200+100+373.294+149.317+1.4+242.568+299.088+1424+164+182+653.258+94.878+149.317+2165+93.323+10+20+200+50+475+107.6+258.9+74.5+690.587+100+30+5+88+20+113+101.4+69+301+170+54.251+33.907+48.5+230+150+135.628+887.048+239.193+250.915+960+40+5.2+2147+65+45+77.782+143+2968+1481+1962+150+950+150+260+208.08+54.251</f>
        <v>46097.478999999992</v>
      </c>
      <c r="H103" s="5">
        <f t="shared" si="16"/>
        <v>46097.478999999992</v>
      </c>
      <c r="I103" s="25">
        <f>'Cesiones Indiv y Colecti VIII'!Q3</f>
        <v>30315.037</v>
      </c>
      <c r="J103" s="1"/>
      <c r="K103" s="1">
        <f t="shared" si="15"/>
        <v>15782.441999999992</v>
      </c>
      <c r="L103" s="41">
        <f t="shared" si="17"/>
        <v>0.6576289562385832</v>
      </c>
      <c r="M103" s="25" t="s">
        <v>284</v>
      </c>
    </row>
    <row r="104" spans="2:14">
      <c r="C104" s="514"/>
      <c r="D104" s="45" t="s">
        <v>237</v>
      </c>
      <c r="E104" s="32" t="s">
        <v>19</v>
      </c>
      <c r="F104" s="56">
        <f>SUM(F23:F102)</f>
        <v>147420.992</v>
      </c>
      <c r="G104" s="129">
        <f>SUM(G23:G102)</f>
        <v>4852.1959999999999</v>
      </c>
      <c r="H104" s="130">
        <f>F104+G104</f>
        <v>152273.18799999999</v>
      </c>
      <c r="I104" s="36">
        <f>SUM(I23:I102)</f>
        <v>127559.91913498772</v>
      </c>
      <c r="J104" s="31">
        <f>SUM(J23:J103)</f>
        <v>72.591000000000008</v>
      </c>
      <c r="K104" s="1">
        <f t="shared" si="15"/>
        <v>24640.677865012272</v>
      </c>
      <c r="L104" s="46">
        <f>(I104+J104)/H104</f>
        <v>0.83818111258685757</v>
      </c>
      <c r="M104" s="36" t="s">
        <v>284</v>
      </c>
    </row>
    <row r="105" spans="2:14">
      <c r="I105" s="51"/>
      <c r="M105" s="51"/>
    </row>
    <row r="106" spans="2:14" ht="16.5" customHeight="1">
      <c r="C106" s="515" t="s">
        <v>43</v>
      </c>
      <c r="D106" s="15" t="s">
        <v>251</v>
      </c>
      <c r="E106" s="1" t="s">
        <v>19</v>
      </c>
      <c r="F106" s="1">
        <v>2297</v>
      </c>
      <c r="G106" s="1"/>
      <c r="H106" s="1">
        <f>F106+G106</f>
        <v>2297</v>
      </c>
      <c r="I106" s="83">
        <v>675</v>
      </c>
      <c r="J106" s="1"/>
      <c r="K106" s="1">
        <f t="shared" si="15"/>
        <v>1622</v>
      </c>
      <c r="L106" s="3">
        <f>I106/H106</f>
        <v>0.29386155855463647</v>
      </c>
      <c r="M106" s="376">
        <v>44872</v>
      </c>
      <c r="N106" s="140"/>
    </row>
    <row r="107" spans="2:14" ht="20.25" customHeight="1">
      <c r="C107" s="516"/>
      <c r="D107" s="15" t="s">
        <v>206</v>
      </c>
      <c r="E107" s="25" t="s">
        <v>19</v>
      </c>
      <c r="F107" s="25"/>
      <c r="G107" s="1">
        <f>37.86+368+136+75+266+284+30+5+80+399+750+580</f>
        <v>3010.86</v>
      </c>
      <c r="H107" s="25">
        <f>F107+G107</f>
        <v>3010.86</v>
      </c>
      <c r="I107" s="25">
        <f>'Cesiones Ind IX-XIV'!T3</f>
        <v>400.32800000000003</v>
      </c>
      <c r="J107" s="1"/>
      <c r="K107" s="1">
        <f t="shared" si="15"/>
        <v>2610.5320000000002</v>
      </c>
      <c r="L107" s="41">
        <f>I107/H107</f>
        <v>0.13296134659200362</v>
      </c>
      <c r="M107" s="25" t="s">
        <v>284</v>
      </c>
    </row>
    <row r="108" spans="2:14" ht="20.25" customHeight="1">
      <c r="C108" s="516"/>
      <c r="D108" s="15" t="s">
        <v>238</v>
      </c>
      <c r="E108" s="25" t="s">
        <v>19</v>
      </c>
      <c r="F108" s="25">
        <f>SUM(F106)</f>
        <v>2297</v>
      </c>
      <c r="G108" s="1">
        <f>SUM(G106)</f>
        <v>0</v>
      </c>
      <c r="H108" s="25">
        <f>F108+G108</f>
        <v>2297</v>
      </c>
      <c r="I108" s="25">
        <f>SUM(I106)</f>
        <v>675</v>
      </c>
      <c r="J108" s="1">
        <f>J106+J107</f>
        <v>0</v>
      </c>
      <c r="K108" s="1">
        <f t="shared" si="15"/>
        <v>1622</v>
      </c>
      <c r="L108" s="41">
        <f>I108/H108</f>
        <v>0.29386155855463647</v>
      </c>
      <c r="M108" s="25" t="s">
        <v>284</v>
      </c>
    </row>
    <row r="109" spans="2:14">
      <c r="I109" s="51"/>
      <c r="M109" s="51"/>
    </row>
    <row r="110" spans="2:14" ht="15" customHeight="1">
      <c r="B110" s="11">
        <v>1</v>
      </c>
      <c r="C110" s="511" t="s">
        <v>44</v>
      </c>
      <c r="D110" s="15" t="s">
        <v>116</v>
      </c>
      <c r="E110" s="1" t="s">
        <v>19</v>
      </c>
      <c r="F110" s="1">
        <v>1062.6849999999999</v>
      </c>
      <c r="G110" s="1">
        <f>-260-100-675</f>
        <v>-1035</v>
      </c>
      <c r="H110" s="1">
        <f>F110+G110</f>
        <v>27.684999999999945</v>
      </c>
      <c r="I110" s="75">
        <v>0</v>
      </c>
      <c r="J110" s="1"/>
      <c r="K110" s="1">
        <f t="shared" si="15"/>
        <v>27.684999999999945</v>
      </c>
      <c r="L110" s="3">
        <f>(I110+J110)/H110</f>
        <v>0</v>
      </c>
      <c r="M110" s="107" t="s">
        <v>284</v>
      </c>
    </row>
    <row r="111" spans="2:14">
      <c r="B111" s="11">
        <v>2</v>
      </c>
      <c r="C111" s="512"/>
      <c r="D111" s="15" t="s">
        <v>117</v>
      </c>
      <c r="E111" s="1" t="s">
        <v>19</v>
      </c>
      <c r="F111" s="1">
        <v>1894.683</v>
      </c>
      <c r="G111" s="1">
        <f>-400</f>
        <v>-400</v>
      </c>
      <c r="H111" s="1">
        <f t="shared" ref="H111:H121" si="18">F111+G111</f>
        <v>1494.683</v>
      </c>
      <c r="I111" s="75">
        <v>766.43200000000002</v>
      </c>
      <c r="J111" s="1"/>
      <c r="K111" s="1">
        <f t="shared" si="15"/>
        <v>728.25099999999998</v>
      </c>
      <c r="L111" s="3">
        <f t="shared" ref="L111:L122" si="19">(I111+J111)/H111</f>
        <v>0.51277227345196275</v>
      </c>
      <c r="M111" s="356">
        <v>44685</v>
      </c>
    </row>
    <row r="112" spans="2:14">
      <c r="B112" s="11">
        <v>3</v>
      </c>
      <c r="C112" s="512"/>
      <c r="D112" s="15" t="s">
        <v>118</v>
      </c>
      <c r="E112" s="1" t="s">
        <v>19</v>
      </c>
      <c r="F112" s="1">
        <v>1501.0440000000001</v>
      </c>
      <c r="G112" s="1"/>
      <c r="H112" s="1">
        <f t="shared" si="18"/>
        <v>1501.0440000000001</v>
      </c>
      <c r="I112" s="75">
        <v>596.23899999999992</v>
      </c>
      <c r="J112" s="1"/>
      <c r="K112" s="1">
        <f t="shared" si="15"/>
        <v>904.80500000000018</v>
      </c>
      <c r="L112" s="3">
        <f t="shared" si="19"/>
        <v>0.39721620418855136</v>
      </c>
      <c r="M112" s="376">
        <v>44915</v>
      </c>
    </row>
    <row r="113" spans="2:13">
      <c r="B113" s="11">
        <v>4</v>
      </c>
      <c r="C113" s="512"/>
      <c r="D113" s="15" t="s">
        <v>119</v>
      </c>
      <c r="E113" s="1" t="s">
        <v>19</v>
      </c>
      <c r="F113" s="1">
        <v>1126.1130000000001</v>
      </c>
      <c r="G113" s="1"/>
      <c r="H113" s="1">
        <f t="shared" si="18"/>
        <v>1126.1130000000001</v>
      </c>
      <c r="I113" s="75">
        <v>491.99500000000006</v>
      </c>
      <c r="J113" s="1"/>
      <c r="K113" s="1">
        <f t="shared" si="15"/>
        <v>634.11799999999994</v>
      </c>
      <c r="L113" s="3">
        <f t="shared" si="19"/>
        <v>0.43689665246738119</v>
      </c>
      <c r="M113" s="376">
        <v>44741</v>
      </c>
    </row>
    <row r="114" spans="2:13">
      <c r="B114" s="11">
        <v>5</v>
      </c>
      <c r="C114" s="512"/>
      <c r="D114" s="15" t="s">
        <v>120</v>
      </c>
      <c r="E114" s="1" t="s">
        <v>19</v>
      </c>
      <c r="F114" s="1">
        <v>4704.5200000000004</v>
      </c>
      <c r="G114" s="1">
        <f>209</f>
        <v>209</v>
      </c>
      <c r="H114" s="1">
        <f t="shared" si="18"/>
        <v>4913.5200000000004</v>
      </c>
      <c r="I114" s="75">
        <v>1930.7000000000003</v>
      </c>
      <c r="J114" s="1"/>
      <c r="K114" s="1">
        <f t="shared" si="15"/>
        <v>2982.82</v>
      </c>
      <c r="L114" s="3">
        <f t="shared" si="19"/>
        <v>0.39293622494667774</v>
      </c>
      <c r="M114" s="376" t="s">
        <v>284</v>
      </c>
    </row>
    <row r="115" spans="2:13">
      <c r="B115" s="11">
        <v>6</v>
      </c>
      <c r="C115" s="512"/>
      <c r="D115" s="15" t="s">
        <v>121</v>
      </c>
      <c r="E115" s="1" t="s">
        <v>19</v>
      </c>
      <c r="F115" s="1">
        <v>823.23299999999995</v>
      </c>
      <c r="G115" s="1"/>
      <c r="H115" s="1">
        <f t="shared" si="18"/>
        <v>823.23299999999995</v>
      </c>
      <c r="I115" s="75">
        <v>273.83699999999999</v>
      </c>
      <c r="J115" s="1"/>
      <c r="K115" s="1">
        <f t="shared" si="15"/>
        <v>549.39599999999996</v>
      </c>
      <c r="L115" s="3">
        <f t="shared" si="19"/>
        <v>0.33263608237279119</v>
      </c>
      <c r="M115" s="376">
        <v>44743</v>
      </c>
    </row>
    <row r="116" spans="2:13">
      <c r="B116" s="11">
        <v>7</v>
      </c>
      <c r="C116" s="512"/>
      <c r="D116" s="15" t="s">
        <v>122</v>
      </c>
      <c r="E116" s="1" t="s">
        <v>19</v>
      </c>
      <c r="F116" s="1">
        <v>844.81200000000001</v>
      </c>
      <c r="G116" s="1"/>
      <c r="H116" s="1">
        <f t="shared" si="18"/>
        <v>844.81200000000001</v>
      </c>
      <c r="I116" s="75">
        <v>327.12099999999998</v>
      </c>
      <c r="J116" s="1"/>
      <c r="K116" s="1">
        <f t="shared" si="15"/>
        <v>517.69100000000003</v>
      </c>
      <c r="L116" s="3">
        <f t="shared" si="19"/>
        <v>0.38721159263836213</v>
      </c>
      <c r="M116" s="107" t="s">
        <v>284</v>
      </c>
    </row>
    <row r="117" spans="2:13">
      <c r="B117" s="11">
        <v>8</v>
      </c>
      <c r="C117" s="512"/>
      <c r="D117" s="15" t="s">
        <v>123</v>
      </c>
      <c r="E117" s="1" t="s">
        <v>19</v>
      </c>
      <c r="F117" s="1">
        <v>983.21</v>
      </c>
      <c r="G117" s="1"/>
      <c r="H117" s="1">
        <f t="shared" si="18"/>
        <v>983.21</v>
      </c>
      <c r="I117" s="75">
        <v>243.65900000000002</v>
      </c>
      <c r="J117" s="1"/>
      <c r="K117" s="1">
        <f t="shared" si="15"/>
        <v>739.55100000000004</v>
      </c>
      <c r="L117" s="3">
        <f t="shared" si="19"/>
        <v>0.24781989605475943</v>
      </c>
      <c r="M117" s="107" t="s">
        <v>284</v>
      </c>
    </row>
    <row r="118" spans="2:13">
      <c r="B118" s="11">
        <v>9</v>
      </c>
      <c r="C118" s="512"/>
      <c r="D118" s="15" t="s">
        <v>124</v>
      </c>
      <c r="E118" s="1" t="s">
        <v>19</v>
      </c>
      <c r="F118" s="1">
        <v>400.55900000000003</v>
      </c>
      <c r="G118" s="1">
        <f>-286-104</f>
        <v>-390</v>
      </c>
      <c r="H118" s="1">
        <f t="shared" si="18"/>
        <v>10.559000000000026</v>
      </c>
      <c r="I118" s="75">
        <v>0</v>
      </c>
      <c r="J118" s="1"/>
      <c r="K118" s="1">
        <f t="shared" si="15"/>
        <v>10.559000000000026</v>
      </c>
      <c r="L118" s="3">
        <f t="shared" si="19"/>
        <v>0</v>
      </c>
      <c r="M118" s="107" t="s">
        <v>284</v>
      </c>
    </row>
    <row r="119" spans="2:13">
      <c r="B119" s="11">
        <v>10</v>
      </c>
      <c r="C119" s="512"/>
      <c r="D119" s="15" t="s">
        <v>125</v>
      </c>
      <c r="E119" s="1" t="s">
        <v>19</v>
      </c>
      <c r="F119" s="1">
        <v>357.678</v>
      </c>
      <c r="G119" s="1">
        <f>-74.5</f>
        <v>-74.5</v>
      </c>
      <c r="H119" s="1">
        <f t="shared" si="18"/>
        <v>283.178</v>
      </c>
      <c r="I119" s="75">
        <v>144.24099999999999</v>
      </c>
      <c r="J119" s="1"/>
      <c r="K119" s="1">
        <f t="shared" si="15"/>
        <v>138.93700000000001</v>
      </c>
      <c r="L119" s="3">
        <f t="shared" si="19"/>
        <v>0.5093651342971558</v>
      </c>
      <c r="M119" s="107" t="s">
        <v>284</v>
      </c>
    </row>
    <row r="120" spans="2:13">
      <c r="B120" s="11">
        <v>11</v>
      </c>
      <c r="C120" s="512"/>
      <c r="D120" s="15" t="s">
        <v>126</v>
      </c>
      <c r="E120" s="1" t="s">
        <v>19</v>
      </c>
      <c r="F120" s="1">
        <v>143.46299999999999</v>
      </c>
      <c r="G120" s="1"/>
      <c r="H120" s="1">
        <f t="shared" si="18"/>
        <v>143.46299999999999</v>
      </c>
      <c r="I120" s="75">
        <v>38.483000000000004</v>
      </c>
      <c r="J120" s="1"/>
      <c r="K120" s="1">
        <f t="shared" si="15"/>
        <v>104.97999999999999</v>
      </c>
      <c r="L120" s="3">
        <f t="shared" si="19"/>
        <v>0.26824337982615731</v>
      </c>
      <c r="M120" s="376">
        <v>44907</v>
      </c>
    </row>
    <row r="121" spans="2:13">
      <c r="C121" s="512"/>
      <c r="D121" s="15" t="s">
        <v>206</v>
      </c>
      <c r="E121" s="25" t="s">
        <v>19</v>
      </c>
      <c r="F121" s="25"/>
      <c r="G121" s="1">
        <f>260+194.41+200+100+10+1287.852+1690+80+746.58+875+148.408+525+300+1+50+78+1+60+467.922+271.26+310+20+220+400+50+50+120+550+400+2350+625+80+40+235+50+584+466+26+44.85+104</f>
        <v>14071.282000000001</v>
      </c>
      <c r="H121" s="25">
        <f t="shared" si="18"/>
        <v>14071.282000000001</v>
      </c>
      <c r="I121" s="25">
        <f>'Cesiones Ind IX-XIV'!V3</f>
        <v>5166.4520000000002</v>
      </c>
      <c r="J121" s="1"/>
      <c r="K121" s="1">
        <f t="shared" si="15"/>
        <v>8904.8300000000017</v>
      </c>
      <c r="L121" s="3">
        <f t="shared" si="19"/>
        <v>0.36716284983841557</v>
      </c>
      <c r="M121" s="107" t="s">
        <v>284</v>
      </c>
    </row>
    <row r="122" spans="2:13">
      <c r="C122" s="512"/>
      <c r="D122" s="15" t="s">
        <v>239</v>
      </c>
      <c r="E122" s="25" t="s">
        <v>19</v>
      </c>
      <c r="F122" s="25">
        <f>SUM(F110:F120)</f>
        <v>13842.000000000002</v>
      </c>
      <c r="G122" s="1">
        <f>SUM(G110:G120)</f>
        <v>-1690.5</v>
      </c>
      <c r="H122" s="25">
        <f>F122+G122</f>
        <v>12151.500000000002</v>
      </c>
      <c r="I122" s="25">
        <f>SUM(I110:I120)</f>
        <v>4812.7069999999994</v>
      </c>
      <c r="J122" s="1"/>
      <c r="K122" s="1">
        <f t="shared" si="15"/>
        <v>7338.7930000000024</v>
      </c>
      <c r="L122" s="3">
        <f t="shared" si="19"/>
        <v>0.39605867588363564</v>
      </c>
      <c r="M122" s="25" t="s">
        <v>284</v>
      </c>
    </row>
    <row r="123" spans="2:13">
      <c r="I123" s="51"/>
      <c r="M123" s="51"/>
    </row>
    <row r="124" spans="2:13" ht="15" customHeight="1">
      <c r="B124" s="11">
        <v>1</v>
      </c>
      <c r="C124" s="511" t="s">
        <v>45</v>
      </c>
      <c r="D124" s="18" t="s">
        <v>106</v>
      </c>
      <c r="E124" s="1" t="s">
        <v>19</v>
      </c>
      <c r="F124" s="1">
        <v>487.31700000000001</v>
      </c>
      <c r="G124" s="1">
        <f>-75-75-80-45-77.782</f>
        <v>-352.78199999999998</v>
      </c>
      <c r="H124" s="1">
        <f>F124+G124</f>
        <v>134.53500000000003</v>
      </c>
      <c r="I124" s="75">
        <v>116.914</v>
      </c>
      <c r="J124" s="1"/>
      <c r="K124" s="1">
        <f t="shared" si="15"/>
        <v>17.621000000000024</v>
      </c>
      <c r="L124" s="3">
        <f>I124/H124</f>
        <v>0.86902293083584181</v>
      </c>
      <c r="M124" s="25" t="s">
        <v>284</v>
      </c>
    </row>
    <row r="125" spans="2:13">
      <c r="B125" s="11">
        <v>2</v>
      </c>
      <c r="C125" s="512"/>
      <c r="D125" s="18" t="s">
        <v>107</v>
      </c>
      <c r="E125" s="1" t="s">
        <v>19</v>
      </c>
      <c r="F125" s="1">
        <v>1738.97</v>
      </c>
      <c r="G125" s="1">
        <f>89+250</f>
        <v>339</v>
      </c>
      <c r="H125" s="1">
        <f t="shared" ref="H125:H133" si="20">F125+G125</f>
        <v>2077.9700000000003</v>
      </c>
      <c r="I125" s="75">
        <v>2005.3140000000001</v>
      </c>
      <c r="J125" s="1"/>
      <c r="K125" s="1">
        <f t="shared" si="15"/>
        <v>72.656000000000176</v>
      </c>
      <c r="L125" s="3">
        <f t="shared" ref="L125:L135" si="21">I125/H125</f>
        <v>0.96503510637785905</v>
      </c>
      <c r="M125" s="25" t="s">
        <v>284</v>
      </c>
    </row>
    <row r="126" spans="2:13">
      <c r="B126" s="11">
        <v>3</v>
      </c>
      <c r="C126" s="512"/>
      <c r="D126" s="18" t="s">
        <v>267</v>
      </c>
      <c r="E126" s="1" t="s">
        <v>19</v>
      </c>
      <c r="F126" s="1">
        <v>2052.828</v>
      </c>
      <c r="G126" s="1">
        <f>-228-400-250</f>
        <v>-878</v>
      </c>
      <c r="H126" s="1">
        <f t="shared" si="20"/>
        <v>1174.828</v>
      </c>
      <c r="I126" s="75">
        <v>1000.58</v>
      </c>
      <c r="J126" s="1"/>
      <c r="K126" s="1">
        <f t="shared" si="15"/>
        <v>174.24799999999993</v>
      </c>
      <c r="L126" s="3">
        <f t="shared" si="21"/>
        <v>0.85168211857395304</v>
      </c>
      <c r="M126" s="25" t="s">
        <v>284</v>
      </c>
    </row>
    <row r="127" spans="2:13">
      <c r="B127" s="11">
        <v>4</v>
      </c>
      <c r="C127" s="512"/>
      <c r="D127" s="18" t="s">
        <v>109</v>
      </c>
      <c r="E127" s="1" t="s">
        <v>19</v>
      </c>
      <c r="F127" s="1">
        <v>638.50699999999995</v>
      </c>
      <c r="G127" s="1">
        <f>-400-203</f>
        <v>-603</v>
      </c>
      <c r="H127" s="1">
        <f t="shared" si="20"/>
        <v>35.506999999999948</v>
      </c>
      <c r="I127" s="75">
        <v>0</v>
      </c>
      <c r="J127" s="1"/>
      <c r="K127" s="1">
        <f t="shared" si="15"/>
        <v>35.506999999999948</v>
      </c>
      <c r="L127" s="3">
        <f t="shared" si="21"/>
        <v>0</v>
      </c>
      <c r="M127" s="25" t="s">
        <v>284</v>
      </c>
    </row>
    <row r="128" spans="2:13">
      <c r="B128" s="11">
        <v>5</v>
      </c>
      <c r="C128" s="512"/>
      <c r="D128" s="18" t="s">
        <v>110</v>
      </c>
      <c r="E128" s="1" t="s">
        <v>19</v>
      </c>
      <c r="F128" s="1">
        <v>670.92600000000004</v>
      </c>
      <c r="G128" s="1">
        <f>-100-100-23.89-200-10</f>
        <v>-433.89</v>
      </c>
      <c r="H128" s="1">
        <f t="shared" si="20"/>
        <v>237.03600000000006</v>
      </c>
      <c r="I128" s="75">
        <v>203.60199999999998</v>
      </c>
      <c r="J128" s="1"/>
      <c r="K128" s="1">
        <f t="shared" si="15"/>
        <v>33.434000000000083</v>
      </c>
      <c r="L128" s="3">
        <f t="shared" si="21"/>
        <v>0.85894969540491706</v>
      </c>
      <c r="M128" s="25" t="s">
        <v>284</v>
      </c>
    </row>
    <row r="129" spans="2:13">
      <c r="B129" s="11">
        <v>6</v>
      </c>
      <c r="C129" s="512"/>
      <c r="D129" s="18" t="s">
        <v>111</v>
      </c>
      <c r="E129" s="1" t="s">
        <v>19</v>
      </c>
      <c r="F129" s="1">
        <v>338.42200000000003</v>
      </c>
      <c r="G129" s="1">
        <f>-240-89</f>
        <v>-329</v>
      </c>
      <c r="H129" s="1">
        <f t="shared" si="20"/>
        <v>9.4220000000000255</v>
      </c>
      <c r="I129" s="75">
        <v>0</v>
      </c>
      <c r="J129" s="1"/>
      <c r="K129" s="1">
        <f t="shared" si="15"/>
        <v>9.4220000000000255</v>
      </c>
      <c r="L129" s="3">
        <f t="shared" si="21"/>
        <v>0</v>
      </c>
      <c r="M129" s="25" t="s">
        <v>284</v>
      </c>
    </row>
    <row r="130" spans="2:13">
      <c r="B130" s="11">
        <v>7</v>
      </c>
      <c r="C130" s="512"/>
      <c r="D130" s="18" t="s">
        <v>112</v>
      </c>
      <c r="E130" s="1" t="s">
        <v>19</v>
      </c>
      <c r="F130" s="1">
        <v>336.27800000000002</v>
      </c>
      <c r="G130" s="1">
        <f>-74-136-30-63-24-9</f>
        <v>-336</v>
      </c>
      <c r="H130" s="1">
        <f t="shared" si="20"/>
        <v>0.27800000000002001</v>
      </c>
      <c r="I130" s="75">
        <v>0</v>
      </c>
      <c r="J130" s="1"/>
      <c r="K130" s="37">
        <f t="shared" si="15"/>
        <v>0.27800000000002001</v>
      </c>
      <c r="L130" s="3">
        <f>(G130/F130)*-1</f>
        <v>0.99917330304093632</v>
      </c>
      <c r="M130" s="376">
        <v>44818</v>
      </c>
    </row>
    <row r="131" spans="2:13">
      <c r="B131" s="11">
        <v>8</v>
      </c>
      <c r="C131" s="512"/>
      <c r="D131" s="18" t="s">
        <v>113</v>
      </c>
      <c r="E131" s="1" t="s">
        <v>19</v>
      </c>
      <c r="F131" s="1">
        <v>1750.5160000000001</v>
      </c>
      <c r="G131" s="1">
        <f>-151.45-262.177-790.333-50+24+9</f>
        <v>-1220.96</v>
      </c>
      <c r="H131" s="1">
        <f t="shared" si="20"/>
        <v>529.55600000000004</v>
      </c>
      <c r="I131" s="75">
        <v>378.14399999999995</v>
      </c>
      <c r="J131" s="1"/>
      <c r="K131" s="1">
        <f t="shared" si="15"/>
        <v>151.41200000000009</v>
      </c>
      <c r="L131" s="3">
        <f t="shared" si="21"/>
        <v>0.71407745356487307</v>
      </c>
      <c r="M131" s="25" t="s">
        <v>284</v>
      </c>
    </row>
    <row r="132" spans="2:13">
      <c r="B132" s="11">
        <v>9</v>
      </c>
      <c r="C132" s="512"/>
      <c r="D132" s="18" t="s">
        <v>114</v>
      </c>
      <c r="E132" s="1" t="s">
        <v>19</v>
      </c>
      <c r="F132" s="1">
        <v>297.404</v>
      </c>
      <c r="G132" s="1">
        <f>-12-15+10</f>
        <v>-17</v>
      </c>
      <c r="H132" s="1">
        <f t="shared" si="20"/>
        <v>280.404</v>
      </c>
      <c r="I132" s="75">
        <v>255.02800000000002</v>
      </c>
      <c r="J132" s="1"/>
      <c r="K132" s="1">
        <f t="shared" si="15"/>
        <v>25.375999999999976</v>
      </c>
      <c r="L132" s="3">
        <f t="shared" si="21"/>
        <v>0.90950200425100935</v>
      </c>
      <c r="M132" s="25" t="s">
        <v>284</v>
      </c>
    </row>
    <row r="133" spans="2:13">
      <c r="B133" s="11">
        <v>10</v>
      </c>
      <c r="C133" s="512"/>
      <c r="D133" s="18" t="s">
        <v>115</v>
      </c>
      <c r="E133" s="1" t="s">
        <v>19</v>
      </c>
      <c r="F133" s="1">
        <v>216.83199999999999</v>
      </c>
      <c r="G133" s="1"/>
      <c r="H133" s="1">
        <f t="shared" si="20"/>
        <v>216.83199999999999</v>
      </c>
      <c r="I133" s="75">
        <v>367.28100000000006</v>
      </c>
      <c r="J133" s="1"/>
      <c r="K133" s="1">
        <f t="shared" si="15"/>
        <v>-150.44900000000007</v>
      </c>
      <c r="L133" s="3">
        <f t="shared" si="21"/>
        <v>1.69385053866588</v>
      </c>
      <c r="M133" s="47">
        <v>44897</v>
      </c>
    </row>
    <row r="134" spans="2:13">
      <c r="C134" s="512"/>
      <c r="D134" s="18" t="s">
        <v>206</v>
      </c>
      <c r="E134" s="1" t="s">
        <v>19</v>
      </c>
      <c r="F134" s="1"/>
      <c r="G134" s="1">
        <f>50</f>
        <v>50</v>
      </c>
      <c r="H134" s="1">
        <f>F134+G134</f>
        <v>50</v>
      </c>
      <c r="I134" s="75"/>
      <c r="J134" s="1"/>
      <c r="K134" s="1">
        <f t="shared" ref="K134" si="22">H134-(I134+J134)</f>
        <v>50</v>
      </c>
      <c r="L134" s="3">
        <f t="shared" ref="L134" si="23">I134/H134</f>
        <v>0</v>
      </c>
      <c r="M134" s="25"/>
    </row>
    <row r="135" spans="2:13">
      <c r="C135" s="512"/>
      <c r="D135" s="18" t="s">
        <v>240</v>
      </c>
      <c r="E135" s="1" t="s">
        <v>19</v>
      </c>
      <c r="F135" s="1">
        <f>SUM(F124:F133)</f>
        <v>8528</v>
      </c>
      <c r="G135" s="1">
        <f>SUM(G124:G134)</f>
        <v>-3781.6320000000001</v>
      </c>
      <c r="H135" s="25">
        <f>F135+G135</f>
        <v>4746.3680000000004</v>
      </c>
      <c r="I135" s="25">
        <f>SUM(I124:I134)</f>
        <v>4326.8629999999994</v>
      </c>
      <c r="J135" s="1"/>
      <c r="K135" s="1">
        <f t="shared" si="15"/>
        <v>419.50500000000102</v>
      </c>
      <c r="L135" s="41">
        <f t="shared" si="21"/>
        <v>0.91161557637334467</v>
      </c>
      <c r="M135" s="25" t="s">
        <v>284</v>
      </c>
    </row>
    <row r="136" spans="2:13">
      <c r="I136" s="51"/>
    </row>
    <row r="137" spans="2:13">
      <c r="G137" s="35">
        <f>SUM(G7:G133)</f>
        <v>41641.256999999991</v>
      </c>
    </row>
  </sheetData>
  <mergeCells count="9">
    <mergeCell ref="C110:C122"/>
    <mergeCell ref="C23:C104"/>
    <mergeCell ref="C106:C108"/>
    <mergeCell ref="C124:C135"/>
    <mergeCell ref="C2:M2"/>
    <mergeCell ref="C3:M3"/>
    <mergeCell ref="C7:C13"/>
    <mergeCell ref="C15:C16"/>
    <mergeCell ref="C18:C2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</sheetPr>
  <dimension ref="B2:N136"/>
  <sheetViews>
    <sheetView topLeftCell="C82" zoomScale="80" zoomScaleNormal="80" workbookViewId="0">
      <selection activeCell="K102" sqref="K102"/>
    </sheetView>
  </sheetViews>
  <sheetFormatPr baseColWidth="10" defaultRowHeight="15"/>
  <cols>
    <col min="1" max="1" width="7.5703125" style="95" customWidth="1"/>
    <col min="2" max="2" width="7.42578125" style="95" customWidth="1"/>
    <col min="3" max="3" width="14.42578125" style="95" customWidth="1"/>
    <col min="4" max="4" width="80.85546875" style="95" customWidth="1"/>
    <col min="5" max="5" width="8" style="95" bestFit="1" customWidth="1"/>
    <col min="6" max="6" width="14.85546875" style="95" bestFit="1" customWidth="1"/>
    <col min="7" max="7" width="12" style="95" bestFit="1" customWidth="1"/>
    <col min="8" max="8" width="13.85546875" style="95" bestFit="1" customWidth="1"/>
    <col min="9" max="9" width="14.85546875" style="95" customWidth="1"/>
    <col min="10" max="11" width="11.42578125" style="95"/>
    <col min="12" max="12" width="13.42578125" style="95" bestFit="1" customWidth="1"/>
    <col min="13" max="16384" width="11.42578125" style="95"/>
  </cols>
  <sheetData>
    <row r="2" spans="2:13" ht="18.75">
      <c r="C2" s="532" t="s">
        <v>305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</row>
    <row r="3" spans="2:13">
      <c r="C3" s="533"/>
      <c r="D3" s="534"/>
      <c r="E3" s="534"/>
      <c r="F3" s="534"/>
      <c r="G3" s="534"/>
      <c r="H3" s="534"/>
      <c r="I3" s="534"/>
      <c r="J3" s="534"/>
      <c r="K3" s="534"/>
      <c r="L3" s="534"/>
      <c r="M3" s="534"/>
    </row>
    <row r="5" spans="2:13" ht="30">
      <c r="C5" s="204" t="s">
        <v>38</v>
      </c>
      <c r="D5" s="204" t="s">
        <v>35</v>
      </c>
      <c r="E5" s="204" t="s">
        <v>0</v>
      </c>
      <c r="F5" s="204" t="s">
        <v>1</v>
      </c>
      <c r="G5" s="204" t="s">
        <v>2</v>
      </c>
      <c r="H5" s="204" t="s">
        <v>3</v>
      </c>
      <c r="I5" s="204" t="s">
        <v>4</v>
      </c>
      <c r="J5" s="205" t="s">
        <v>159</v>
      </c>
      <c r="K5" s="204" t="s">
        <v>5</v>
      </c>
      <c r="L5" s="204" t="s">
        <v>6</v>
      </c>
      <c r="M5" s="206" t="s">
        <v>37</v>
      </c>
    </row>
    <row r="7" spans="2:13">
      <c r="B7" s="95">
        <v>1</v>
      </c>
      <c r="C7" s="527" t="s">
        <v>39</v>
      </c>
      <c r="D7" s="209" t="s">
        <v>130</v>
      </c>
      <c r="E7" s="203" t="s">
        <v>19</v>
      </c>
      <c r="F7" s="203">
        <v>3048.2710000000002</v>
      </c>
      <c r="G7" s="203">
        <f>-750-250-1228.75-500-305+1227.866</f>
        <v>-1805.884</v>
      </c>
      <c r="H7" s="203">
        <f t="shared" ref="H7:H13" si="0">F7+G7</f>
        <v>1242.3870000000002</v>
      </c>
      <c r="I7" s="110"/>
      <c r="J7" s="203"/>
      <c r="K7" s="203">
        <f t="shared" ref="K7:K13" si="1">H7-(I7+J7)</f>
        <v>1242.3870000000002</v>
      </c>
      <c r="L7" s="210">
        <f>(G7/F7)*-1</f>
        <v>0.59242895398735873</v>
      </c>
      <c r="M7" s="330">
        <v>44678</v>
      </c>
    </row>
    <row r="8" spans="2:13">
      <c r="B8" s="95">
        <v>2</v>
      </c>
      <c r="C8" s="528"/>
      <c r="D8" s="209" t="s">
        <v>282</v>
      </c>
      <c r="E8" s="203" t="s">
        <v>19</v>
      </c>
      <c r="F8" s="203">
        <v>628.03300000000002</v>
      </c>
      <c r="G8" s="203">
        <f>-562.687-65.346</f>
        <v>-628.03300000000002</v>
      </c>
      <c r="H8" s="203">
        <f t="shared" si="0"/>
        <v>0</v>
      </c>
      <c r="I8" s="110"/>
      <c r="J8" s="203"/>
      <c r="K8" s="203">
        <f t="shared" si="1"/>
        <v>0</v>
      </c>
      <c r="L8" s="210">
        <f>(G8/F8)*-1</f>
        <v>1</v>
      </c>
      <c r="M8" s="211" t="s">
        <v>284</v>
      </c>
    </row>
    <row r="9" spans="2:13">
      <c r="B9" s="95">
        <v>3</v>
      </c>
      <c r="C9" s="528"/>
      <c r="D9" s="209" t="s">
        <v>132</v>
      </c>
      <c r="E9" s="203" t="s">
        <v>19</v>
      </c>
      <c r="F9" s="203">
        <v>3.0550000000000002</v>
      </c>
      <c r="G9" s="203"/>
      <c r="H9" s="203">
        <f t="shared" si="0"/>
        <v>3.0550000000000002</v>
      </c>
      <c r="I9" s="212"/>
      <c r="J9" s="203"/>
      <c r="K9" s="203">
        <f t="shared" si="1"/>
        <v>3.0550000000000002</v>
      </c>
      <c r="L9" s="210">
        <f t="shared" ref="L9:L13" si="2">I9/H9</f>
        <v>0</v>
      </c>
      <c r="M9" s="110" t="s">
        <v>284</v>
      </c>
    </row>
    <row r="10" spans="2:13">
      <c r="B10" s="95">
        <v>4</v>
      </c>
      <c r="C10" s="528"/>
      <c r="D10" s="209" t="s">
        <v>262</v>
      </c>
      <c r="E10" s="203" t="s">
        <v>19</v>
      </c>
      <c r="F10" s="203">
        <v>35.347999999999999</v>
      </c>
      <c r="G10" s="203"/>
      <c r="H10" s="203">
        <f t="shared" si="0"/>
        <v>35.347999999999999</v>
      </c>
      <c r="I10" s="212"/>
      <c r="J10" s="203"/>
      <c r="K10" s="203">
        <f t="shared" si="1"/>
        <v>35.347999999999999</v>
      </c>
      <c r="L10" s="210">
        <f t="shared" si="2"/>
        <v>0</v>
      </c>
      <c r="M10" s="110" t="s">
        <v>284</v>
      </c>
    </row>
    <row r="11" spans="2:13">
      <c r="B11" s="95">
        <v>5</v>
      </c>
      <c r="C11" s="528"/>
      <c r="D11" s="209" t="s">
        <v>263</v>
      </c>
      <c r="E11" s="203" t="s">
        <v>19</v>
      </c>
      <c r="F11" s="203">
        <v>1.9059999999999999</v>
      </c>
      <c r="G11" s="203"/>
      <c r="H11" s="203">
        <f t="shared" si="0"/>
        <v>1.9059999999999999</v>
      </c>
      <c r="I11" s="213"/>
      <c r="J11" s="203"/>
      <c r="K11" s="203">
        <f t="shared" si="1"/>
        <v>1.9059999999999999</v>
      </c>
      <c r="L11" s="210">
        <f t="shared" si="2"/>
        <v>0</v>
      </c>
      <c r="M11" s="110" t="s">
        <v>284</v>
      </c>
    </row>
    <row r="12" spans="2:13">
      <c r="B12" s="95">
        <v>6</v>
      </c>
      <c r="C12" s="528"/>
      <c r="D12" s="209" t="s">
        <v>133</v>
      </c>
      <c r="E12" s="203" t="s">
        <v>19</v>
      </c>
      <c r="F12" s="203">
        <v>185.387</v>
      </c>
      <c r="G12" s="203"/>
      <c r="H12" s="203">
        <f t="shared" si="0"/>
        <v>185.387</v>
      </c>
      <c r="I12" s="214">
        <v>42.05</v>
      </c>
      <c r="J12" s="203"/>
      <c r="K12" s="203">
        <f t="shared" si="1"/>
        <v>143.33699999999999</v>
      </c>
      <c r="L12" s="215">
        <f t="shared" si="2"/>
        <v>0.22682280850329309</v>
      </c>
      <c r="M12" s="216" t="s">
        <v>284</v>
      </c>
    </row>
    <row r="13" spans="2:13">
      <c r="C13" s="528"/>
      <c r="D13" s="209" t="s">
        <v>241</v>
      </c>
      <c r="E13" s="110" t="s">
        <v>19</v>
      </c>
      <c r="F13" s="203">
        <f>SUM(F7:F12)</f>
        <v>3902</v>
      </c>
      <c r="G13" s="203">
        <f>SUM(G7:G12)</f>
        <v>-2433.9169999999999</v>
      </c>
      <c r="H13" s="110">
        <f t="shared" si="0"/>
        <v>1468.0830000000001</v>
      </c>
      <c r="I13" s="212">
        <f>SUM(I7:I12)</f>
        <v>42.05</v>
      </c>
      <c r="J13" s="203">
        <f>SUM(J7:J12)</f>
        <v>0</v>
      </c>
      <c r="K13" s="203">
        <f t="shared" si="1"/>
        <v>1426.0330000000001</v>
      </c>
      <c r="L13" s="210">
        <f t="shared" si="2"/>
        <v>2.8642794719372131E-2</v>
      </c>
      <c r="M13" s="217" t="s">
        <v>284</v>
      </c>
    </row>
    <row r="14" spans="2:13">
      <c r="I14" s="218"/>
      <c r="M14" s="218"/>
    </row>
    <row r="15" spans="2:13">
      <c r="C15" s="535" t="s">
        <v>40</v>
      </c>
      <c r="D15" s="209" t="s">
        <v>249</v>
      </c>
      <c r="E15" s="203" t="s">
        <v>19</v>
      </c>
      <c r="F15" s="203">
        <v>92</v>
      </c>
      <c r="G15" s="203"/>
      <c r="H15" s="203">
        <f>F15+G15</f>
        <v>92</v>
      </c>
      <c r="I15" s="212"/>
      <c r="J15" s="203"/>
      <c r="K15" s="203">
        <f>H15-(I15+J15)</f>
        <v>92</v>
      </c>
      <c r="L15" s="203">
        <f>I15/H15</f>
        <v>0</v>
      </c>
      <c r="M15" s="110" t="s">
        <v>284</v>
      </c>
    </row>
    <row r="16" spans="2:13">
      <c r="C16" s="536"/>
      <c r="D16" s="209" t="s">
        <v>235</v>
      </c>
      <c r="E16" s="110" t="s">
        <v>19</v>
      </c>
      <c r="F16" s="203">
        <f>F15</f>
        <v>92</v>
      </c>
      <c r="G16" s="203">
        <f>G15</f>
        <v>0</v>
      </c>
      <c r="H16" s="110">
        <f>F16+G16</f>
        <v>92</v>
      </c>
      <c r="I16" s="110">
        <f>I15</f>
        <v>0</v>
      </c>
      <c r="J16" s="203">
        <f>J15</f>
        <v>0</v>
      </c>
      <c r="K16" s="203">
        <f>H16-(I16+J16)</f>
        <v>92</v>
      </c>
      <c r="L16" s="219">
        <f>I16/H16</f>
        <v>0</v>
      </c>
      <c r="M16" s="110" t="s">
        <v>284</v>
      </c>
    </row>
    <row r="17" spans="2:13">
      <c r="I17" s="218"/>
      <c r="M17" s="218"/>
    </row>
    <row r="18" spans="2:13">
      <c r="C18" s="527" t="s">
        <v>41</v>
      </c>
      <c r="D18" s="209" t="s">
        <v>127</v>
      </c>
      <c r="E18" s="203" t="s">
        <v>19</v>
      </c>
      <c r="F18" s="203">
        <v>825.24599999999998</v>
      </c>
      <c r="G18" s="203">
        <f>-739.27</f>
        <v>-739.27</v>
      </c>
      <c r="H18" s="203">
        <f>F18+G18</f>
        <v>85.975999999999999</v>
      </c>
      <c r="I18" s="212"/>
      <c r="J18" s="203"/>
      <c r="K18" s="203">
        <f>H18-(I18+J18)</f>
        <v>85.975999999999999</v>
      </c>
      <c r="L18" s="210">
        <f>(G18/F18)*-1</f>
        <v>0.89581773192478364</v>
      </c>
      <c r="M18" s="110" t="s">
        <v>284</v>
      </c>
    </row>
    <row r="19" spans="2:13">
      <c r="C19" s="528"/>
      <c r="D19" s="209" t="s">
        <v>128</v>
      </c>
      <c r="E19" s="203" t="s">
        <v>19</v>
      </c>
      <c r="F19" s="203">
        <v>447.447</v>
      </c>
      <c r="G19" s="203">
        <f>-400.831-46.6</f>
        <v>-447.43100000000004</v>
      </c>
      <c r="H19" s="203">
        <f>F19+G19</f>
        <v>1.5999999999962711E-2</v>
      </c>
      <c r="I19" s="110"/>
      <c r="J19" s="203"/>
      <c r="K19" s="203">
        <f t="shared" ref="K19:K83" si="3">H19-(I19+J19)</f>
        <v>1.5999999999962711E-2</v>
      </c>
      <c r="L19" s="210">
        <f>(G19/F19)*-1</f>
        <v>0.99996424157497987</v>
      </c>
      <c r="M19" s="110" t="s">
        <v>284</v>
      </c>
    </row>
    <row r="20" spans="2:13">
      <c r="C20" s="528"/>
      <c r="D20" s="209" t="s">
        <v>129</v>
      </c>
      <c r="E20" s="203" t="s">
        <v>19</v>
      </c>
      <c r="F20" s="203">
        <v>138.30699999999999</v>
      </c>
      <c r="G20" s="203"/>
      <c r="H20" s="203">
        <f>F20+G20</f>
        <v>138.30699999999999</v>
      </c>
      <c r="I20" s="110"/>
      <c r="J20" s="203"/>
      <c r="K20" s="203">
        <f t="shared" si="3"/>
        <v>138.30699999999999</v>
      </c>
      <c r="L20" s="210">
        <f>I20/H20</f>
        <v>0</v>
      </c>
      <c r="M20" s="110" t="s">
        <v>284</v>
      </c>
    </row>
    <row r="21" spans="2:13">
      <c r="C21" s="528"/>
      <c r="D21" s="209" t="s">
        <v>236</v>
      </c>
      <c r="E21" s="110" t="s">
        <v>19</v>
      </c>
      <c r="F21" s="203">
        <f>SUM(F18:F20)</f>
        <v>1411</v>
      </c>
      <c r="G21" s="203">
        <f>SUM(G18:G20)</f>
        <v>-1186.701</v>
      </c>
      <c r="H21" s="110">
        <f>F21+G21</f>
        <v>224.29899999999998</v>
      </c>
      <c r="I21" s="110">
        <f>SUM(I18:I20)</f>
        <v>0</v>
      </c>
      <c r="J21" s="203"/>
      <c r="K21" s="203">
        <f t="shared" si="3"/>
        <v>224.29899999999998</v>
      </c>
      <c r="L21" s="219">
        <f>I21/H21</f>
        <v>0</v>
      </c>
      <c r="M21" s="110" t="s">
        <v>284</v>
      </c>
    </row>
    <row r="22" spans="2:13">
      <c r="I22" s="218"/>
      <c r="M22" s="218"/>
    </row>
    <row r="23" spans="2:13" ht="15" customHeight="1">
      <c r="B23" s="95">
        <v>1</v>
      </c>
      <c r="C23" s="525" t="s">
        <v>42</v>
      </c>
      <c r="D23" s="209" t="s">
        <v>47</v>
      </c>
      <c r="E23" s="203" t="s">
        <v>19</v>
      </c>
      <c r="F23" s="190">
        <v>308.09300000000002</v>
      </c>
      <c r="G23" s="203">
        <f>-143</f>
        <v>-143</v>
      </c>
      <c r="H23" s="203">
        <f>F23+G23</f>
        <v>165.09300000000002</v>
      </c>
      <c r="I23" s="282">
        <v>215.42600062561033</v>
      </c>
      <c r="J23" s="203"/>
      <c r="K23" s="203">
        <f t="shared" si="3"/>
        <v>-50.33300062561031</v>
      </c>
      <c r="L23" s="210">
        <f>I23/H23</f>
        <v>1.3048766490742205</v>
      </c>
      <c r="M23" s="356">
        <v>44637</v>
      </c>
    </row>
    <row r="24" spans="2:13">
      <c r="B24" s="95">
        <v>2</v>
      </c>
      <c r="C24" s="526"/>
      <c r="D24" s="209" t="s">
        <v>172</v>
      </c>
      <c r="E24" s="203" t="s">
        <v>19</v>
      </c>
      <c r="F24" s="190">
        <v>284.95999999999998</v>
      </c>
      <c r="G24" s="203"/>
      <c r="H24" s="203">
        <f t="shared" ref="H24:H88" si="4">F24+G24</f>
        <v>284.95999999999998</v>
      </c>
      <c r="I24" s="282">
        <v>290.10900000000004</v>
      </c>
      <c r="J24" s="203"/>
      <c r="K24" s="203">
        <f t="shared" si="3"/>
        <v>-5.1490000000000578</v>
      </c>
      <c r="L24" s="210">
        <f>I24/H24</f>
        <v>1.0180692026951152</v>
      </c>
      <c r="M24" s="110" t="s">
        <v>284</v>
      </c>
    </row>
    <row r="25" spans="2:13">
      <c r="B25" s="95">
        <v>3</v>
      </c>
      <c r="C25" s="526"/>
      <c r="D25" s="209" t="s">
        <v>48</v>
      </c>
      <c r="E25" s="203" t="s">
        <v>19</v>
      </c>
      <c r="F25" s="190">
        <v>1269.1120000000001</v>
      </c>
      <c r="G25" s="203">
        <f>-236-354</f>
        <v>-590</v>
      </c>
      <c r="H25" s="203">
        <f t="shared" si="4"/>
        <v>679.11200000000008</v>
      </c>
      <c r="I25" s="282">
        <v>433.49399999973173</v>
      </c>
      <c r="J25" s="203"/>
      <c r="K25" s="203">
        <f t="shared" si="3"/>
        <v>245.61800000026835</v>
      </c>
      <c r="L25" s="210">
        <f t="shared" ref="L25:L89" si="5">I25/H25</f>
        <v>0.63832475350123641</v>
      </c>
      <c r="M25" s="110" t="s">
        <v>284</v>
      </c>
    </row>
    <row r="26" spans="2:13">
      <c r="B26" s="95">
        <v>4</v>
      </c>
      <c r="C26" s="526"/>
      <c r="D26" s="209" t="s">
        <v>49</v>
      </c>
      <c r="E26" s="203" t="s">
        <v>19</v>
      </c>
      <c r="F26" s="190">
        <v>3470.5120000000002</v>
      </c>
      <c r="G26" s="203">
        <f>-65-1499-599-499</f>
        <v>-2662</v>
      </c>
      <c r="H26" s="203">
        <f t="shared" si="4"/>
        <v>808.51200000000017</v>
      </c>
      <c r="I26" s="282">
        <v>216.4290131835935</v>
      </c>
      <c r="J26" s="203"/>
      <c r="K26" s="203">
        <f t="shared" si="3"/>
        <v>592.08298681640667</v>
      </c>
      <c r="L26" s="210">
        <f t="shared" si="5"/>
        <v>0.26768806546296586</v>
      </c>
      <c r="M26" s="110" t="s">
        <v>284</v>
      </c>
    </row>
    <row r="27" spans="2:13">
      <c r="B27" s="95">
        <v>5</v>
      </c>
      <c r="C27" s="526"/>
      <c r="D27" s="209" t="s">
        <v>50</v>
      </c>
      <c r="E27" s="203" t="s">
        <v>19</v>
      </c>
      <c r="F27" s="190">
        <v>3411.7710000000002</v>
      </c>
      <c r="G27" s="203">
        <f>-900-732-100-300-230-87-87-300-85-19.7-50-518+2450</f>
        <v>-958.69999999999982</v>
      </c>
      <c r="H27" s="203">
        <f t="shared" si="4"/>
        <v>2453.0710000000004</v>
      </c>
      <c r="I27" s="282">
        <v>0</v>
      </c>
      <c r="J27" s="203"/>
      <c r="K27" s="203">
        <f t="shared" si="3"/>
        <v>2453.0710000000004</v>
      </c>
      <c r="L27" s="210">
        <f>(G27/F27)*-1</f>
        <v>0.28099775746965427</v>
      </c>
      <c r="M27" s="110" t="s">
        <v>284</v>
      </c>
    </row>
    <row r="28" spans="2:13">
      <c r="B28" s="95">
        <v>6</v>
      </c>
      <c r="C28" s="526"/>
      <c r="D28" s="209" t="s">
        <v>51</v>
      </c>
      <c r="E28" s="203" t="s">
        <v>19</v>
      </c>
      <c r="F28" s="190">
        <v>5897.3590000000004</v>
      </c>
      <c r="G28" s="203">
        <f>-300-300</f>
        <v>-600</v>
      </c>
      <c r="H28" s="203">
        <f t="shared" si="4"/>
        <v>5297.3590000000004</v>
      </c>
      <c r="I28" s="282">
        <v>1590.0200385742187</v>
      </c>
      <c r="J28" s="203"/>
      <c r="K28" s="203">
        <f t="shared" si="3"/>
        <v>3707.3389614257817</v>
      </c>
      <c r="L28" s="210">
        <f t="shared" si="5"/>
        <v>0.30015334784261716</v>
      </c>
      <c r="M28" s="110" t="s">
        <v>284</v>
      </c>
    </row>
    <row r="29" spans="2:13">
      <c r="B29" s="95">
        <v>7</v>
      </c>
      <c r="C29" s="526"/>
      <c r="D29" s="209" t="s">
        <v>52</v>
      </c>
      <c r="E29" s="203" t="s">
        <v>19</v>
      </c>
      <c r="F29" s="190">
        <v>8931.8670000000002</v>
      </c>
      <c r="G29" s="203">
        <f>120+800</f>
        <v>920</v>
      </c>
      <c r="H29" s="203">
        <f t="shared" si="4"/>
        <v>9851.8670000000002</v>
      </c>
      <c r="I29" s="282">
        <v>4407.5309932517994</v>
      </c>
      <c r="J29" s="203"/>
      <c r="K29" s="203">
        <f t="shared" si="3"/>
        <v>5444.3360067482008</v>
      </c>
      <c r="L29" s="210">
        <f t="shared" si="5"/>
        <v>0.44738027759122195</v>
      </c>
      <c r="M29" s="110" t="s">
        <v>284</v>
      </c>
    </row>
    <row r="30" spans="2:13">
      <c r="B30" s="95">
        <v>8</v>
      </c>
      <c r="C30" s="526"/>
      <c r="D30" s="209" t="s">
        <v>53</v>
      </c>
      <c r="E30" s="203" t="s">
        <v>19</v>
      </c>
      <c r="F30" s="190">
        <v>3396.0509999999999</v>
      </c>
      <c r="G30" s="203"/>
      <c r="H30" s="203">
        <f t="shared" si="4"/>
        <v>3396.0509999999999</v>
      </c>
      <c r="I30" s="282">
        <v>1703.8279972839357</v>
      </c>
      <c r="J30" s="203"/>
      <c r="K30" s="203">
        <f t="shared" si="3"/>
        <v>1692.2230027160642</v>
      </c>
      <c r="L30" s="210">
        <f t="shared" si="5"/>
        <v>0.50170860133841799</v>
      </c>
      <c r="M30" s="110" t="s">
        <v>284</v>
      </c>
    </row>
    <row r="31" spans="2:13">
      <c r="B31" s="95">
        <v>9</v>
      </c>
      <c r="C31" s="526"/>
      <c r="D31" s="209" t="s">
        <v>54</v>
      </c>
      <c r="E31" s="203" t="s">
        <v>19</v>
      </c>
      <c r="F31" s="190">
        <v>4050.346</v>
      </c>
      <c r="G31" s="203">
        <f>-245-660+580</f>
        <v>-325</v>
      </c>
      <c r="H31" s="203">
        <f t="shared" si="4"/>
        <v>3725.346</v>
      </c>
      <c r="I31" s="282">
        <v>105.51000000000002</v>
      </c>
      <c r="J31" s="203"/>
      <c r="K31" s="203">
        <f t="shared" si="3"/>
        <v>3619.8359999999998</v>
      </c>
      <c r="L31" s="210">
        <f t="shared" si="5"/>
        <v>2.8322201481419448E-2</v>
      </c>
      <c r="M31" s="110" t="s">
        <v>284</v>
      </c>
    </row>
    <row r="32" spans="2:13">
      <c r="B32" s="95">
        <v>10</v>
      </c>
      <c r="C32" s="526"/>
      <c r="D32" s="209" t="s">
        <v>55</v>
      </c>
      <c r="E32" s="203" t="s">
        <v>19</v>
      </c>
      <c r="F32" s="190">
        <v>401.46699999999998</v>
      </c>
      <c r="G32" s="203">
        <f>-220</f>
        <v>-220</v>
      </c>
      <c r="H32" s="203">
        <f t="shared" si="4"/>
        <v>181.46699999999998</v>
      </c>
      <c r="I32" s="282">
        <v>129.94899985527994</v>
      </c>
      <c r="J32" s="203"/>
      <c r="K32" s="203">
        <f t="shared" si="3"/>
        <v>51.518000144720048</v>
      </c>
      <c r="L32" s="210">
        <f t="shared" si="5"/>
        <v>0.71610265147536434</v>
      </c>
      <c r="M32" s="110" t="s">
        <v>284</v>
      </c>
    </row>
    <row r="33" spans="2:13">
      <c r="B33" s="95">
        <v>11</v>
      </c>
      <c r="C33" s="526"/>
      <c r="D33" s="209" t="s">
        <v>56</v>
      </c>
      <c r="E33" s="203" t="s">
        <v>19</v>
      </c>
      <c r="F33" s="190">
        <v>3755.13</v>
      </c>
      <c r="G33" s="203">
        <f>-100</f>
        <v>-100</v>
      </c>
      <c r="H33" s="203">
        <f t="shared" si="4"/>
        <v>3655.13</v>
      </c>
      <c r="I33" s="282">
        <v>275.86899999999997</v>
      </c>
      <c r="J33" s="203">
        <v>1.7150000000000001</v>
      </c>
      <c r="K33" s="203">
        <f t="shared" si="3"/>
        <v>3377.5460000000003</v>
      </c>
      <c r="L33" s="210">
        <f t="shared" si="5"/>
        <v>7.547447012828544E-2</v>
      </c>
      <c r="M33" s="110" t="s">
        <v>284</v>
      </c>
    </row>
    <row r="34" spans="2:13">
      <c r="B34" s="95">
        <v>12</v>
      </c>
      <c r="C34" s="526"/>
      <c r="D34" s="209" t="s">
        <v>276</v>
      </c>
      <c r="E34" s="203" t="s">
        <v>19</v>
      </c>
      <c r="F34" s="190">
        <v>5288.6689999999999</v>
      </c>
      <c r="G34" s="203">
        <f>130+130+12.9+816.25+25+27.9+500+1.7+10.5+290+154+1200+150+22+7+100</f>
        <v>3577.25</v>
      </c>
      <c r="H34" s="203">
        <f t="shared" si="4"/>
        <v>8865.9189999999999</v>
      </c>
      <c r="I34" s="282">
        <v>6500.25898538208</v>
      </c>
      <c r="J34" s="203"/>
      <c r="K34" s="203">
        <f t="shared" si="3"/>
        <v>2365.6600146179198</v>
      </c>
      <c r="L34" s="210">
        <f t="shared" si="5"/>
        <v>0.73317373927982876</v>
      </c>
      <c r="M34" s="110" t="s">
        <v>284</v>
      </c>
    </row>
    <row r="35" spans="2:13">
      <c r="B35" s="95">
        <v>13</v>
      </c>
      <c r="C35" s="526"/>
      <c r="D35" s="209" t="s">
        <v>182</v>
      </c>
      <c r="E35" s="203" t="s">
        <v>19</v>
      </c>
      <c r="F35" s="190">
        <v>2884.8980000000001</v>
      </c>
      <c r="G35" s="203">
        <f>732+85+450+19.7+197+400+50+300+681</f>
        <v>2914.7</v>
      </c>
      <c r="H35" s="203">
        <f t="shared" si="4"/>
        <v>5799.598</v>
      </c>
      <c r="I35" s="282">
        <v>327.36200000000002</v>
      </c>
      <c r="J35" s="203"/>
      <c r="K35" s="203">
        <f t="shared" si="3"/>
        <v>5472.2359999999999</v>
      </c>
      <c r="L35" s="210">
        <f t="shared" si="5"/>
        <v>5.6445636404454241E-2</v>
      </c>
      <c r="M35" s="110" t="s">
        <v>284</v>
      </c>
    </row>
    <row r="36" spans="2:13">
      <c r="B36" s="95">
        <v>14</v>
      </c>
      <c r="C36" s="526"/>
      <c r="D36" s="209" t="s">
        <v>277</v>
      </c>
      <c r="E36" s="203" t="s">
        <v>19</v>
      </c>
      <c r="F36" s="190">
        <v>2288.355</v>
      </c>
      <c r="G36" s="110">
        <f>27+360+65.346+180+245+660+150</f>
        <v>1687.346</v>
      </c>
      <c r="H36" s="203">
        <f t="shared" si="4"/>
        <v>3975.701</v>
      </c>
      <c r="I36" s="282">
        <v>1528.2069848632814</v>
      </c>
      <c r="J36" s="203"/>
      <c r="K36" s="203">
        <f t="shared" si="3"/>
        <v>2447.4940151367186</v>
      </c>
      <c r="L36" s="210">
        <f t="shared" si="5"/>
        <v>0.38438679992868713</v>
      </c>
      <c r="M36" s="110" t="s">
        <v>284</v>
      </c>
    </row>
    <row r="37" spans="2:13">
      <c r="B37" s="95">
        <v>15</v>
      </c>
      <c r="C37" s="526"/>
      <c r="D37" s="209" t="s">
        <v>278</v>
      </c>
      <c r="E37" s="203" t="s">
        <v>19</v>
      </c>
      <c r="F37" s="190">
        <v>173.95699999999999</v>
      </c>
      <c r="G37" s="203">
        <f>3284+500+143+250+22.1+82+414+170+80+800+110+1000+200</f>
        <v>7055.1</v>
      </c>
      <c r="H37" s="203">
        <f t="shared" si="4"/>
        <v>7229.0570000000007</v>
      </c>
      <c r="I37" s="282">
        <v>1141.7669394530988</v>
      </c>
      <c r="J37" s="203"/>
      <c r="K37" s="203">
        <f t="shared" si="3"/>
        <v>6087.2900605469022</v>
      </c>
      <c r="L37" s="210">
        <f t="shared" si="5"/>
        <v>0.15794133860793996</v>
      </c>
      <c r="M37" s="110" t="s">
        <v>284</v>
      </c>
    </row>
    <row r="38" spans="2:13">
      <c r="B38" s="95">
        <v>16</v>
      </c>
      <c r="C38" s="526"/>
      <c r="D38" s="209" t="s">
        <v>57</v>
      </c>
      <c r="E38" s="203" t="s">
        <v>19</v>
      </c>
      <c r="F38" s="190">
        <v>979.06</v>
      </c>
      <c r="G38" s="203"/>
      <c r="H38" s="203">
        <f t="shared" si="4"/>
        <v>979.06</v>
      </c>
      <c r="I38" s="282">
        <v>298.59900695800792</v>
      </c>
      <c r="J38" s="203"/>
      <c r="K38" s="203">
        <f t="shared" si="3"/>
        <v>680.46099304199197</v>
      </c>
      <c r="L38" s="210">
        <f t="shared" si="5"/>
        <v>0.30498540126040075</v>
      </c>
      <c r="M38" s="110" t="s">
        <v>284</v>
      </c>
    </row>
    <row r="39" spans="2:13">
      <c r="B39" s="95">
        <v>17</v>
      </c>
      <c r="C39" s="526"/>
      <c r="D39" s="209" t="s">
        <v>260</v>
      </c>
      <c r="E39" s="203" t="s">
        <v>19</v>
      </c>
      <c r="F39" s="190">
        <v>4321.2049999999999</v>
      </c>
      <c r="G39" s="203">
        <f>-1625-975-550-600</f>
        <v>-3750</v>
      </c>
      <c r="H39" s="203">
        <f t="shared" si="4"/>
        <v>571.20499999999993</v>
      </c>
      <c r="I39" s="282">
        <v>26.312000000000001</v>
      </c>
      <c r="J39" s="203"/>
      <c r="K39" s="203">
        <f t="shared" si="3"/>
        <v>544.89299999999992</v>
      </c>
      <c r="L39" s="210">
        <f t="shared" si="5"/>
        <v>4.6064022548822234E-2</v>
      </c>
      <c r="M39" s="110" t="s">
        <v>284</v>
      </c>
    </row>
    <row r="40" spans="2:13">
      <c r="B40" s="95">
        <v>18</v>
      </c>
      <c r="C40" s="526"/>
      <c r="D40" s="209" t="s">
        <v>58</v>
      </c>
      <c r="E40" s="203" t="s">
        <v>19</v>
      </c>
      <c r="F40" s="190">
        <v>80.061999999999998</v>
      </c>
      <c r="G40" s="203"/>
      <c r="H40" s="203">
        <f t="shared" si="4"/>
        <v>80.061999999999998</v>
      </c>
      <c r="I40" s="282">
        <v>70.531999999999996</v>
      </c>
      <c r="J40" s="203"/>
      <c r="K40" s="203">
        <f t="shared" si="3"/>
        <v>9.5300000000000011</v>
      </c>
      <c r="L40" s="210">
        <f t="shared" si="5"/>
        <v>0.88096725038095469</v>
      </c>
      <c r="M40" s="110" t="s">
        <v>284</v>
      </c>
    </row>
    <row r="41" spans="2:13">
      <c r="B41" s="95">
        <v>19</v>
      </c>
      <c r="C41" s="526"/>
      <c r="D41" s="209" t="s">
        <v>59</v>
      </c>
      <c r="E41" s="203" t="s">
        <v>19</v>
      </c>
      <c r="F41" s="190">
        <v>22496.713</v>
      </c>
      <c r="G41" s="203">
        <f>200+900+190+900+2500+410+280.5+600+499-90+32.6-270-800-250-400-150+518-1200-300-170-280+90</f>
        <v>3210.1000000000004</v>
      </c>
      <c r="H41" s="203">
        <f t="shared" si="4"/>
        <v>25706.813000000002</v>
      </c>
      <c r="I41" s="282">
        <v>20078.553991931869</v>
      </c>
      <c r="J41" s="203"/>
      <c r="K41" s="203">
        <f t="shared" si="3"/>
        <v>5628.259008068133</v>
      </c>
      <c r="L41" s="210">
        <f t="shared" si="5"/>
        <v>0.78105963551109459</v>
      </c>
      <c r="M41" s="110" t="s">
        <v>284</v>
      </c>
    </row>
    <row r="42" spans="2:13">
      <c r="B42" s="95">
        <v>20</v>
      </c>
      <c r="C42" s="526"/>
      <c r="D42" s="209" t="s">
        <v>60</v>
      </c>
      <c r="E42" s="203" t="s">
        <v>19</v>
      </c>
      <c r="F42" s="190">
        <v>346.60899999999998</v>
      </c>
      <c r="G42" s="220"/>
      <c r="H42" s="203">
        <f t="shared" si="4"/>
        <v>346.60899999999998</v>
      </c>
      <c r="I42" s="282">
        <v>503.05099932861333</v>
      </c>
      <c r="J42" s="203"/>
      <c r="K42" s="203">
        <f t="shared" si="3"/>
        <v>-156.44199932861335</v>
      </c>
      <c r="L42" s="210">
        <f t="shared" si="5"/>
        <v>1.4513500784128899</v>
      </c>
      <c r="M42" s="356">
        <v>44653</v>
      </c>
    </row>
    <row r="43" spans="2:13">
      <c r="B43" s="95">
        <v>21</v>
      </c>
      <c r="C43" s="526"/>
      <c r="D43" s="209" t="s">
        <v>61</v>
      </c>
      <c r="E43" s="203" t="s">
        <v>19</v>
      </c>
      <c r="F43" s="190">
        <v>3463.9639999999999</v>
      </c>
      <c r="G43" s="203">
        <f>-380</f>
        <v>-380</v>
      </c>
      <c r="H43" s="203">
        <f t="shared" si="4"/>
        <v>3083.9639999999999</v>
      </c>
      <c r="I43" s="282">
        <v>31.919</v>
      </c>
      <c r="J43" s="203"/>
      <c r="K43" s="203">
        <f t="shared" si="3"/>
        <v>3052.0450000000001</v>
      </c>
      <c r="L43" s="210">
        <f t="shared" si="5"/>
        <v>1.0349991115330789E-2</v>
      </c>
      <c r="M43" s="110" t="s">
        <v>284</v>
      </c>
    </row>
    <row r="44" spans="2:13">
      <c r="B44" s="95">
        <v>22</v>
      </c>
      <c r="C44" s="526"/>
      <c r="D44" s="209" t="s">
        <v>62</v>
      </c>
      <c r="E44" s="203" t="s">
        <v>19</v>
      </c>
      <c r="F44" s="190">
        <v>2582.79</v>
      </c>
      <c r="G44" s="203">
        <f>300</f>
        <v>300</v>
      </c>
      <c r="H44" s="203">
        <f t="shared" si="4"/>
        <v>2882.79</v>
      </c>
      <c r="I44" s="282">
        <v>430.58699658203153</v>
      </c>
      <c r="J44" s="203"/>
      <c r="K44" s="190">
        <f t="shared" si="3"/>
        <v>2452.2030034179684</v>
      </c>
      <c r="L44" s="210">
        <f t="shared" si="5"/>
        <v>0.14936467678257229</v>
      </c>
      <c r="M44" s="110" t="s">
        <v>284</v>
      </c>
    </row>
    <row r="45" spans="2:13">
      <c r="B45" s="95">
        <v>23</v>
      </c>
      <c r="C45" s="526"/>
      <c r="D45" s="209" t="s">
        <v>63</v>
      </c>
      <c r="E45" s="203" t="s">
        <v>19</v>
      </c>
      <c r="F45" s="190">
        <v>2450.703</v>
      </c>
      <c r="G45" s="203">
        <f>400</f>
        <v>400</v>
      </c>
      <c r="H45" s="203">
        <f t="shared" si="4"/>
        <v>2850.703</v>
      </c>
      <c r="I45" s="282">
        <v>51.911999999999992</v>
      </c>
      <c r="J45" s="203"/>
      <c r="K45" s="203">
        <f t="shared" si="3"/>
        <v>2798.7910000000002</v>
      </c>
      <c r="L45" s="210">
        <f t="shared" si="5"/>
        <v>1.8210244981676445E-2</v>
      </c>
      <c r="M45" s="110" t="s">
        <v>284</v>
      </c>
    </row>
    <row r="46" spans="2:13">
      <c r="B46" s="95">
        <v>24</v>
      </c>
      <c r="C46" s="526"/>
      <c r="D46" s="209" t="s">
        <v>181</v>
      </c>
      <c r="E46" s="203" t="s">
        <v>19</v>
      </c>
      <c r="F46" s="190">
        <v>5441.3950000000004</v>
      </c>
      <c r="G46" s="203">
        <f>300</f>
        <v>300</v>
      </c>
      <c r="H46" s="203">
        <f t="shared" si="4"/>
        <v>5741.3950000000004</v>
      </c>
      <c r="I46" s="282">
        <v>1972.8229965515136</v>
      </c>
      <c r="J46" s="203"/>
      <c r="K46" s="203">
        <f t="shared" si="3"/>
        <v>3768.5720034484866</v>
      </c>
      <c r="L46" s="210">
        <f t="shared" si="5"/>
        <v>0.34361387721128983</v>
      </c>
      <c r="M46" s="110" t="s">
        <v>284</v>
      </c>
    </row>
    <row r="47" spans="2:13">
      <c r="B47" s="95">
        <v>25</v>
      </c>
      <c r="C47" s="526"/>
      <c r="D47" s="209" t="s">
        <v>64</v>
      </c>
      <c r="E47" s="203" t="s">
        <v>19</v>
      </c>
      <c r="F47" s="190">
        <v>4354.6440000000002</v>
      </c>
      <c r="G47" s="203">
        <f>100-388-2000-1000</f>
        <v>-3288</v>
      </c>
      <c r="H47" s="203">
        <f t="shared" si="4"/>
        <v>1066.6440000000002</v>
      </c>
      <c r="I47" s="282">
        <v>105.203</v>
      </c>
      <c r="J47" s="203"/>
      <c r="K47" s="203">
        <f t="shared" si="3"/>
        <v>961.44100000000026</v>
      </c>
      <c r="L47" s="210">
        <f t="shared" si="5"/>
        <v>9.8629908385553175E-2</v>
      </c>
      <c r="M47" s="110" t="s">
        <v>284</v>
      </c>
    </row>
    <row r="48" spans="2:13">
      <c r="B48" s="95">
        <v>26</v>
      </c>
      <c r="C48" s="526"/>
      <c r="D48" s="209" t="s">
        <v>65</v>
      </c>
      <c r="E48" s="203" t="s">
        <v>19</v>
      </c>
      <c r="F48" s="190">
        <v>264.68099999999998</v>
      </c>
      <c r="G48" s="203">
        <f>50+250+450+220+370</f>
        <v>1340</v>
      </c>
      <c r="H48" s="203">
        <f t="shared" si="4"/>
        <v>1604.681</v>
      </c>
      <c r="I48" s="282">
        <v>496.97200045776367</v>
      </c>
      <c r="J48" s="203"/>
      <c r="K48" s="203">
        <f t="shared" si="3"/>
        <v>1107.7089995422364</v>
      </c>
      <c r="L48" s="210">
        <f t="shared" si="5"/>
        <v>0.30970143003984196</v>
      </c>
      <c r="M48" s="110" t="s">
        <v>284</v>
      </c>
    </row>
    <row r="49" spans="2:13">
      <c r="B49" s="95">
        <v>27</v>
      </c>
      <c r="C49" s="526"/>
      <c r="D49" s="209" t="s">
        <v>66</v>
      </c>
      <c r="E49" s="203" t="s">
        <v>19</v>
      </c>
      <c r="F49" s="190">
        <v>3354.6080000000002</v>
      </c>
      <c r="G49" s="203"/>
      <c r="H49" s="203">
        <f t="shared" si="4"/>
        <v>3354.6080000000002</v>
      </c>
      <c r="I49" s="282">
        <v>1832.954</v>
      </c>
      <c r="J49" s="203"/>
      <c r="K49" s="203">
        <f t="shared" si="3"/>
        <v>1521.6540000000002</v>
      </c>
      <c r="L49" s="210">
        <f t="shared" si="5"/>
        <v>0.54639886389110137</v>
      </c>
      <c r="M49" s="110" t="s">
        <v>284</v>
      </c>
    </row>
    <row r="50" spans="2:13">
      <c r="B50" s="95">
        <v>28</v>
      </c>
      <c r="C50" s="526"/>
      <c r="D50" s="209" t="s">
        <v>67</v>
      </c>
      <c r="E50" s="203" t="s">
        <v>19</v>
      </c>
      <c r="F50" s="190">
        <v>2617.8470000000002</v>
      </c>
      <c r="G50" s="203"/>
      <c r="H50" s="203">
        <f t="shared" si="4"/>
        <v>2617.8470000000002</v>
      </c>
      <c r="I50" s="282">
        <v>322.26701574707022</v>
      </c>
      <c r="J50" s="203"/>
      <c r="K50" s="203">
        <f t="shared" si="3"/>
        <v>2295.57998425293</v>
      </c>
      <c r="L50" s="210">
        <f t="shared" si="5"/>
        <v>0.12310383905059012</v>
      </c>
      <c r="M50" s="110" t="s">
        <v>284</v>
      </c>
    </row>
    <row r="51" spans="2:13">
      <c r="B51" s="95">
        <v>29</v>
      </c>
      <c r="C51" s="526"/>
      <c r="D51" s="209" t="s">
        <v>68</v>
      </c>
      <c r="E51" s="203" t="s">
        <v>19</v>
      </c>
      <c r="F51" s="190">
        <v>101.67100000000001</v>
      </c>
      <c r="G51" s="203">
        <f>-91</f>
        <v>-91</v>
      </c>
      <c r="H51" s="203">
        <f t="shared" si="4"/>
        <v>10.671000000000006</v>
      </c>
      <c r="I51" s="282">
        <v>0</v>
      </c>
      <c r="J51" s="203"/>
      <c r="K51" s="203">
        <f t="shared" si="3"/>
        <v>10.671000000000006</v>
      </c>
      <c r="L51" s="210">
        <f>(G51/F51)*-1</f>
        <v>0.89504381780448694</v>
      </c>
      <c r="M51" s="110" t="s">
        <v>284</v>
      </c>
    </row>
    <row r="52" spans="2:13">
      <c r="B52" s="95">
        <v>30</v>
      </c>
      <c r="C52" s="526"/>
      <c r="D52" s="209" t="s">
        <v>69</v>
      </c>
      <c r="E52" s="203" t="s">
        <v>19</v>
      </c>
      <c r="F52" s="190">
        <v>4515.1459999999997</v>
      </c>
      <c r="G52" s="203">
        <f>-230-515-980-560-245</f>
        <v>-2530</v>
      </c>
      <c r="H52" s="203">
        <f t="shared" si="4"/>
        <v>1985.1459999999997</v>
      </c>
      <c r="I52" s="282">
        <v>104.96199999999999</v>
      </c>
      <c r="J52" s="203"/>
      <c r="K52" s="203">
        <f t="shared" si="3"/>
        <v>1880.1839999999997</v>
      </c>
      <c r="L52" s="210">
        <f t="shared" si="5"/>
        <v>5.2873692917296766E-2</v>
      </c>
      <c r="M52" s="110" t="s">
        <v>284</v>
      </c>
    </row>
    <row r="53" spans="2:13">
      <c r="B53" s="95">
        <v>31</v>
      </c>
      <c r="C53" s="526"/>
      <c r="D53" s="209" t="s">
        <v>70</v>
      </c>
      <c r="E53" s="203" t="s">
        <v>19</v>
      </c>
      <c r="F53" s="190">
        <v>3750.5279999999998</v>
      </c>
      <c r="G53" s="203">
        <f>393</f>
        <v>393</v>
      </c>
      <c r="H53" s="203">
        <f t="shared" si="4"/>
        <v>4143.5280000000002</v>
      </c>
      <c r="I53" s="282">
        <v>65.116</v>
      </c>
      <c r="J53" s="203"/>
      <c r="K53" s="203">
        <f t="shared" si="3"/>
        <v>4078.4120000000003</v>
      </c>
      <c r="L53" s="210">
        <f t="shared" si="5"/>
        <v>1.5715110408328362E-2</v>
      </c>
      <c r="M53" s="110" t="s">
        <v>284</v>
      </c>
    </row>
    <row r="54" spans="2:13">
      <c r="B54" s="95">
        <v>32</v>
      </c>
      <c r="C54" s="526"/>
      <c r="D54" s="209" t="s">
        <v>324</v>
      </c>
      <c r="E54" s="203" t="s">
        <v>19</v>
      </c>
      <c r="F54" s="190">
        <v>478.58699999999999</v>
      </c>
      <c r="G54" s="203">
        <f>-154</f>
        <v>-154</v>
      </c>
      <c r="H54" s="203">
        <f t="shared" si="4"/>
        <v>324.58699999999999</v>
      </c>
      <c r="I54" s="282">
        <v>304.14700000000011</v>
      </c>
      <c r="J54" s="203"/>
      <c r="K54" s="203">
        <f t="shared" si="3"/>
        <v>20.439999999999884</v>
      </c>
      <c r="L54" s="210">
        <f t="shared" si="5"/>
        <v>0.93702766900707701</v>
      </c>
      <c r="M54" s="110"/>
    </row>
    <row r="55" spans="2:13">
      <c r="B55" s="95">
        <v>33</v>
      </c>
      <c r="C55" s="526"/>
      <c r="D55" s="209" t="s">
        <v>71</v>
      </c>
      <c r="E55" s="203" t="s">
        <v>19</v>
      </c>
      <c r="F55" s="190">
        <v>0.02</v>
      </c>
      <c r="G55" s="203"/>
      <c r="H55" s="203">
        <f t="shared" si="4"/>
        <v>0.02</v>
      </c>
      <c r="I55" s="282">
        <v>0</v>
      </c>
      <c r="J55" s="203"/>
      <c r="K55" s="203">
        <f t="shared" si="3"/>
        <v>0.02</v>
      </c>
      <c r="L55" s="210">
        <f t="shared" si="5"/>
        <v>0</v>
      </c>
      <c r="M55" s="110" t="s">
        <v>284</v>
      </c>
    </row>
    <row r="56" spans="2:13">
      <c r="B56" s="95">
        <v>34</v>
      </c>
      <c r="C56" s="526"/>
      <c r="D56" s="209" t="s">
        <v>72</v>
      </c>
      <c r="E56" s="203" t="s">
        <v>19</v>
      </c>
      <c r="F56" s="190">
        <v>618.01800000000003</v>
      </c>
      <c r="G56" s="203">
        <f>-130+313+400.831-423-64.4</f>
        <v>96.431000000000012</v>
      </c>
      <c r="H56" s="203">
        <f t="shared" si="4"/>
        <v>714.44900000000007</v>
      </c>
      <c r="I56" s="282">
        <v>0</v>
      </c>
      <c r="J56" s="203"/>
      <c r="K56" s="203">
        <f t="shared" si="3"/>
        <v>714.44900000000007</v>
      </c>
      <c r="L56" s="210">
        <f t="shared" si="5"/>
        <v>0</v>
      </c>
      <c r="M56" s="110" t="s">
        <v>284</v>
      </c>
    </row>
    <row r="57" spans="2:13">
      <c r="B57" s="95">
        <v>35</v>
      </c>
      <c r="C57" s="526"/>
      <c r="D57" s="209" t="s">
        <v>73</v>
      </c>
      <c r="E57" s="203" t="s">
        <v>19</v>
      </c>
      <c r="F57" s="190">
        <v>1964.3389999999999</v>
      </c>
      <c r="G57" s="203">
        <f>-400-500</f>
        <v>-900</v>
      </c>
      <c r="H57" s="203">
        <f t="shared" si="4"/>
        <v>1064.3389999999999</v>
      </c>
      <c r="I57" s="282">
        <v>666.85000091552752</v>
      </c>
      <c r="J57" s="203"/>
      <c r="K57" s="203">
        <f t="shared" si="3"/>
        <v>397.48899908447243</v>
      </c>
      <c r="L57" s="210">
        <f t="shared" si="5"/>
        <v>0.62653910165419813</v>
      </c>
      <c r="M57" s="110" t="s">
        <v>284</v>
      </c>
    </row>
    <row r="58" spans="2:13">
      <c r="B58" s="95">
        <v>36</v>
      </c>
      <c r="C58" s="526"/>
      <c r="D58" s="209" t="s">
        <v>74</v>
      </c>
      <c r="E58" s="203" t="s">
        <v>19</v>
      </c>
      <c r="F58" s="190">
        <v>656.63900000000001</v>
      </c>
      <c r="G58" s="203">
        <f>-205+423-250-201</f>
        <v>-233</v>
      </c>
      <c r="H58" s="203">
        <f t="shared" si="4"/>
        <v>423.63900000000001</v>
      </c>
      <c r="I58" s="282">
        <v>35.827000000000005</v>
      </c>
      <c r="J58" s="203"/>
      <c r="K58" s="203">
        <f t="shared" si="3"/>
        <v>387.81200000000001</v>
      </c>
      <c r="L58" s="210">
        <f t="shared" si="5"/>
        <v>8.456964538203518E-2</v>
      </c>
      <c r="M58" s="110" t="s">
        <v>284</v>
      </c>
    </row>
    <row r="59" spans="2:13">
      <c r="B59" s="95">
        <v>37</v>
      </c>
      <c r="C59" s="526"/>
      <c r="D59" s="209" t="s">
        <v>75</v>
      </c>
      <c r="E59" s="203" t="s">
        <v>19</v>
      </c>
      <c r="F59" s="190">
        <v>4056.2469999999998</v>
      </c>
      <c r="G59" s="203">
        <f>2300-240-393-290-390-137</f>
        <v>850</v>
      </c>
      <c r="H59" s="203">
        <f t="shared" si="4"/>
        <v>4906.2469999999994</v>
      </c>
      <c r="I59" s="282">
        <v>296.20099999999996</v>
      </c>
      <c r="J59" s="203"/>
      <c r="K59" s="203">
        <f t="shared" si="3"/>
        <v>4610.0459999999994</v>
      </c>
      <c r="L59" s="210">
        <f t="shared" si="5"/>
        <v>6.0372215259443723E-2</v>
      </c>
      <c r="M59" s="110" t="s">
        <v>284</v>
      </c>
    </row>
    <row r="60" spans="2:13">
      <c r="B60" s="95">
        <v>38</v>
      </c>
      <c r="C60" s="526"/>
      <c r="D60" s="209" t="s">
        <v>76</v>
      </c>
      <c r="E60" s="203" t="s">
        <v>19</v>
      </c>
      <c r="F60" s="190">
        <v>1357.0630000000001</v>
      </c>
      <c r="G60" s="203">
        <f>-7</f>
        <v>-7</v>
      </c>
      <c r="H60" s="203">
        <f t="shared" si="4"/>
        <v>1350.0630000000001</v>
      </c>
      <c r="I60" s="282">
        <v>1330.7969999988079</v>
      </c>
      <c r="J60" s="203"/>
      <c r="K60" s="203">
        <f t="shared" si="3"/>
        <v>19.266000001192197</v>
      </c>
      <c r="L60" s="210">
        <f t="shared" si="5"/>
        <v>0.98572955484211311</v>
      </c>
      <c r="M60" s="110" t="s">
        <v>284</v>
      </c>
    </row>
    <row r="61" spans="2:13">
      <c r="B61" s="95">
        <v>39</v>
      </c>
      <c r="C61" s="526"/>
      <c r="D61" s="209" t="s">
        <v>77</v>
      </c>
      <c r="E61" s="203" t="s">
        <v>19</v>
      </c>
      <c r="F61" s="190">
        <v>1057.9659999999999</v>
      </c>
      <c r="G61" s="203"/>
      <c r="H61" s="203">
        <f t="shared" si="4"/>
        <v>1057.9659999999999</v>
      </c>
      <c r="I61" s="282">
        <v>806.88599748516083</v>
      </c>
      <c r="J61" s="203"/>
      <c r="K61" s="203">
        <f t="shared" si="3"/>
        <v>251.08000251483907</v>
      </c>
      <c r="L61" s="210">
        <f t="shared" si="5"/>
        <v>0.76267668099462638</v>
      </c>
      <c r="M61" s="110" t="s">
        <v>284</v>
      </c>
    </row>
    <row r="62" spans="2:13">
      <c r="B62" s="95">
        <v>40</v>
      </c>
      <c r="C62" s="526"/>
      <c r="D62" s="209" t="s">
        <v>78</v>
      </c>
      <c r="E62" s="203" t="s">
        <v>19</v>
      </c>
      <c r="F62" s="190">
        <v>3313</v>
      </c>
      <c r="G62" s="203">
        <f>-980-400-450-308-580-370</f>
        <v>-3088</v>
      </c>
      <c r="H62" s="203">
        <f t="shared" si="4"/>
        <v>225</v>
      </c>
      <c r="I62" s="282">
        <v>32.280999999999999</v>
      </c>
      <c r="J62" s="203"/>
      <c r="K62" s="203">
        <f t="shared" si="3"/>
        <v>192.71899999999999</v>
      </c>
      <c r="L62" s="210">
        <f t="shared" si="5"/>
        <v>0.1434711111111111</v>
      </c>
      <c r="M62" s="110" t="s">
        <v>284</v>
      </c>
    </row>
    <row r="63" spans="2:13">
      <c r="B63" s="95">
        <v>41</v>
      </c>
      <c r="C63" s="526"/>
      <c r="D63" s="209" t="s">
        <v>79</v>
      </c>
      <c r="E63" s="203" t="s">
        <v>19</v>
      </c>
      <c r="F63" s="190">
        <v>194.07499999999999</v>
      </c>
      <c r="G63" s="203">
        <f>-119-74.5</f>
        <v>-193.5</v>
      </c>
      <c r="H63" s="203">
        <f t="shared" si="4"/>
        <v>0.57499999999998863</v>
      </c>
      <c r="I63" s="282">
        <v>0</v>
      </c>
      <c r="J63" s="203"/>
      <c r="K63" s="203">
        <f t="shared" si="3"/>
        <v>0.57499999999998863</v>
      </c>
      <c r="L63" s="210">
        <f t="shared" si="5"/>
        <v>0</v>
      </c>
      <c r="M63" s="110" t="s">
        <v>284</v>
      </c>
    </row>
    <row r="64" spans="2:13">
      <c r="B64" s="95">
        <v>42</v>
      </c>
      <c r="C64" s="526"/>
      <c r="D64" s="209" t="s">
        <v>80</v>
      </c>
      <c r="E64" s="203" t="s">
        <v>19</v>
      </c>
      <c r="F64" s="190">
        <v>1525.8530000000001</v>
      </c>
      <c r="G64" s="203"/>
      <c r="H64" s="203">
        <f t="shared" si="4"/>
        <v>1525.8530000000001</v>
      </c>
      <c r="I64" s="282">
        <v>0</v>
      </c>
      <c r="J64" s="203"/>
      <c r="K64" s="203">
        <f t="shared" si="3"/>
        <v>1525.8530000000001</v>
      </c>
      <c r="L64" s="210">
        <f t="shared" si="5"/>
        <v>0</v>
      </c>
      <c r="M64" s="110" t="s">
        <v>284</v>
      </c>
    </row>
    <row r="65" spans="2:13">
      <c r="B65" s="95">
        <v>43</v>
      </c>
      <c r="C65" s="526"/>
      <c r="D65" s="209" t="s">
        <v>81</v>
      </c>
      <c r="E65" s="203" t="s">
        <v>19</v>
      </c>
      <c r="F65" s="190">
        <v>3229.55</v>
      </c>
      <c r="G65" s="203"/>
      <c r="H65" s="203">
        <f t="shared" si="4"/>
        <v>3229.55</v>
      </c>
      <c r="I65" s="282">
        <v>88.2</v>
      </c>
      <c r="J65" s="203"/>
      <c r="K65" s="203">
        <f t="shared" si="3"/>
        <v>3141.3500000000004</v>
      </c>
      <c r="L65" s="210">
        <f t="shared" si="5"/>
        <v>2.731030638943506E-2</v>
      </c>
      <c r="M65" s="110" t="s">
        <v>284</v>
      </c>
    </row>
    <row r="66" spans="2:13">
      <c r="B66" s="95">
        <v>44</v>
      </c>
      <c r="C66" s="526"/>
      <c r="D66" s="209" t="s">
        <v>82</v>
      </c>
      <c r="E66" s="203" t="s">
        <v>19</v>
      </c>
      <c r="F66" s="190">
        <v>2349.2370000000001</v>
      </c>
      <c r="G66" s="203">
        <f>-27.9+354</f>
        <v>326.10000000000002</v>
      </c>
      <c r="H66" s="203">
        <f t="shared" si="4"/>
        <v>2675.337</v>
      </c>
      <c r="I66" s="282">
        <v>548.77799243164122</v>
      </c>
      <c r="J66" s="203">
        <v>0.92900000000000005</v>
      </c>
      <c r="K66" s="203">
        <f t="shared" si="3"/>
        <v>2125.6300075683589</v>
      </c>
      <c r="L66" s="210">
        <f t="shared" si="5"/>
        <v>0.20512480948442802</v>
      </c>
      <c r="M66" s="110" t="s">
        <v>284</v>
      </c>
    </row>
    <row r="67" spans="2:13">
      <c r="B67" s="95">
        <v>45</v>
      </c>
      <c r="C67" s="526"/>
      <c r="D67" s="209" t="s">
        <v>83</v>
      </c>
      <c r="E67" s="203" t="s">
        <v>19</v>
      </c>
      <c r="F67" s="190">
        <v>3980.6579999999999</v>
      </c>
      <c r="G67" s="203">
        <f>-3284-200-82-414</f>
        <v>-3980</v>
      </c>
      <c r="H67" s="203">
        <f t="shared" si="4"/>
        <v>0.65799999999990177</v>
      </c>
      <c r="I67" s="282">
        <v>3.1259999747276304</v>
      </c>
      <c r="J67" s="203"/>
      <c r="K67" s="203">
        <f t="shared" si="3"/>
        <v>-2.4679999747277286</v>
      </c>
      <c r="L67" s="210">
        <f>(G67/F67)*-1</f>
        <v>0.99983470069521174</v>
      </c>
      <c r="M67" s="47">
        <v>44797</v>
      </c>
    </row>
    <row r="68" spans="2:13">
      <c r="B68" s="95">
        <v>46</v>
      </c>
      <c r="C68" s="526"/>
      <c r="D68" s="209" t="s">
        <v>84</v>
      </c>
      <c r="E68" s="203" t="s">
        <v>19</v>
      </c>
      <c r="F68" s="190">
        <v>24.699000000000002</v>
      </c>
      <c r="G68" s="203">
        <f>-22.1</f>
        <v>-22.1</v>
      </c>
      <c r="H68" s="203">
        <f t="shared" si="4"/>
        <v>2.5990000000000002</v>
      </c>
      <c r="I68" s="282">
        <v>0</v>
      </c>
      <c r="J68" s="203"/>
      <c r="K68" s="203">
        <f t="shared" si="3"/>
        <v>2.5990000000000002</v>
      </c>
      <c r="L68" s="210">
        <f t="shared" si="5"/>
        <v>0</v>
      </c>
      <c r="M68" s="110" t="s">
        <v>284</v>
      </c>
    </row>
    <row r="69" spans="2:13">
      <c r="B69" s="95">
        <v>47</v>
      </c>
      <c r="C69" s="526"/>
      <c r="D69" s="209" t="s">
        <v>85</v>
      </c>
      <c r="E69" s="203" t="s">
        <v>19</v>
      </c>
      <c r="F69" s="190">
        <v>4730.7759999999998</v>
      </c>
      <c r="G69" s="203">
        <f>-363.59</f>
        <v>-363.59</v>
      </c>
      <c r="H69" s="203">
        <f t="shared" si="4"/>
        <v>4367.1859999999997</v>
      </c>
      <c r="I69" s="282">
        <v>450.77199999999971</v>
      </c>
      <c r="J69" s="203"/>
      <c r="K69" s="203">
        <f t="shared" si="3"/>
        <v>3916.4139999999998</v>
      </c>
      <c r="L69" s="210">
        <f t="shared" si="5"/>
        <v>0.10321795316251695</v>
      </c>
      <c r="M69" s="110" t="s">
        <v>284</v>
      </c>
    </row>
    <row r="70" spans="2:13">
      <c r="B70" s="95">
        <v>48</v>
      </c>
      <c r="C70" s="526"/>
      <c r="D70" s="209" t="s">
        <v>279</v>
      </c>
      <c r="E70" s="203" t="s">
        <v>19</v>
      </c>
      <c r="F70" s="190">
        <v>426.02199999999999</v>
      </c>
      <c r="G70" s="203">
        <f>-38-310</f>
        <v>-348</v>
      </c>
      <c r="H70" s="203">
        <f t="shared" si="4"/>
        <v>78.021999999999991</v>
      </c>
      <c r="I70" s="282">
        <v>0</v>
      </c>
      <c r="J70" s="203"/>
      <c r="K70" s="203">
        <f t="shared" si="3"/>
        <v>78.021999999999991</v>
      </c>
      <c r="L70" s="210">
        <f t="shared" si="5"/>
        <v>0</v>
      </c>
      <c r="M70" s="110" t="s">
        <v>284</v>
      </c>
    </row>
    <row r="71" spans="2:13">
      <c r="B71" s="95">
        <v>49</v>
      </c>
      <c r="C71" s="526"/>
      <c r="D71" s="209" t="s">
        <v>86</v>
      </c>
      <c r="E71" s="203" t="s">
        <v>19</v>
      </c>
      <c r="F71" s="190">
        <v>1938.172</v>
      </c>
      <c r="G71" s="203">
        <f>-50-150-50</f>
        <v>-250</v>
      </c>
      <c r="H71" s="203">
        <f t="shared" si="4"/>
        <v>1688.172</v>
      </c>
      <c r="I71" s="282">
        <v>0</v>
      </c>
      <c r="J71" s="203"/>
      <c r="K71" s="203">
        <f t="shared" si="3"/>
        <v>1688.172</v>
      </c>
      <c r="L71" s="210">
        <f t="shared" si="5"/>
        <v>0</v>
      </c>
      <c r="M71" s="110" t="s">
        <v>284</v>
      </c>
    </row>
    <row r="72" spans="2:13">
      <c r="B72" s="95">
        <v>50</v>
      </c>
      <c r="C72" s="526"/>
      <c r="D72" s="209" t="s">
        <v>87</v>
      </c>
      <c r="E72" s="203" t="s">
        <v>19</v>
      </c>
      <c r="F72" s="190">
        <v>6546.8469999999998</v>
      </c>
      <c r="G72" s="203">
        <f>-256-800-360</f>
        <v>-1416</v>
      </c>
      <c r="H72" s="203">
        <f t="shared" si="4"/>
        <v>5130.8469999999998</v>
      </c>
      <c r="I72" s="282">
        <v>20.027000000000001</v>
      </c>
      <c r="J72" s="203"/>
      <c r="K72" s="203">
        <f t="shared" si="3"/>
        <v>5110.82</v>
      </c>
      <c r="L72" s="210">
        <f t="shared" si="5"/>
        <v>3.9032541800603296E-3</v>
      </c>
      <c r="M72" s="110" t="s">
        <v>284</v>
      </c>
    </row>
    <row r="73" spans="2:13">
      <c r="B73" s="95">
        <v>51</v>
      </c>
      <c r="C73" s="526"/>
      <c r="D73" s="209" t="s">
        <v>88</v>
      </c>
      <c r="E73" s="203" t="s">
        <v>19</v>
      </c>
      <c r="F73" s="190">
        <v>2005.1210000000001</v>
      </c>
      <c r="G73" s="203">
        <f>-300-300+250-500-403-400</f>
        <v>-1653</v>
      </c>
      <c r="H73" s="203">
        <f t="shared" si="4"/>
        <v>352.12100000000009</v>
      </c>
      <c r="I73" s="282">
        <v>22.489000000000001</v>
      </c>
      <c r="J73" s="203"/>
      <c r="K73" s="203">
        <f t="shared" si="3"/>
        <v>329.63200000000012</v>
      </c>
      <c r="L73" s="210">
        <f t="shared" si="5"/>
        <v>6.386725017820577E-2</v>
      </c>
      <c r="M73" s="110" t="s">
        <v>284</v>
      </c>
    </row>
    <row r="74" spans="2:13">
      <c r="B74" s="95">
        <v>52</v>
      </c>
      <c r="C74" s="526"/>
      <c r="D74" s="209" t="s">
        <v>89</v>
      </c>
      <c r="E74" s="203" t="s">
        <v>19</v>
      </c>
      <c r="F74" s="190">
        <v>3280.808</v>
      </c>
      <c r="G74" s="203">
        <f>240</f>
        <v>240</v>
      </c>
      <c r="H74" s="203">
        <f t="shared" si="4"/>
        <v>3520.808</v>
      </c>
      <c r="I74" s="282">
        <v>25.413999999999998</v>
      </c>
      <c r="J74" s="203"/>
      <c r="K74" s="203">
        <f t="shared" si="3"/>
        <v>3495.3939999999998</v>
      </c>
      <c r="L74" s="210">
        <f t="shared" si="5"/>
        <v>7.2182294518758185E-3</v>
      </c>
      <c r="M74" s="110" t="s">
        <v>284</v>
      </c>
    </row>
    <row r="75" spans="2:13">
      <c r="B75" s="95">
        <v>53</v>
      </c>
      <c r="C75" s="526"/>
      <c r="D75" s="209" t="s">
        <v>173</v>
      </c>
      <c r="E75" s="203" t="s">
        <v>19</v>
      </c>
      <c r="F75" s="190">
        <v>7355.1620000000003</v>
      </c>
      <c r="G75" s="203">
        <f>252+817</f>
        <v>1069</v>
      </c>
      <c r="H75" s="203">
        <f t="shared" si="4"/>
        <v>8424.1620000000003</v>
      </c>
      <c r="I75" s="282">
        <v>2715.7999924492842</v>
      </c>
      <c r="J75" s="203"/>
      <c r="K75" s="203">
        <f t="shared" si="3"/>
        <v>5708.362007550716</v>
      </c>
      <c r="L75" s="210">
        <f t="shared" si="5"/>
        <v>0.32238221350079499</v>
      </c>
      <c r="M75" s="110" t="s">
        <v>284</v>
      </c>
    </row>
    <row r="76" spans="2:13">
      <c r="B76" s="95">
        <v>54</v>
      </c>
      <c r="C76" s="526"/>
      <c r="D76" s="209" t="s">
        <v>90</v>
      </c>
      <c r="E76" s="203" t="s">
        <v>19</v>
      </c>
      <c r="F76" s="190">
        <v>313.16500000000002</v>
      </c>
      <c r="G76" s="203">
        <f>-280.5-32.6</f>
        <v>-313.10000000000002</v>
      </c>
      <c r="H76" s="203">
        <f t="shared" si="4"/>
        <v>6.4999999999997726E-2</v>
      </c>
      <c r="I76" s="282">
        <v>0</v>
      </c>
      <c r="J76" s="203"/>
      <c r="K76" s="203">
        <f t="shared" si="3"/>
        <v>6.4999999999997726E-2</v>
      </c>
      <c r="L76" s="210">
        <f t="shared" si="5"/>
        <v>0</v>
      </c>
      <c r="M76" s="110" t="s">
        <v>284</v>
      </c>
    </row>
    <row r="77" spans="2:13">
      <c r="B77" s="95">
        <v>55</v>
      </c>
      <c r="C77" s="526"/>
      <c r="D77" s="209" t="s">
        <v>91</v>
      </c>
      <c r="E77" s="203" t="s">
        <v>19</v>
      </c>
      <c r="F77" s="190">
        <v>8663.6740000000009</v>
      </c>
      <c r="G77" s="203">
        <f>363+1081.456-55+43-80+50+230+50+390+150+195+170+280+310.983-370+1900</f>
        <v>4708.4390000000003</v>
      </c>
      <c r="H77" s="203">
        <f t="shared" si="4"/>
        <v>13372.113000000001</v>
      </c>
      <c r="I77" s="282">
        <v>6817.7659535446164</v>
      </c>
      <c r="J77" s="203"/>
      <c r="K77" s="203">
        <f t="shared" si="3"/>
        <v>6554.3470464553848</v>
      </c>
      <c r="L77" s="210">
        <f t="shared" si="5"/>
        <v>0.50984956181155627</v>
      </c>
      <c r="M77" s="110" t="s">
        <v>284</v>
      </c>
    </row>
    <row r="78" spans="2:13">
      <c r="B78" s="95">
        <v>56</v>
      </c>
      <c r="C78" s="526"/>
      <c r="D78" s="209" t="s">
        <v>174</v>
      </c>
      <c r="E78" s="203" t="s">
        <v>19</v>
      </c>
      <c r="F78" s="190">
        <v>95.257999999999996</v>
      </c>
      <c r="G78" s="110">
        <f>-27</f>
        <v>-27</v>
      </c>
      <c r="H78" s="203">
        <f t="shared" si="4"/>
        <v>68.257999999999996</v>
      </c>
      <c r="I78" s="282">
        <v>55.536999999999999</v>
      </c>
      <c r="J78" s="203"/>
      <c r="K78" s="203">
        <f t="shared" si="3"/>
        <v>12.720999999999997</v>
      </c>
      <c r="L78" s="210">
        <f t="shared" si="5"/>
        <v>0.8136335667614053</v>
      </c>
      <c r="M78" s="110" t="s">
        <v>284</v>
      </c>
    </row>
    <row r="79" spans="2:13">
      <c r="B79" s="95">
        <v>57</v>
      </c>
      <c r="C79" s="526"/>
      <c r="D79" s="209" t="s">
        <v>92</v>
      </c>
      <c r="E79" s="203" t="s">
        <v>19</v>
      </c>
      <c r="F79" s="190">
        <v>2.9809999999999999</v>
      </c>
      <c r="G79" s="203">
        <f>-2.6</f>
        <v>-2.6</v>
      </c>
      <c r="H79" s="203">
        <f t="shared" si="4"/>
        <v>0.38099999999999978</v>
      </c>
      <c r="I79" s="282">
        <v>0</v>
      </c>
      <c r="J79" s="203"/>
      <c r="K79" s="203">
        <f t="shared" si="3"/>
        <v>0.38099999999999978</v>
      </c>
      <c r="L79" s="210">
        <f>(G79/F79)*-1</f>
        <v>0.87219054008721908</v>
      </c>
      <c r="M79" s="110" t="s">
        <v>284</v>
      </c>
    </row>
    <row r="80" spans="2:13">
      <c r="B80" s="95">
        <v>58</v>
      </c>
      <c r="C80" s="526"/>
      <c r="D80" s="209" t="s">
        <v>175</v>
      </c>
      <c r="E80" s="203" t="s">
        <v>19</v>
      </c>
      <c r="F80" s="190">
        <v>9766.6129999999994</v>
      </c>
      <c r="G80" s="203">
        <f>-1000-600-681</f>
        <v>-2281</v>
      </c>
      <c r="H80" s="203">
        <f t="shared" si="4"/>
        <v>7485.6129999999994</v>
      </c>
      <c r="I80" s="282">
        <v>238.87999999999997</v>
      </c>
      <c r="J80" s="203"/>
      <c r="K80" s="203">
        <f t="shared" si="3"/>
        <v>7246.7329999999993</v>
      </c>
      <c r="L80" s="210">
        <f t="shared" si="5"/>
        <v>3.1911882166497249E-2</v>
      </c>
      <c r="M80" s="110" t="s">
        <v>284</v>
      </c>
    </row>
    <row r="81" spans="2:13">
      <c r="B81" s="95">
        <v>59</v>
      </c>
      <c r="C81" s="526"/>
      <c r="D81" s="209" t="s">
        <v>176</v>
      </c>
      <c r="E81" s="203" t="s">
        <v>19</v>
      </c>
      <c r="F81" s="190">
        <v>867.41499999999996</v>
      </c>
      <c r="G81" s="203">
        <f>-267-250+137-150+499</f>
        <v>-31</v>
      </c>
      <c r="H81" s="203">
        <f t="shared" si="4"/>
        <v>836.41499999999996</v>
      </c>
      <c r="I81" s="282">
        <v>112.75800054931642</v>
      </c>
      <c r="J81" s="203"/>
      <c r="K81" s="203">
        <f t="shared" si="3"/>
        <v>723.65699945068354</v>
      </c>
      <c r="L81" s="210">
        <f t="shared" si="5"/>
        <v>0.13481106932481654</v>
      </c>
      <c r="M81" s="110" t="s">
        <v>284</v>
      </c>
    </row>
    <row r="82" spans="2:13">
      <c r="B82" s="95">
        <v>60</v>
      </c>
      <c r="C82" s="526"/>
      <c r="D82" s="209" t="s">
        <v>177</v>
      </c>
      <c r="E82" s="203" t="s">
        <v>19</v>
      </c>
      <c r="F82" s="190">
        <v>759.84299999999996</v>
      </c>
      <c r="G82" s="203"/>
      <c r="H82" s="203">
        <f t="shared" si="4"/>
        <v>759.84299999999996</v>
      </c>
      <c r="I82" s="282">
        <v>822.05800000000022</v>
      </c>
      <c r="J82" s="203"/>
      <c r="K82" s="203">
        <f t="shared" si="3"/>
        <v>-62.215000000000259</v>
      </c>
      <c r="L82" s="210">
        <f t="shared" si="5"/>
        <v>1.0818787565325998</v>
      </c>
      <c r="M82" s="110" t="s">
        <v>284</v>
      </c>
    </row>
    <row r="83" spans="2:13">
      <c r="B83" s="95">
        <v>61</v>
      </c>
      <c r="C83" s="526"/>
      <c r="D83" s="209" t="s">
        <v>322</v>
      </c>
      <c r="E83" s="203" t="s">
        <v>19</v>
      </c>
      <c r="F83" s="190">
        <v>1916.999</v>
      </c>
      <c r="G83" s="203">
        <f>-400-700</f>
        <v>-1100</v>
      </c>
      <c r="H83" s="203">
        <f t="shared" si="4"/>
        <v>816.99900000000002</v>
      </c>
      <c r="I83" s="282">
        <v>575.21900000000005</v>
      </c>
      <c r="J83" s="203"/>
      <c r="K83" s="203">
        <f t="shared" si="3"/>
        <v>241.77999999999997</v>
      </c>
      <c r="L83" s="210">
        <f t="shared" si="5"/>
        <v>0.7040632852671791</v>
      </c>
      <c r="M83" s="110"/>
    </row>
    <row r="84" spans="2:13">
      <c r="B84" s="95">
        <v>62</v>
      </c>
      <c r="C84" s="526"/>
      <c r="D84" s="209" t="s">
        <v>178</v>
      </c>
      <c r="E84" s="203" t="s">
        <v>19</v>
      </c>
      <c r="F84" s="190">
        <v>3087.2089999999998</v>
      </c>
      <c r="G84" s="203">
        <f>-50.2-180-190-950</f>
        <v>-1370.2</v>
      </c>
      <c r="H84" s="203">
        <f t="shared" si="4"/>
        <v>1717.0089999999998</v>
      </c>
      <c r="I84" s="282">
        <v>337.93201342824079</v>
      </c>
      <c r="J84" s="203"/>
      <c r="K84" s="203">
        <f t="shared" ref="K84:K134" si="6">H84-(I84+J84)</f>
        <v>1379.0769865717589</v>
      </c>
      <c r="L84" s="210">
        <f t="shared" si="5"/>
        <v>0.1968143518340561</v>
      </c>
      <c r="M84" s="110" t="s">
        <v>284</v>
      </c>
    </row>
    <row r="85" spans="2:13">
      <c r="B85" s="95">
        <v>63</v>
      </c>
      <c r="C85" s="526"/>
      <c r="D85" s="209" t="s">
        <v>93</v>
      </c>
      <c r="E85" s="203" t="s">
        <v>19</v>
      </c>
      <c r="F85" s="190">
        <v>4080.9490000000001</v>
      </c>
      <c r="G85" s="203">
        <f>-170-80-280</f>
        <v>-530</v>
      </c>
      <c r="H85" s="203">
        <f t="shared" si="4"/>
        <v>3550.9490000000001</v>
      </c>
      <c r="I85" s="282">
        <v>562.35002783203106</v>
      </c>
      <c r="J85" s="203"/>
      <c r="K85" s="203">
        <f t="shared" si="6"/>
        <v>2988.5989721679689</v>
      </c>
      <c r="L85" s="210">
        <f t="shared" si="5"/>
        <v>0.15836612348756093</v>
      </c>
      <c r="M85" s="110" t="s">
        <v>284</v>
      </c>
    </row>
    <row r="86" spans="2:13">
      <c r="B86" s="95">
        <v>64</v>
      </c>
      <c r="C86" s="526"/>
      <c r="D86" s="209" t="s">
        <v>94</v>
      </c>
      <c r="E86" s="203" t="s">
        <v>19</v>
      </c>
      <c r="F86" s="190">
        <v>1135.739</v>
      </c>
      <c r="G86" s="203"/>
      <c r="H86" s="203">
        <f t="shared" si="4"/>
        <v>1135.739</v>
      </c>
      <c r="I86" s="282">
        <v>946.57100390624998</v>
      </c>
      <c r="J86" s="203"/>
      <c r="K86" s="203">
        <f t="shared" si="6"/>
        <v>189.16799609375005</v>
      </c>
      <c r="L86" s="210">
        <f t="shared" si="5"/>
        <v>0.83344060907149442</v>
      </c>
      <c r="M86" s="110" t="s">
        <v>284</v>
      </c>
    </row>
    <row r="87" spans="2:13">
      <c r="B87" s="95">
        <v>65</v>
      </c>
      <c r="C87" s="526"/>
      <c r="D87" s="209" t="s">
        <v>95</v>
      </c>
      <c r="E87" s="203" t="s">
        <v>19</v>
      </c>
      <c r="F87" s="190">
        <v>1403.02</v>
      </c>
      <c r="G87" s="203">
        <f>-22</f>
        <v>-22</v>
      </c>
      <c r="H87" s="203">
        <f t="shared" si="4"/>
        <v>1381.02</v>
      </c>
      <c r="I87" s="282">
        <v>1177.915</v>
      </c>
      <c r="J87" s="203"/>
      <c r="K87" s="203">
        <f t="shared" si="6"/>
        <v>203.10500000000002</v>
      </c>
      <c r="L87" s="210">
        <f t="shared" si="5"/>
        <v>0.85293116681872816</v>
      </c>
      <c r="M87" s="110" t="s">
        <v>284</v>
      </c>
    </row>
    <row r="88" spans="2:13">
      <c r="B88" s="95">
        <v>66</v>
      </c>
      <c r="C88" s="526"/>
      <c r="D88" s="209" t="s">
        <v>96</v>
      </c>
      <c r="E88" s="203" t="s">
        <v>19</v>
      </c>
      <c r="F88" s="190">
        <v>93.497</v>
      </c>
      <c r="G88" s="203"/>
      <c r="H88" s="203">
        <f t="shared" si="4"/>
        <v>93.497</v>
      </c>
      <c r="I88" s="282">
        <v>0</v>
      </c>
      <c r="J88" s="203"/>
      <c r="K88" s="203">
        <f t="shared" si="6"/>
        <v>93.497</v>
      </c>
      <c r="L88" s="210">
        <f t="shared" si="5"/>
        <v>0</v>
      </c>
      <c r="M88" s="110" t="s">
        <v>284</v>
      </c>
    </row>
    <row r="89" spans="2:13">
      <c r="B89" s="95">
        <v>67</v>
      </c>
      <c r="C89" s="526"/>
      <c r="D89" s="209" t="s">
        <v>97</v>
      </c>
      <c r="E89" s="203" t="s">
        <v>19</v>
      </c>
      <c r="F89" s="190">
        <v>2120.1680000000001</v>
      </c>
      <c r="G89" s="203">
        <f>-500-750</f>
        <v>-1250</v>
      </c>
      <c r="H89" s="203">
        <f t="shared" ref="H89:H103" si="7">F89+G89</f>
        <v>870.16800000000012</v>
      </c>
      <c r="I89" s="282">
        <v>205.39000317382806</v>
      </c>
      <c r="J89" s="203"/>
      <c r="K89" s="203">
        <f t="shared" si="6"/>
        <v>664.77799682617206</v>
      </c>
      <c r="L89" s="210">
        <f t="shared" si="5"/>
        <v>0.23603488426812758</v>
      </c>
      <c r="M89" s="110" t="s">
        <v>284</v>
      </c>
    </row>
    <row r="90" spans="2:13">
      <c r="B90" s="95">
        <v>68</v>
      </c>
      <c r="C90" s="526"/>
      <c r="D90" s="209" t="s">
        <v>98</v>
      </c>
      <c r="E90" s="203" t="s">
        <v>19</v>
      </c>
      <c r="F90" s="190">
        <v>3439.3739999999998</v>
      </c>
      <c r="G90" s="203">
        <f>-350-550-450</f>
        <v>-1350</v>
      </c>
      <c r="H90" s="203">
        <f t="shared" si="7"/>
        <v>2089.3739999999998</v>
      </c>
      <c r="I90" s="282">
        <v>342.91799658203126</v>
      </c>
      <c r="J90" s="203"/>
      <c r="K90" s="203">
        <f t="shared" si="6"/>
        <v>1746.4560034179685</v>
      </c>
      <c r="L90" s="210">
        <f t="shared" ref="L90:L103" si="8">I90/H90</f>
        <v>0.16412475534874624</v>
      </c>
      <c r="M90" s="110" t="s">
        <v>284</v>
      </c>
    </row>
    <row r="91" spans="2:13">
      <c r="B91" s="95">
        <v>69</v>
      </c>
      <c r="C91" s="526"/>
      <c r="D91" s="209" t="s">
        <v>99</v>
      </c>
      <c r="E91" s="203" t="s">
        <v>19</v>
      </c>
      <c r="F91" s="190">
        <v>2639.6970000000001</v>
      </c>
      <c r="G91" s="203">
        <f>530+739.27</f>
        <v>1269.27</v>
      </c>
      <c r="H91" s="203">
        <f t="shared" si="7"/>
        <v>3908.9670000000001</v>
      </c>
      <c r="I91" s="282">
        <v>205.34001519775387</v>
      </c>
      <c r="J91" s="203"/>
      <c r="K91" s="203">
        <f t="shared" si="6"/>
        <v>3703.6269848022462</v>
      </c>
      <c r="L91" s="210">
        <f t="shared" si="8"/>
        <v>5.2530506191982143E-2</v>
      </c>
      <c r="M91" s="110" t="s">
        <v>284</v>
      </c>
    </row>
    <row r="92" spans="2:13">
      <c r="B92" s="95">
        <v>70</v>
      </c>
      <c r="C92" s="526"/>
      <c r="D92" s="209" t="s">
        <v>100</v>
      </c>
      <c r="E92" s="203" t="s">
        <v>19</v>
      </c>
      <c r="F92" s="190">
        <v>5188.9170000000004</v>
      </c>
      <c r="G92" s="203">
        <f>-130-120-25+87-150</f>
        <v>-338</v>
      </c>
      <c r="H92" s="203">
        <f t="shared" si="7"/>
        <v>4850.9170000000004</v>
      </c>
      <c r="I92" s="282">
        <v>1392.8299941406246</v>
      </c>
      <c r="J92" s="203"/>
      <c r="K92" s="203">
        <f t="shared" si="6"/>
        <v>3458.0870058593755</v>
      </c>
      <c r="L92" s="210">
        <f t="shared" si="8"/>
        <v>0.28712715433816421</v>
      </c>
      <c r="M92" s="110" t="s">
        <v>284</v>
      </c>
    </row>
    <row r="93" spans="2:13">
      <c r="B93" s="95">
        <v>71</v>
      </c>
      <c r="C93" s="526"/>
      <c r="D93" s="209" t="s">
        <v>179</v>
      </c>
      <c r="E93" s="203" t="s">
        <v>19</v>
      </c>
      <c r="F93" s="190">
        <v>1235.998</v>
      </c>
      <c r="G93" s="203">
        <f>100-499-2-450</f>
        <v>-851</v>
      </c>
      <c r="H93" s="203">
        <f t="shared" si="7"/>
        <v>384.99800000000005</v>
      </c>
      <c r="I93" s="282">
        <v>45.686999999999998</v>
      </c>
      <c r="J93" s="203"/>
      <c r="K93" s="203">
        <f t="shared" si="6"/>
        <v>339.31100000000004</v>
      </c>
      <c r="L93" s="210">
        <f t="shared" si="8"/>
        <v>0.11866814892544894</v>
      </c>
      <c r="M93" s="110" t="s">
        <v>284</v>
      </c>
    </row>
    <row r="94" spans="2:13">
      <c r="B94" s="95">
        <v>72</v>
      </c>
      <c r="C94" s="526"/>
      <c r="D94" s="209" t="s">
        <v>180</v>
      </c>
      <c r="E94" s="203" t="s">
        <v>19</v>
      </c>
      <c r="F94" s="190">
        <v>18.382999999999999</v>
      </c>
      <c r="G94" s="203"/>
      <c r="H94" s="203">
        <f t="shared" si="7"/>
        <v>18.382999999999999</v>
      </c>
      <c r="I94" s="282">
        <v>0</v>
      </c>
      <c r="J94" s="203"/>
      <c r="K94" s="203">
        <f t="shared" si="6"/>
        <v>18.382999999999999</v>
      </c>
      <c r="L94" s="210">
        <f>(G94/F94)*-1</f>
        <v>0</v>
      </c>
      <c r="M94" s="110" t="s">
        <v>284</v>
      </c>
    </row>
    <row r="95" spans="2:13">
      <c r="B95" s="95">
        <v>73</v>
      </c>
      <c r="C95" s="526"/>
      <c r="D95" s="209" t="s">
        <v>722</v>
      </c>
      <c r="E95" s="203" t="s">
        <v>19</v>
      </c>
      <c r="F95" s="190">
        <v>547.38300000000004</v>
      </c>
      <c r="G95" s="203">
        <f>-120-50</f>
        <v>-170</v>
      </c>
      <c r="H95" s="203">
        <f t="shared" si="7"/>
        <v>377.38300000000004</v>
      </c>
      <c r="I95" s="282">
        <v>353.31200378417975</v>
      </c>
      <c r="J95" s="203"/>
      <c r="K95" s="203">
        <f t="shared" si="6"/>
        <v>24.070996215820287</v>
      </c>
      <c r="L95" s="210">
        <f t="shared" si="8"/>
        <v>0.93621600279869444</v>
      </c>
      <c r="M95" s="110" t="s">
        <v>284</v>
      </c>
    </row>
    <row r="96" spans="2:13">
      <c r="B96" s="95">
        <v>74</v>
      </c>
      <c r="C96" s="526"/>
      <c r="D96" s="209" t="s">
        <v>102</v>
      </c>
      <c r="E96" s="203" t="s">
        <v>19</v>
      </c>
      <c r="F96" s="190">
        <v>1344.7760000000001</v>
      </c>
      <c r="G96" s="203">
        <f>87+44</f>
        <v>131</v>
      </c>
      <c r="H96" s="203">
        <f t="shared" si="7"/>
        <v>1475.7760000000001</v>
      </c>
      <c r="I96" s="282">
        <v>291.70499426269544</v>
      </c>
      <c r="J96" s="203"/>
      <c r="K96" s="203">
        <f t="shared" si="6"/>
        <v>1184.0710057373046</v>
      </c>
      <c r="L96" s="210">
        <f t="shared" si="8"/>
        <v>0.19766210743547491</v>
      </c>
      <c r="M96" s="110" t="s">
        <v>284</v>
      </c>
    </row>
    <row r="97" spans="2:14">
      <c r="B97" s="95">
        <v>75</v>
      </c>
      <c r="C97" s="526"/>
      <c r="D97" s="209" t="s">
        <v>103</v>
      </c>
      <c r="E97" s="203" t="s">
        <v>19</v>
      </c>
      <c r="F97" s="190">
        <v>10573.871999999999</v>
      </c>
      <c r="G97" s="203">
        <f>230-325-2450-1900</f>
        <v>-4445</v>
      </c>
      <c r="H97" s="203">
        <f t="shared" si="7"/>
        <v>6128.8719999999994</v>
      </c>
      <c r="I97" s="282">
        <v>457.63099999999929</v>
      </c>
      <c r="J97" s="203"/>
      <c r="K97" s="203">
        <f t="shared" si="6"/>
        <v>5671.241</v>
      </c>
      <c r="L97" s="210">
        <f t="shared" si="8"/>
        <v>7.4668062899665599E-2</v>
      </c>
      <c r="M97" s="110" t="s">
        <v>284</v>
      </c>
    </row>
    <row r="98" spans="2:14">
      <c r="B98" s="95">
        <v>76</v>
      </c>
      <c r="C98" s="526"/>
      <c r="D98" s="209" t="s">
        <v>320</v>
      </c>
      <c r="E98" s="203" t="s">
        <v>19</v>
      </c>
      <c r="F98" s="190">
        <v>97.08</v>
      </c>
      <c r="G98" s="203">
        <f>-43</f>
        <v>-43</v>
      </c>
      <c r="H98" s="203">
        <f t="shared" si="7"/>
        <v>54.08</v>
      </c>
      <c r="I98" s="282">
        <v>41.248999999999995</v>
      </c>
      <c r="J98" s="203"/>
      <c r="K98" s="203">
        <f t="shared" si="6"/>
        <v>12.831000000000003</v>
      </c>
      <c r="L98" s="210">
        <f t="shared" si="8"/>
        <v>0.76274038461538451</v>
      </c>
      <c r="M98" s="110"/>
    </row>
    <row r="99" spans="2:14">
      <c r="B99" s="95">
        <v>77</v>
      </c>
      <c r="C99" s="526"/>
      <c r="D99" s="209" t="s">
        <v>321</v>
      </c>
      <c r="E99" s="203" t="s">
        <v>19</v>
      </c>
      <c r="F99" s="190">
        <v>25.751000000000001</v>
      </c>
      <c r="G99" s="203"/>
      <c r="H99" s="203">
        <f t="shared" si="7"/>
        <v>25.751000000000001</v>
      </c>
      <c r="I99" s="282">
        <v>0</v>
      </c>
      <c r="J99" s="203"/>
      <c r="K99" s="203">
        <f t="shared" si="6"/>
        <v>25.751000000000001</v>
      </c>
      <c r="L99" s="210">
        <f t="shared" si="8"/>
        <v>0</v>
      </c>
      <c r="M99" s="110"/>
    </row>
    <row r="100" spans="2:14">
      <c r="B100" s="95">
        <v>78</v>
      </c>
      <c r="C100" s="526"/>
      <c r="D100" s="209" t="s">
        <v>261</v>
      </c>
      <c r="E100" s="203" t="s">
        <v>19</v>
      </c>
      <c r="F100" s="190">
        <v>240.47800000000001</v>
      </c>
      <c r="G100" s="203">
        <f>-2-12.9-1.7-10.5</f>
        <v>-27.1</v>
      </c>
      <c r="H100" s="203">
        <f t="shared" si="7"/>
        <v>213.37800000000001</v>
      </c>
      <c r="I100" s="282">
        <v>148.64199997329715</v>
      </c>
      <c r="J100" s="203"/>
      <c r="K100" s="203">
        <f t="shared" si="6"/>
        <v>64.736000026702868</v>
      </c>
      <c r="L100" s="210">
        <f t="shared" si="8"/>
        <v>0.6966135214187833</v>
      </c>
      <c r="M100" s="110" t="s">
        <v>284</v>
      </c>
    </row>
    <row r="101" spans="2:14">
      <c r="B101" s="95">
        <v>79</v>
      </c>
      <c r="C101" s="526"/>
      <c r="D101" s="209" t="s">
        <v>104</v>
      </c>
      <c r="E101" s="203" t="s">
        <v>19</v>
      </c>
      <c r="F101" s="190">
        <v>2259.6950000000002</v>
      </c>
      <c r="G101" s="203">
        <f>-400-300</f>
        <v>-700</v>
      </c>
      <c r="H101" s="203">
        <f t="shared" si="7"/>
        <v>1559.6950000000002</v>
      </c>
      <c r="I101" s="282">
        <v>1090.9199863281251</v>
      </c>
      <c r="J101" s="203"/>
      <c r="K101" s="203">
        <f t="shared" si="6"/>
        <v>468.77501367187506</v>
      </c>
      <c r="L101" s="210">
        <f t="shared" si="8"/>
        <v>0.69944443389773325</v>
      </c>
      <c r="M101" s="110" t="s">
        <v>284</v>
      </c>
    </row>
    <row r="102" spans="2:14">
      <c r="B102" s="95">
        <v>80</v>
      </c>
      <c r="C102" s="526"/>
      <c r="D102" s="209" t="s">
        <v>105</v>
      </c>
      <c r="E102" s="203" t="s">
        <v>19</v>
      </c>
      <c r="F102" s="190">
        <v>94.021000000000001</v>
      </c>
      <c r="G102" s="203"/>
      <c r="H102" s="203">
        <f t="shared" si="7"/>
        <v>94.021000000000001</v>
      </c>
      <c r="I102" s="282">
        <v>174.917</v>
      </c>
      <c r="J102" s="203"/>
      <c r="K102" s="203">
        <f t="shared" si="6"/>
        <v>-80.896000000000001</v>
      </c>
      <c r="L102" s="210">
        <f t="shared" si="8"/>
        <v>1.8604035268716563</v>
      </c>
      <c r="M102" s="217">
        <v>44621</v>
      </c>
    </row>
    <row r="103" spans="2:14">
      <c r="C103" s="526"/>
      <c r="D103" s="209" t="s">
        <v>256</v>
      </c>
      <c r="E103" s="110" t="s">
        <v>19</v>
      </c>
      <c r="F103" s="110"/>
      <c r="G103" s="203">
        <f>200+562.687+297+910+91+980+100+50+439.4+298+200+749+1924.44+1676.812+1406+1520+1819+1940+2046+65+2+768.491+1050+26.11+205+50.2+55+400+770+542+320+100+38+287+100+240+250+162.5+10202+129+1113.74+300+300+256+310+3160+469.8+429.731+150+120+200+300+370+135.75+150+2.6+626.14+3340.207+2664+236+318+716.56+3765+90+80+300+300+2385+64.4+201+174+400+270+515+36+380+300+46.6+31+134+275+721+74.5+50+50+619.887+54.54+772.916+740+119+753+7+55+88.295+57+640.86+2332+1119+550.29+2</f>
        <v>67193.455999999991</v>
      </c>
      <c r="H103" s="110">
        <f t="shared" si="7"/>
        <v>67193.455999999991</v>
      </c>
      <c r="I103" s="110">
        <f>'Cesiones Indiv y Colecti VIII'!R3</f>
        <v>18301.585000000014</v>
      </c>
      <c r="J103" s="203"/>
      <c r="K103" s="203">
        <f t="shared" si="6"/>
        <v>48891.870999999977</v>
      </c>
      <c r="L103" s="219">
        <f t="shared" si="8"/>
        <v>0.27237153868079084</v>
      </c>
      <c r="M103" s="110" t="s">
        <v>284</v>
      </c>
    </row>
    <row r="104" spans="2:14">
      <c r="C104" s="526"/>
      <c r="D104" s="209" t="s">
        <v>242</v>
      </c>
      <c r="E104" s="110" t="s">
        <v>19</v>
      </c>
      <c r="F104" s="221">
        <f>SUM(F23:F102)</f>
        <v>220034.98700000002</v>
      </c>
      <c r="G104" s="203">
        <f>SUM(G23:G102)</f>
        <v>-12309.154</v>
      </c>
      <c r="H104" s="110">
        <f>F104+G104</f>
        <v>207725.83300000001</v>
      </c>
      <c r="I104" s="221">
        <f>SUM(I23:I102)</f>
        <v>69002.644935987584</v>
      </c>
      <c r="J104" s="203">
        <f>SUM(J23:J102)</f>
        <v>2.6440000000000001</v>
      </c>
      <c r="K104" s="203">
        <f t="shared" si="6"/>
        <v>138720.54406401241</v>
      </c>
      <c r="L104" s="219">
        <f>(I104+J104)/H104</f>
        <v>0.33219406531872026</v>
      </c>
      <c r="M104" s="110" t="s">
        <v>284</v>
      </c>
    </row>
    <row r="105" spans="2:14">
      <c r="I105" s="218"/>
      <c r="M105" s="218"/>
    </row>
    <row r="106" spans="2:14" ht="18.75" customHeight="1">
      <c r="C106" s="527" t="s">
        <v>43</v>
      </c>
      <c r="D106" s="209" t="s">
        <v>251</v>
      </c>
      <c r="E106" s="203" t="s">
        <v>19</v>
      </c>
      <c r="F106" s="203">
        <v>3256</v>
      </c>
      <c r="G106" s="203">
        <f>1312.22</f>
        <v>1312.22</v>
      </c>
      <c r="H106" s="203">
        <f>F106+G106</f>
        <v>4568.22</v>
      </c>
      <c r="I106" s="222">
        <v>6337.52</v>
      </c>
      <c r="J106" s="203"/>
      <c r="K106" s="203">
        <f t="shared" si="6"/>
        <v>-1769.3000000000002</v>
      </c>
      <c r="L106" s="210">
        <f>I106/H106</f>
        <v>1.3873062155500393</v>
      </c>
      <c r="M106" s="376">
        <v>44872</v>
      </c>
      <c r="N106" s="223"/>
    </row>
    <row r="107" spans="2:14" ht="18" customHeight="1">
      <c r="C107" s="528"/>
      <c r="D107" s="209" t="s">
        <v>195</v>
      </c>
      <c r="E107" s="110" t="s">
        <v>19</v>
      </c>
      <c r="F107" s="110"/>
      <c r="G107" s="203">
        <f>263+732+200+190+534+500+30+245+500+220+1101+750+600</f>
        <v>5865</v>
      </c>
      <c r="H107" s="110">
        <f>F107+G107</f>
        <v>5865</v>
      </c>
      <c r="I107" s="110">
        <f>'Cesiones Ind IX-XIV'!U3</f>
        <v>4892.3849999999993</v>
      </c>
      <c r="J107" s="203"/>
      <c r="K107" s="203">
        <f t="shared" si="6"/>
        <v>972.61500000000069</v>
      </c>
      <c r="L107" s="219">
        <f>I107/H107</f>
        <v>0.83416624040920706</v>
      </c>
      <c r="M107" s="110" t="s">
        <v>284</v>
      </c>
    </row>
    <row r="108" spans="2:14" ht="18" customHeight="1">
      <c r="C108" s="528"/>
      <c r="D108" s="209" t="s">
        <v>243</v>
      </c>
      <c r="E108" s="110" t="s">
        <v>19</v>
      </c>
      <c r="F108" s="110">
        <f>SUM(F106)</f>
        <v>3256</v>
      </c>
      <c r="G108" s="203">
        <f>SUM(G106)</f>
        <v>1312.22</v>
      </c>
      <c r="H108" s="110">
        <f>F108+G108</f>
        <v>4568.22</v>
      </c>
      <c r="I108" s="110">
        <f>SUM(I106)</f>
        <v>6337.52</v>
      </c>
      <c r="J108" s="203">
        <f>SUM(J106)</f>
        <v>0</v>
      </c>
      <c r="K108" s="203">
        <f t="shared" si="6"/>
        <v>-1769.3000000000002</v>
      </c>
      <c r="L108" s="219">
        <f>I108/H108</f>
        <v>1.3873062155500393</v>
      </c>
      <c r="M108" s="110" t="s">
        <v>284</v>
      </c>
    </row>
    <row r="109" spans="2:14">
      <c r="I109" s="218"/>
      <c r="M109" s="218"/>
    </row>
    <row r="110" spans="2:14" ht="15" customHeight="1">
      <c r="B110" s="95">
        <v>1</v>
      </c>
      <c r="C110" s="529" t="s">
        <v>44</v>
      </c>
      <c r="D110" s="209" t="s">
        <v>116</v>
      </c>
      <c r="E110" s="203" t="s">
        <v>19</v>
      </c>
      <c r="F110" s="203">
        <v>2420.2539999999999</v>
      </c>
      <c r="G110" s="203">
        <f>-740-300-1379</f>
        <v>-2419</v>
      </c>
      <c r="H110" s="203">
        <f>F110+G110</f>
        <v>1.2539999999999054</v>
      </c>
      <c r="I110" s="212">
        <v>0</v>
      </c>
      <c r="J110" s="203"/>
      <c r="K110" s="203">
        <f t="shared" si="6"/>
        <v>1.2539999999999054</v>
      </c>
      <c r="L110" s="210">
        <f>(I110+J110)/H110</f>
        <v>0</v>
      </c>
      <c r="M110" s="211" t="s">
        <v>284</v>
      </c>
    </row>
    <row r="111" spans="2:14">
      <c r="B111" s="95">
        <v>2</v>
      </c>
      <c r="C111" s="530"/>
      <c r="D111" s="209" t="s">
        <v>117</v>
      </c>
      <c r="E111" s="203" t="s">
        <v>19</v>
      </c>
      <c r="F111" s="203">
        <v>4315.1189999999997</v>
      </c>
      <c r="G111" s="203"/>
      <c r="H111" s="203">
        <f t="shared" ref="H111:H121" si="9">F111+G111</f>
        <v>4315.1189999999997</v>
      </c>
      <c r="I111" s="212">
        <v>4945.5420000000004</v>
      </c>
      <c r="J111" s="203"/>
      <c r="K111" s="203">
        <f t="shared" si="6"/>
        <v>-630.42300000000068</v>
      </c>
      <c r="L111" s="210">
        <f t="shared" ref="L111:L122" si="10">(I111+J111)/H111</f>
        <v>1.1460963185488049</v>
      </c>
      <c r="M111" s="356">
        <v>44685</v>
      </c>
    </row>
    <row r="112" spans="2:14">
      <c r="B112" s="95">
        <v>3</v>
      </c>
      <c r="C112" s="530"/>
      <c r="D112" s="209" t="s">
        <v>118</v>
      </c>
      <c r="E112" s="203" t="s">
        <v>19</v>
      </c>
      <c r="F112" s="203">
        <v>3418.6109999999999</v>
      </c>
      <c r="G112" s="203"/>
      <c r="H112" s="203">
        <f t="shared" si="9"/>
        <v>3418.6109999999999</v>
      </c>
      <c r="I112" s="212">
        <v>4309.2240000000002</v>
      </c>
      <c r="J112" s="203"/>
      <c r="K112" s="203">
        <f t="shared" si="6"/>
        <v>-890.61300000000028</v>
      </c>
      <c r="L112" s="210">
        <f t="shared" si="10"/>
        <v>1.2605189651586566</v>
      </c>
      <c r="M112" s="376">
        <v>44915</v>
      </c>
    </row>
    <row r="113" spans="2:13">
      <c r="B113" s="95">
        <v>4</v>
      </c>
      <c r="C113" s="530"/>
      <c r="D113" s="209" t="s">
        <v>119</v>
      </c>
      <c r="E113" s="203" t="s">
        <v>19</v>
      </c>
      <c r="F113" s="203">
        <v>2564.71</v>
      </c>
      <c r="G113" s="203"/>
      <c r="H113" s="203">
        <f t="shared" si="9"/>
        <v>2564.71</v>
      </c>
      <c r="I113" s="212">
        <v>3169.4579999999996</v>
      </c>
      <c r="J113" s="203"/>
      <c r="K113" s="203">
        <f t="shared" si="6"/>
        <v>-604.74799999999959</v>
      </c>
      <c r="L113" s="210">
        <f t="shared" si="10"/>
        <v>1.2357958599607752</v>
      </c>
      <c r="M113" s="376">
        <v>44741</v>
      </c>
    </row>
    <row r="114" spans="2:13">
      <c r="B114" s="95">
        <v>5</v>
      </c>
      <c r="C114" s="530"/>
      <c r="D114" s="209" t="s">
        <v>120</v>
      </c>
      <c r="E114" s="203" t="s">
        <v>19</v>
      </c>
      <c r="F114" s="203">
        <v>10714.491</v>
      </c>
      <c r="G114" s="203">
        <f>1000+490</f>
        <v>1490</v>
      </c>
      <c r="H114" s="203">
        <f t="shared" si="9"/>
        <v>12204.491</v>
      </c>
      <c r="I114" s="212">
        <v>12998.77</v>
      </c>
      <c r="J114" s="203"/>
      <c r="K114" s="203">
        <f t="shared" si="6"/>
        <v>-794.27900000000045</v>
      </c>
      <c r="L114" s="210">
        <f t="shared" si="10"/>
        <v>1.0650808788338653</v>
      </c>
      <c r="M114" s="330" t="s">
        <v>284</v>
      </c>
    </row>
    <row r="115" spans="2:13">
      <c r="B115" s="218">
        <v>6</v>
      </c>
      <c r="C115" s="530"/>
      <c r="D115" s="209" t="s">
        <v>121</v>
      </c>
      <c r="E115" s="203" t="s">
        <v>19</v>
      </c>
      <c r="F115" s="203">
        <v>1874.904</v>
      </c>
      <c r="G115" s="203"/>
      <c r="H115" s="203">
        <f t="shared" si="9"/>
        <v>1874.904</v>
      </c>
      <c r="I115" s="212">
        <v>2402.13</v>
      </c>
      <c r="J115" s="203"/>
      <c r="K115" s="203">
        <f t="shared" si="6"/>
        <v>-527.22600000000011</v>
      </c>
      <c r="L115" s="210">
        <f t="shared" si="10"/>
        <v>1.2812015975217932</v>
      </c>
      <c r="M115" s="376">
        <v>44743</v>
      </c>
    </row>
    <row r="116" spans="2:13">
      <c r="B116" s="95">
        <v>7</v>
      </c>
      <c r="C116" s="530"/>
      <c r="D116" s="209" t="s">
        <v>122</v>
      </c>
      <c r="E116" s="203" t="s">
        <v>19</v>
      </c>
      <c r="F116" s="203">
        <v>1924.049</v>
      </c>
      <c r="G116" s="203"/>
      <c r="H116" s="203">
        <f t="shared" si="9"/>
        <v>1924.049</v>
      </c>
      <c r="I116" s="212">
        <v>2344.8159999999998</v>
      </c>
      <c r="J116" s="203"/>
      <c r="K116" s="203">
        <f t="shared" si="6"/>
        <v>-420.76699999999983</v>
      </c>
      <c r="L116" s="210">
        <f t="shared" si="10"/>
        <v>1.2186882974394102</v>
      </c>
      <c r="M116" s="211" t="s">
        <v>284</v>
      </c>
    </row>
    <row r="117" spans="2:13">
      <c r="B117" s="95">
        <v>8</v>
      </c>
      <c r="C117" s="530"/>
      <c r="D117" s="209" t="s">
        <v>123</v>
      </c>
      <c r="E117" s="203" t="s">
        <v>19</v>
      </c>
      <c r="F117" s="203">
        <v>2239.25</v>
      </c>
      <c r="G117" s="203"/>
      <c r="H117" s="203">
        <f t="shared" si="9"/>
        <v>2239.25</v>
      </c>
      <c r="I117" s="212">
        <v>2864.26</v>
      </c>
      <c r="J117" s="203"/>
      <c r="K117" s="203">
        <f t="shared" si="6"/>
        <v>-625.01000000000022</v>
      </c>
      <c r="L117" s="210">
        <f t="shared" si="10"/>
        <v>1.2791157753712181</v>
      </c>
      <c r="M117" s="211" t="s">
        <v>284</v>
      </c>
    </row>
    <row r="118" spans="2:13">
      <c r="B118" s="95">
        <v>9</v>
      </c>
      <c r="C118" s="530"/>
      <c r="D118" s="209" t="s">
        <v>124</v>
      </c>
      <c r="E118" s="203" t="s">
        <v>19</v>
      </c>
      <c r="F118" s="203">
        <v>912.26800000000003</v>
      </c>
      <c r="G118" s="203">
        <f>-817-95</f>
        <v>-912</v>
      </c>
      <c r="H118" s="203">
        <f t="shared" si="9"/>
        <v>0.2680000000000291</v>
      </c>
      <c r="I118" s="212">
        <v>0.11279999999999175</v>
      </c>
      <c r="J118" s="203"/>
      <c r="K118" s="203">
        <f t="shared" si="6"/>
        <v>0.15520000000003736</v>
      </c>
      <c r="L118" s="210">
        <f t="shared" si="10"/>
        <v>0.42089552238798322</v>
      </c>
      <c r="M118" s="211" t="s">
        <v>284</v>
      </c>
    </row>
    <row r="119" spans="2:13">
      <c r="B119" s="95">
        <v>10</v>
      </c>
      <c r="C119" s="530"/>
      <c r="D119" s="209" t="s">
        <v>125</v>
      </c>
      <c r="E119" s="203" t="s">
        <v>19</v>
      </c>
      <c r="F119" s="203">
        <v>814.60799999999995</v>
      </c>
      <c r="G119" s="203">
        <f>-174</f>
        <v>-174</v>
      </c>
      <c r="H119" s="203">
        <f t="shared" si="9"/>
        <v>640.60799999999995</v>
      </c>
      <c r="I119" s="212">
        <v>559.3610000000001</v>
      </c>
      <c r="J119" s="203"/>
      <c r="K119" s="203">
        <f t="shared" si="6"/>
        <v>81.246999999999844</v>
      </c>
      <c r="L119" s="210">
        <f t="shared" si="10"/>
        <v>0.87317204905339951</v>
      </c>
      <c r="M119" s="211" t="s">
        <v>284</v>
      </c>
    </row>
    <row r="120" spans="2:13">
      <c r="B120" s="95">
        <v>11</v>
      </c>
      <c r="C120" s="530"/>
      <c r="D120" s="209" t="s">
        <v>126</v>
      </c>
      <c r="E120" s="203" t="s">
        <v>19</v>
      </c>
      <c r="F120" s="203">
        <v>326.73399999999998</v>
      </c>
      <c r="G120" s="203"/>
      <c r="H120" s="203">
        <f t="shared" si="9"/>
        <v>326.73399999999998</v>
      </c>
      <c r="I120" s="212">
        <v>428.13800000000003</v>
      </c>
      <c r="J120" s="203"/>
      <c r="K120" s="203">
        <f t="shared" si="6"/>
        <v>-101.40400000000005</v>
      </c>
      <c r="L120" s="210">
        <f t="shared" si="10"/>
        <v>1.3103564367344691</v>
      </c>
      <c r="M120" s="376">
        <v>44907</v>
      </c>
    </row>
    <row r="121" spans="2:13">
      <c r="C121" s="530"/>
      <c r="D121" s="209" t="s">
        <v>256</v>
      </c>
      <c r="E121" s="110" t="s">
        <v>19</v>
      </c>
      <c r="F121" s="110"/>
      <c r="G121" s="203">
        <f>740+626.4+363.59+400+939.6+300+170+939.6+312.2+156.6+156.6+3380+160+1625+388+267+250+975+403+1499+450+2000+700+119+308+599+190+109.08+670+980+400+350+550+600+280+550+18.18+36.36+600+18.18+2050+625+920+560+205+950+72.72+314+889+370+95</f>
        <v>30630.110000000004</v>
      </c>
      <c r="H121" s="110">
        <f t="shared" si="9"/>
        <v>30630.110000000004</v>
      </c>
      <c r="I121" s="110">
        <f>'Cesiones Ind IX-XIV'!W3</f>
        <v>29386.718000000001</v>
      </c>
      <c r="J121" s="203"/>
      <c r="K121" s="203">
        <f t="shared" si="6"/>
        <v>1243.3920000000035</v>
      </c>
      <c r="L121" s="210">
        <f t="shared" si="10"/>
        <v>0.95940621826039796</v>
      </c>
      <c r="M121" s="211" t="s">
        <v>284</v>
      </c>
    </row>
    <row r="122" spans="2:13">
      <c r="C122" s="530"/>
      <c r="D122" s="224" t="s">
        <v>244</v>
      </c>
      <c r="E122" s="110" t="s">
        <v>19</v>
      </c>
      <c r="F122" s="110">
        <f>SUM(F110:F120)</f>
        <v>31524.997999999996</v>
      </c>
      <c r="G122" s="203">
        <f>SUM(G110:G120)</f>
        <v>-2015</v>
      </c>
      <c r="H122" s="110">
        <f>F122+G122</f>
        <v>29509.997999999996</v>
      </c>
      <c r="I122" s="110">
        <f>SUM(I110:I120)</f>
        <v>34021.811799999996</v>
      </c>
      <c r="J122" s="203">
        <f>SUM(J110:J120)</f>
        <v>0</v>
      </c>
      <c r="K122" s="203">
        <f t="shared" si="6"/>
        <v>-4511.8137999999999</v>
      </c>
      <c r="L122" s="210">
        <f t="shared" si="10"/>
        <v>1.1528910235778396</v>
      </c>
      <c r="M122" s="110" t="s">
        <v>284</v>
      </c>
    </row>
    <row r="123" spans="2:13">
      <c r="I123" s="218"/>
      <c r="M123" s="218"/>
    </row>
    <row r="124" spans="2:13" ht="15" customHeight="1">
      <c r="B124" s="95">
        <v>1</v>
      </c>
      <c r="C124" s="529" t="s">
        <v>45</v>
      </c>
      <c r="D124" s="207" t="s">
        <v>106</v>
      </c>
      <c r="E124" s="203" t="s">
        <v>19</v>
      </c>
      <c r="F124" s="203">
        <v>852.52</v>
      </c>
      <c r="G124" s="203">
        <f>-190-190-220-55-88.295</f>
        <v>-743.29499999999996</v>
      </c>
      <c r="H124" s="203">
        <f>F124+G124</f>
        <v>109.22500000000002</v>
      </c>
      <c r="I124" s="279">
        <v>85.38300000000001</v>
      </c>
      <c r="J124" s="203"/>
      <c r="K124" s="203">
        <f t="shared" si="6"/>
        <v>23.842000000000013</v>
      </c>
      <c r="L124" s="210">
        <f>I124/H124</f>
        <v>0.78171663996337826</v>
      </c>
      <c r="M124" s="110" t="s">
        <v>284</v>
      </c>
    </row>
    <row r="125" spans="2:13">
      <c r="B125" s="95">
        <v>2</v>
      </c>
      <c r="C125" s="530"/>
      <c r="D125" s="207" t="s">
        <v>107</v>
      </c>
      <c r="E125" s="203" t="s">
        <v>19</v>
      </c>
      <c r="F125" s="203">
        <v>3042.1770000000001</v>
      </c>
      <c r="G125" s="203">
        <f>-2500+62+244</f>
        <v>-2194</v>
      </c>
      <c r="H125" s="203">
        <f t="shared" ref="H125:H133" si="11">F125+G125</f>
        <v>848.17700000000013</v>
      </c>
      <c r="I125" s="212">
        <v>412.88399999999996</v>
      </c>
      <c r="J125" s="203"/>
      <c r="K125" s="203">
        <f t="shared" si="6"/>
        <v>435.29300000000018</v>
      </c>
      <c r="L125" s="210">
        <f t="shared" ref="L125:L134" si="12">I125/H125</f>
        <v>0.48678990352249579</v>
      </c>
      <c r="M125" s="110" t="s">
        <v>284</v>
      </c>
    </row>
    <row r="126" spans="2:13">
      <c r="B126" s="95">
        <v>3</v>
      </c>
      <c r="C126" s="530"/>
      <c r="D126" s="207" t="s">
        <v>267</v>
      </c>
      <c r="E126" s="203" t="s">
        <v>19</v>
      </c>
      <c r="F126" s="203">
        <v>3591.2429999999999</v>
      </c>
      <c r="G126" s="203">
        <f>-252-2300-244</f>
        <v>-2796</v>
      </c>
      <c r="H126" s="203">
        <f t="shared" si="11"/>
        <v>795.24299999999994</v>
      </c>
      <c r="I126" s="212">
        <v>198.94499999999999</v>
      </c>
      <c r="J126" s="203"/>
      <c r="K126" s="203">
        <f t="shared" si="6"/>
        <v>596.298</v>
      </c>
      <c r="L126" s="210">
        <f t="shared" si="12"/>
        <v>0.25016881632406701</v>
      </c>
      <c r="M126" s="110" t="s">
        <v>284</v>
      </c>
    </row>
    <row r="127" spans="2:13">
      <c r="B127" s="95">
        <v>4</v>
      </c>
      <c r="C127" s="530"/>
      <c r="D127" s="207" t="s">
        <v>109</v>
      </c>
      <c r="E127" s="203" t="s">
        <v>19</v>
      </c>
      <c r="F127" s="203">
        <v>1117.0129999999999</v>
      </c>
      <c r="G127" s="203">
        <f>-900-197</f>
        <v>-1097</v>
      </c>
      <c r="H127" s="203">
        <f t="shared" si="11"/>
        <v>20.01299999999992</v>
      </c>
      <c r="I127" s="212">
        <v>0</v>
      </c>
      <c r="J127" s="203"/>
      <c r="K127" s="203">
        <f t="shared" si="6"/>
        <v>20.01299999999992</v>
      </c>
      <c r="L127" s="210">
        <f t="shared" si="12"/>
        <v>0</v>
      </c>
      <c r="M127" s="110" t="s">
        <v>284</v>
      </c>
    </row>
    <row r="128" spans="2:13">
      <c r="B128" s="95">
        <v>5</v>
      </c>
      <c r="C128" s="530"/>
      <c r="D128" s="207" t="s">
        <v>110</v>
      </c>
      <c r="E128" s="203" t="s">
        <v>19</v>
      </c>
      <c r="F128" s="203">
        <v>1173.7280000000001</v>
      </c>
      <c r="G128" s="203">
        <f>-500-200-26.11-200-10</f>
        <v>-936.11</v>
      </c>
      <c r="H128" s="203">
        <f t="shared" si="11"/>
        <v>237.61800000000005</v>
      </c>
      <c r="I128" s="212">
        <v>128.11199999999999</v>
      </c>
      <c r="J128" s="203"/>
      <c r="K128" s="203">
        <f t="shared" si="6"/>
        <v>109.50600000000006</v>
      </c>
      <c r="L128" s="210">
        <f t="shared" si="12"/>
        <v>0.53915107441355437</v>
      </c>
      <c r="M128" s="110" t="s">
        <v>284</v>
      </c>
    </row>
    <row r="129" spans="2:13">
      <c r="B129" s="95">
        <v>6</v>
      </c>
      <c r="C129" s="530"/>
      <c r="D129" s="207" t="s">
        <v>111</v>
      </c>
      <c r="E129" s="203" t="s">
        <v>19</v>
      </c>
      <c r="F129" s="203">
        <v>592.04</v>
      </c>
      <c r="G129" s="203">
        <f>-530-62</f>
        <v>-592</v>
      </c>
      <c r="H129" s="203">
        <f t="shared" si="11"/>
        <v>3.999999999996362E-2</v>
      </c>
      <c r="I129" s="212">
        <v>0</v>
      </c>
      <c r="J129" s="203"/>
      <c r="K129" s="203">
        <f t="shared" si="6"/>
        <v>3.999999999996362E-2</v>
      </c>
      <c r="L129" s="210">
        <f t="shared" si="12"/>
        <v>0</v>
      </c>
      <c r="M129" s="211" t="s">
        <v>284</v>
      </c>
    </row>
    <row r="130" spans="2:13">
      <c r="B130" s="95">
        <v>7</v>
      </c>
      <c r="C130" s="530"/>
      <c r="D130" s="207" t="s">
        <v>112</v>
      </c>
      <c r="E130" s="203" t="s">
        <v>19</v>
      </c>
      <c r="F130" s="203">
        <v>588.28899999999999</v>
      </c>
      <c r="G130" s="203">
        <f>-297-200-30-44-17</f>
        <v>-588</v>
      </c>
      <c r="H130" s="203">
        <f t="shared" si="11"/>
        <v>0.28899999999998727</v>
      </c>
      <c r="I130" s="212">
        <v>0</v>
      </c>
      <c r="J130" s="203"/>
      <c r="K130" s="203">
        <f>H130-(I130+J130)</f>
        <v>0.28899999999998727</v>
      </c>
      <c r="L130" s="210">
        <f>(G130/F130)*-1</f>
        <v>0.99950874485159502</v>
      </c>
      <c r="M130" s="376">
        <v>44818</v>
      </c>
    </row>
    <row r="131" spans="2:13">
      <c r="B131" s="95">
        <v>8</v>
      </c>
      <c r="C131" s="530"/>
      <c r="D131" s="207" t="s">
        <v>113</v>
      </c>
      <c r="E131" s="203" t="s">
        <v>19</v>
      </c>
      <c r="F131" s="203">
        <v>3062.3780000000002</v>
      </c>
      <c r="G131" s="203">
        <f>-1378.4-1081.456-310.983+17</f>
        <v>-2753.8389999999999</v>
      </c>
      <c r="H131" s="203">
        <f t="shared" si="11"/>
        <v>308.53900000000021</v>
      </c>
      <c r="I131" s="212">
        <v>225.80399999999997</v>
      </c>
      <c r="J131" s="203"/>
      <c r="K131" s="203">
        <f>H131-(I131+J131)</f>
        <v>82.735000000000241</v>
      </c>
      <c r="L131" s="210">
        <f>I131/H131</f>
        <v>0.73184913414511554</v>
      </c>
      <c r="M131" s="110" t="s">
        <v>284</v>
      </c>
    </row>
    <row r="132" spans="2:13">
      <c r="B132" s="95">
        <v>9</v>
      </c>
      <c r="C132" s="530"/>
      <c r="D132" s="207" t="s">
        <v>114</v>
      </c>
      <c r="E132" s="203" t="s">
        <v>19</v>
      </c>
      <c r="F132" s="203">
        <v>520.28200000000004</v>
      </c>
      <c r="G132" s="203">
        <f>-410-90+10</f>
        <v>-490</v>
      </c>
      <c r="H132" s="203">
        <f t="shared" si="11"/>
        <v>30.282000000000039</v>
      </c>
      <c r="I132" s="212">
        <v>2.0169999999999999</v>
      </c>
      <c r="J132" s="203"/>
      <c r="K132" s="203">
        <f t="shared" si="6"/>
        <v>28.26500000000004</v>
      </c>
      <c r="L132" s="210">
        <f t="shared" si="12"/>
        <v>6.6607225414437532E-2</v>
      </c>
      <c r="M132" s="110" t="s">
        <v>284</v>
      </c>
    </row>
    <row r="133" spans="2:13">
      <c r="B133" s="95">
        <v>10</v>
      </c>
      <c r="C133" s="530"/>
      <c r="D133" s="207" t="s">
        <v>115</v>
      </c>
      <c r="E133" s="203" t="s">
        <v>19</v>
      </c>
      <c r="F133" s="203">
        <v>379.32900000000001</v>
      </c>
      <c r="G133" s="203"/>
      <c r="H133" s="203">
        <f t="shared" si="11"/>
        <v>379.32900000000001</v>
      </c>
      <c r="I133" s="212">
        <v>445.59999999999997</v>
      </c>
      <c r="J133" s="203"/>
      <c r="K133" s="203">
        <f t="shared" si="6"/>
        <v>-66.270999999999958</v>
      </c>
      <c r="L133" s="210">
        <f t="shared" si="12"/>
        <v>1.1747058621935047</v>
      </c>
      <c r="M133" s="47">
        <v>44897</v>
      </c>
    </row>
    <row r="134" spans="2:13">
      <c r="C134" s="531"/>
      <c r="D134" s="208" t="s">
        <v>240</v>
      </c>
      <c r="E134" s="225" t="s">
        <v>19</v>
      </c>
      <c r="F134" s="226">
        <f>SUM(F124:F133)</f>
        <v>14918.999000000002</v>
      </c>
      <c r="G134" s="226">
        <f>SUM(G124:G133)</f>
        <v>-12190.243999999999</v>
      </c>
      <c r="H134" s="225">
        <f>F134+G134</f>
        <v>2728.7550000000028</v>
      </c>
      <c r="I134" s="227">
        <f>SUM(I124:I133)</f>
        <v>1498.7449999999999</v>
      </c>
      <c r="J134" s="226">
        <f>SUM(J124:J133)</f>
        <v>0</v>
      </c>
      <c r="K134" s="225">
        <f t="shared" si="6"/>
        <v>1230.0100000000029</v>
      </c>
      <c r="L134" s="228">
        <f t="shared" si="12"/>
        <v>0.54924132067554554</v>
      </c>
      <c r="M134" s="225" t="s">
        <v>284</v>
      </c>
    </row>
    <row r="136" spans="2:13">
      <c r="G136" s="229"/>
    </row>
  </sheetData>
  <mergeCells count="9">
    <mergeCell ref="C23:C104"/>
    <mergeCell ref="C106:C108"/>
    <mergeCell ref="C110:C122"/>
    <mergeCell ref="C124:C134"/>
    <mergeCell ref="C2:M2"/>
    <mergeCell ref="C3:M3"/>
    <mergeCell ref="C7:C13"/>
    <mergeCell ref="C15:C16"/>
    <mergeCell ref="C18:C2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3"/>
  <sheetViews>
    <sheetView zoomScale="98" zoomScaleNormal="98" workbookViewId="0">
      <pane ySplit="5" topLeftCell="A87" activePane="bottomLeft" state="frozen"/>
      <selection pane="bottomLeft" activeCell="H18" sqref="H18"/>
    </sheetView>
  </sheetViews>
  <sheetFormatPr baseColWidth="10" defaultRowHeight="15"/>
  <cols>
    <col min="1" max="1" width="3.140625" style="69" bestFit="1" customWidth="1"/>
    <col min="2" max="2" width="21.5703125" style="69" bestFit="1" customWidth="1"/>
    <col min="3" max="3" width="67.85546875" style="69" customWidth="1"/>
    <col min="4" max="4" width="21.42578125" style="69" customWidth="1"/>
    <col min="5" max="5" width="13.7109375" style="69" bestFit="1" customWidth="1"/>
    <col min="6" max="6" width="17.140625" style="69" customWidth="1"/>
    <col min="7" max="7" width="8.85546875" style="69" customWidth="1"/>
    <col min="8" max="8" width="12.85546875" style="69" bestFit="1" customWidth="1"/>
    <col min="9" max="9" width="9.85546875" style="69" bestFit="1" customWidth="1"/>
    <col min="10" max="10" width="13.28515625" style="69" bestFit="1" customWidth="1"/>
    <col min="11" max="12" width="13.140625" style="69" bestFit="1" customWidth="1"/>
    <col min="13" max="13" width="13" style="69" bestFit="1" customWidth="1"/>
    <col min="14" max="14" width="6.42578125" style="69" bestFit="1" customWidth="1"/>
    <col min="15" max="15" width="11.42578125" style="69"/>
    <col min="16" max="16" width="52.7109375" style="69" customWidth="1"/>
    <col min="17" max="17" width="11.42578125" style="69"/>
    <col min="18" max="18" width="58.7109375" style="69" customWidth="1"/>
    <col min="19" max="16384" width="11.42578125" style="69"/>
  </cols>
  <sheetData>
    <row r="2" spans="2:14">
      <c r="B2" s="537" t="s">
        <v>306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</row>
    <row r="3" spans="2:14">
      <c r="B3" s="538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</row>
    <row r="5" spans="2:14" s="125" customFormat="1" ht="45">
      <c r="B5" s="122" t="s">
        <v>38</v>
      </c>
      <c r="C5" s="122" t="s">
        <v>35</v>
      </c>
      <c r="D5" s="122" t="s">
        <v>0</v>
      </c>
      <c r="E5" s="122" t="s">
        <v>353</v>
      </c>
      <c r="F5" s="122" t="s">
        <v>354</v>
      </c>
      <c r="G5" s="122" t="s">
        <v>323</v>
      </c>
      <c r="H5" s="122" t="s">
        <v>747</v>
      </c>
      <c r="I5" s="122" t="s">
        <v>287</v>
      </c>
      <c r="J5" s="122" t="s">
        <v>291</v>
      </c>
      <c r="K5" s="122" t="s">
        <v>288</v>
      </c>
      <c r="L5" s="122" t="s">
        <v>161</v>
      </c>
      <c r="M5" s="122" t="s">
        <v>6</v>
      </c>
      <c r="N5" s="122" t="s">
        <v>37</v>
      </c>
    </row>
    <row r="6" spans="2:14">
      <c r="B6" s="537" t="s">
        <v>39</v>
      </c>
      <c r="C6" s="164" t="s">
        <v>130</v>
      </c>
      <c r="D6" s="351" t="s">
        <v>650</v>
      </c>
      <c r="E6" s="159">
        <v>6.6252000000003317</v>
      </c>
      <c r="F6" s="159">
        <v>1.6950000000001637</v>
      </c>
      <c r="G6" s="158">
        <f>((E6+F6)*0.4)</f>
        <v>3.3280800000001984</v>
      </c>
      <c r="H6" s="255"/>
      <c r="I6" s="255"/>
      <c r="J6" s="158">
        <f>E6-H6</f>
        <v>6.6252000000003317</v>
      </c>
      <c r="K6" s="156">
        <f>F6-I6</f>
        <v>1.6950000000001637</v>
      </c>
      <c r="L6" s="158">
        <f>J6+K6</f>
        <v>8.3202000000004954</v>
      </c>
      <c r="M6" s="157">
        <f>(H6+I6)/(E6+F6)</f>
        <v>0</v>
      </c>
      <c r="N6" s="156"/>
    </row>
    <row r="7" spans="2:14" ht="15" customHeight="1">
      <c r="B7" s="537"/>
      <c r="C7" s="164" t="s">
        <v>131</v>
      </c>
      <c r="D7" s="351" t="s">
        <v>650</v>
      </c>
      <c r="E7" s="159">
        <v>0</v>
      </c>
      <c r="F7" s="159">
        <v>141.58800000000008</v>
      </c>
      <c r="G7" s="158">
        <f t="shared" ref="G7:G11" si="0">((E7+F7)*0.4)</f>
        <v>56.635200000000033</v>
      </c>
      <c r="H7" s="255"/>
      <c r="I7" s="255"/>
      <c r="J7" s="158">
        <f>E7-H7</f>
        <v>0</v>
      </c>
      <c r="K7" s="156">
        <f>F7-I7</f>
        <v>141.58800000000008</v>
      </c>
      <c r="L7" s="158">
        <f>J7+K7</f>
        <v>141.58800000000008</v>
      </c>
      <c r="M7" s="157">
        <f>(H7+I7)/(E7+F7)</f>
        <v>0</v>
      </c>
      <c r="N7" s="156"/>
    </row>
    <row r="8" spans="2:14">
      <c r="B8" s="537"/>
      <c r="C8" s="164" t="s">
        <v>132</v>
      </c>
      <c r="D8" s="351" t="s">
        <v>650</v>
      </c>
      <c r="E8" s="159">
        <v>0.14990000000000001</v>
      </c>
      <c r="F8" s="159">
        <v>3.0259999999999998</v>
      </c>
      <c r="G8" s="158">
        <f t="shared" si="0"/>
        <v>1.2703600000000002</v>
      </c>
      <c r="H8" s="255"/>
      <c r="I8" s="255"/>
      <c r="J8" s="158">
        <f t="shared" ref="J8:J72" si="1">E8-H8</f>
        <v>0.14990000000000001</v>
      </c>
      <c r="K8" s="156">
        <f t="shared" ref="K8:K72" si="2">F8-I8</f>
        <v>3.0259999999999998</v>
      </c>
      <c r="L8" s="158">
        <f t="shared" ref="L8:L72" si="3">J8+K8</f>
        <v>3.1758999999999999</v>
      </c>
      <c r="M8" s="157">
        <f t="shared" ref="M8:M70" si="4">(H8+I8)/(E8+F8)</f>
        <v>0</v>
      </c>
      <c r="N8" s="156"/>
    </row>
    <row r="9" spans="2:14" ht="15" customHeight="1">
      <c r="B9" s="537"/>
      <c r="C9" s="164" t="s">
        <v>262</v>
      </c>
      <c r="D9" s="351" t="s">
        <v>650</v>
      </c>
      <c r="E9" s="159">
        <v>7.5496999999999996</v>
      </c>
      <c r="F9" s="159">
        <v>4.0069999999999979</v>
      </c>
      <c r="G9" s="158">
        <f t="shared" si="0"/>
        <v>4.622679999999999</v>
      </c>
      <c r="H9" s="255">
        <v>0.2</v>
      </c>
      <c r="I9" s="255"/>
      <c r="J9" s="158">
        <f t="shared" si="1"/>
        <v>7.3496999999999995</v>
      </c>
      <c r="K9" s="156">
        <f t="shared" si="2"/>
        <v>4.0069999999999979</v>
      </c>
      <c r="L9" s="158">
        <f t="shared" si="3"/>
        <v>11.356699999999996</v>
      </c>
      <c r="M9" s="157">
        <f t="shared" si="4"/>
        <v>1.7305978350221088E-2</v>
      </c>
      <c r="N9" s="156"/>
    </row>
    <row r="10" spans="2:14" ht="15" customHeight="1">
      <c r="B10" s="537"/>
      <c r="C10" s="164" t="s">
        <v>263</v>
      </c>
      <c r="D10" s="351" t="s">
        <v>650</v>
      </c>
      <c r="E10" s="159">
        <v>2.5000000000000001E-2</v>
      </c>
      <c r="F10" s="112">
        <v>1.887</v>
      </c>
      <c r="G10" s="158">
        <f t="shared" si="0"/>
        <v>0.76480000000000004</v>
      </c>
      <c r="H10" s="255"/>
      <c r="I10" s="255"/>
      <c r="J10" s="158">
        <f t="shared" si="1"/>
        <v>2.5000000000000001E-2</v>
      </c>
      <c r="K10" s="156">
        <f t="shared" si="2"/>
        <v>1.887</v>
      </c>
      <c r="L10" s="158">
        <f t="shared" si="3"/>
        <v>1.9119999999999999</v>
      </c>
      <c r="M10" s="157">
        <f t="shared" si="4"/>
        <v>0</v>
      </c>
      <c r="N10" s="156"/>
    </row>
    <row r="11" spans="2:14" ht="15" customHeight="1">
      <c r="B11" s="537"/>
      <c r="C11" s="164" t="s">
        <v>133</v>
      </c>
      <c r="D11" s="351" t="s">
        <v>650</v>
      </c>
      <c r="E11" s="159">
        <v>37.083599999999983</v>
      </c>
      <c r="F11" s="156">
        <v>0</v>
      </c>
      <c r="G11" s="158">
        <f t="shared" si="0"/>
        <v>14.833439999999994</v>
      </c>
      <c r="H11" s="255"/>
      <c r="I11" s="255">
        <v>0.6</v>
      </c>
      <c r="J11" s="158">
        <f t="shared" si="1"/>
        <v>37.083599999999983</v>
      </c>
      <c r="K11" s="156">
        <f t="shared" si="2"/>
        <v>-0.6</v>
      </c>
      <c r="L11" s="158">
        <f t="shared" si="3"/>
        <v>36.483599999999981</v>
      </c>
      <c r="M11" s="157">
        <f t="shared" si="4"/>
        <v>1.6179658932789703E-2</v>
      </c>
      <c r="N11" s="156"/>
    </row>
    <row r="12" spans="2:14" ht="15" customHeight="1">
      <c r="B12" s="121"/>
      <c r="C12" s="168"/>
      <c r="D12" s="73"/>
      <c r="E12" s="73"/>
      <c r="F12" s="73"/>
      <c r="G12" s="93"/>
      <c r="H12" s="73"/>
      <c r="I12" s="73"/>
      <c r="J12" s="93"/>
      <c r="K12" s="73"/>
      <c r="L12" s="93"/>
      <c r="M12" s="73"/>
      <c r="N12" s="73"/>
    </row>
    <row r="13" spans="2:14" ht="15" customHeight="1">
      <c r="B13" s="155" t="s">
        <v>40</v>
      </c>
      <c r="C13" s="164" t="s">
        <v>351</v>
      </c>
      <c r="D13" s="351" t="s">
        <v>650</v>
      </c>
      <c r="E13" s="160">
        <v>64</v>
      </c>
      <c r="F13" s="159">
        <v>91</v>
      </c>
      <c r="G13" s="158">
        <f>((E13+F13)*0.4)</f>
        <v>62</v>
      </c>
      <c r="H13" s="255"/>
      <c r="I13" s="255"/>
      <c r="J13" s="158">
        <f t="shared" si="1"/>
        <v>64</v>
      </c>
      <c r="K13" s="156">
        <f t="shared" ref="K13" si="5">F13-I13</f>
        <v>91</v>
      </c>
      <c r="L13" s="158">
        <f t="shared" ref="L13" si="6">J13+K13</f>
        <v>155</v>
      </c>
      <c r="M13" s="157">
        <f t="shared" si="4"/>
        <v>0</v>
      </c>
      <c r="N13" s="156"/>
    </row>
    <row r="14" spans="2:14" ht="15" customHeight="1">
      <c r="C14" s="167"/>
      <c r="G14" s="91"/>
      <c r="H14" s="265"/>
      <c r="I14" s="265"/>
    </row>
    <row r="15" spans="2:14" ht="15" customHeight="1">
      <c r="B15" s="537" t="s">
        <v>41</v>
      </c>
      <c r="C15" s="164" t="s">
        <v>129</v>
      </c>
      <c r="D15" s="351" t="s">
        <v>650</v>
      </c>
      <c r="E15" s="159">
        <v>104.601</v>
      </c>
      <c r="F15" s="159">
        <v>136.95099999999999</v>
      </c>
      <c r="G15" s="158">
        <f>((E15+F15)*0.4)</f>
        <v>96.620800000000003</v>
      </c>
      <c r="H15" s="255"/>
      <c r="I15" s="255"/>
      <c r="J15" s="156">
        <f t="shared" si="1"/>
        <v>104.601</v>
      </c>
      <c r="K15" s="156">
        <f t="shared" si="2"/>
        <v>136.95099999999999</v>
      </c>
      <c r="L15" s="156">
        <f t="shared" si="3"/>
        <v>241.55199999999999</v>
      </c>
      <c r="M15" s="157">
        <f t="shared" si="4"/>
        <v>0</v>
      </c>
      <c r="N15" s="156"/>
    </row>
    <row r="16" spans="2:14" ht="15" customHeight="1">
      <c r="B16" s="537"/>
      <c r="C16" s="164" t="s">
        <v>128</v>
      </c>
      <c r="D16" s="351" t="s">
        <v>650</v>
      </c>
      <c r="E16" s="158">
        <v>0</v>
      </c>
      <c r="F16" s="112">
        <v>9.9999999999909051E-3</v>
      </c>
      <c r="G16" s="158">
        <f>((E16+F16)*0.4)</f>
        <v>3.9999999999963624E-3</v>
      </c>
      <c r="H16" s="255"/>
      <c r="I16" s="255"/>
      <c r="J16" s="156">
        <f t="shared" si="1"/>
        <v>0</v>
      </c>
      <c r="K16" s="156">
        <f t="shared" si="2"/>
        <v>9.9999999999909051E-3</v>
      </c>
      <c r="L16" s="156">
        <f t="shared" si="3"/>
        <v>9.9999999999909051E-3</v>
      </c>
      <c r="M16" s="157">
        <f t="shared" si="4"/>
        <v>0</v>
      </c>
      <c r="N16" s="156"/>
    </row>
    <row r="17" spans="1:14" ht="15" customHeight="1">
      <c r="C17" s="167"/>
      <c r="H17" s="265"/>
      <c r="I17" s="265"/>
    </row>
    <row r="18" spans="1:14">
      <c r="A18" s="69">
        <v>1</v>
      </c>
      <c r="B18" s="537" t="s">
        <v>42</v>
      </c>
      <c r="C18" s="164" t="s">
        <v>47</v>
      </c>
      <c r="D18" s="231" t="s">
        <v>650</v>
      </c>
      <c r="E18" s="256">
        <v>32.018000000000022</v>
      </c>
      <c r="F18" s="165">
        <v>24.581000000000017</v>
      </c>
      <c r="G18" s="158">
        <f>((E18+F18)*0.4)</f>
        <v>22.639600000000016</v>
      </c>
      <c r="H18" s="266">
        <v>32.018000000000001</v>
      </c>
      <c r="I18" s="266">
        <v>24.581</v>
      </c>
      <c r="J18" s="156">
        <f t="shared" si="1"/>
        <v>0</v>
      </c>
      <c r="K18" s="156">
        <f t="shared" si="2"/>
        <v>0</v>
      </c>
      <c r="L18" s="156">
        <f t="shared" si="3"/>
        <v>0</v>
      </c>
      <c r="M18" s="157">
        <f t="shared" si="4"/>
        <v>0.99999999999999933</v>
      </c>
      <c r="N18" s="156"/>
    </row>
    <row r="19" spans="1:14">
      <c r="A19" s="69">
        <v>2</v>
      </c>
      <c r="B19" s="537"/>
      <c r="C19" s="164" t="s">
        <v>172</v>
      </c>
      <c r="D19" s="231" t="s">
        <v>650</v>
      </c>
      <c r="E19" s="256">
        <v>98.31</v>
      </c>
      <c r="F19" s="165">
        <v>0</v>
      </c>
      <c r="G19" s="158">
        <f t="shared" ref="G19:G82" si="7">((E19+F19)*0.4)</f>
        <v>39.324000000000005</v>
      </c>
      <c r="H19" s="266">
        <v>57.009</v>
      </c>
      <c r="I19" s="266">
        <v>41.301000000000002</v>
      </c>
      <c r="J19" s="156">
        <f t="shared" si="1"/>
        <v>41.301000000000002</v>
      </c>
      <c r="K19" s="156">
        <f t="shared" si="2"/>
        <v>-41.301000000000002</v>
      </c>
      <c r="L19" s="156">
        <f t="shared" si="3"/>
        <v>0</v>
      </c>
      <c r="M19" s="157">
        <f t="shared" si="4"/>
        <v>1</v>
      </c>
      <c r="N19" s="156"/>
    </row>
    <row r="20" spans="1:14">
      <c r="A20" s="69">
        <v>3</v>
      </c>
      <c r="B20" s="537"/>
      <c r="C20" s="164" t="s">
        <v>48</v>
      </c>
      <c r="D20" s="231" t="s">
        <v>650</v>
      </c>
      <c r="E20" s="256">
        <v>4.4000000000035469E-2</v>
      </c>
      <c r="F20" s="166">
        <v>1.3000000000062073E-2</v>
      </c>
      <c r="G20" s="158">
        <f t="shared" si="7"/>
        <v>2.2800000000039018E-2</v>
      </c>
      <c r="H20" s="266">
        <v>4.3999999999999997E-2</v>
      </c>
      <c r="I20" s="266">
        <v>1.2999999999999999E-2</v>
      </c>
      <c r="J20" s="123">
        <f t="shared" si="1"/>
        <v>3.5471625636773751E-14</v>
      </c>
      <c r="K20" s="123">
        <f t="shared" si="2"/>
        <v>6.2073610140878088E-14</v>
      </c>
      <c r="L20" s="123">
        <f t="shared" si="3"/>
        <v>9.754523577765184E-14</v>
      </c>
      <c r="M20" s="157">
        <f t="shared" si="4"/>
        <v>0.9999999999982887</v>
      </c>
      <c r="N20" s="156"/>
    </row>
    <row r="21" spans="1:14">
      <c r="A21" s="69">
        <v>4</v>
      </c>
      <c r="B21" s="537"/>
      <c r="C21" s="164" t="s">
        <v>49</v>
      </c>
      <c r="D21" s="231" t="s">
        <v>650</v>
      </c>
      <c r="E21" s="256">
        <v>263.58600000000001</v>
      </c>
      <c r="F21" s="165">
        <v>534.89900000000011</v>
      </c>
      <c r="G21" s="158">
        <f t="shared" si="7"/>
        <v>319.39400000000006</v>
      </c>
      <c r="H21" s="266">
        <v>263.58600000000001</v>
      </c>
      <c r="I21" s="266">
        <v>534.899</v>
      </c>
      <c r="J21" s="156">
        <f t="shared" si="1"/>
        <v>0</v>
      </c>
      <c r="K21" s="156">
        <f t="shared" si="2"/>
        <v>0</v>
      </c>
      <c r="L21" s="156">
        <f t="shared" si="3"/>
        <v>0</v>
      </c>
      <c r="M21" s="157">
        <f t="shared" si="4"/>
        <v>0.99999999999999989</v>
      </c>
      <c r="N21" s="156"/>
    </row>
    <row r="22" spans="1:14">
      <c r="A22" s="69">
        <v>5</v>
      </c>
      <c r="B22" s="537"/>
      <c r="C22" s="164" t="s">
        <v>50</v>
      </c>
      <c r="D22" s="231" t="s">
        <v>650</v>
      </c>
      <c r="E22" s="256">
        <v>0.20800000000008367</v>
      </c>
      <c r="F22" s="165">
        <v>0.65399999999999636</v>
      </c>
      <c r="G22" s="158">
        <f t="shared" si="7"/>
        <v>0.34480000000003203</v>
      </c>
      <c r="H22" s="266">
        <v>0</v>
      </c>
      <c r="I22" s="266">
        <v>0</v>
      </c>
      <c r="J22" s="156">
        <f t="shared" si="1"/>
        <v>0.20800000000008367</v>
      </c>
      <c r="K22" s="156">
        <f t="shared" si="2"/>
        <v>0.65399999999999636</v>
      </c>
      <c r="L22" s="156">
        <f t="shared" si="3"/>
        <v>0.86200000000008004</v>
      </c>
      <c r="M22" s="157">
        <f t="shared" si="4"/>
        <v>0</v>
      </c>
      <c r="N22" s="156"/>
    </row>
    <row r="23" spans="1:14">
      <c r="A23" s="69">
        <v>6</v>
      </c>
      <c r="B23" s="537"/>
      <c r="C23" s="164" t="s">
        <v>51</v>
      </c>
      <c r="D23" s="231" t="s">
        <v>650</v>
      </c>
      <c r="E23" s="256">
        <v>1030.4609999999998</v>
      </c>
      <c r="F23" s="166">
        <v>991.21999999999935</v>
      </c>
      <c r="G23" s="158">
        <f t="shared" si="7"/>
        <v>808.6723999999997</v>
      </c>
      <c r="H23" s="266">
        <v>1030.461</v>
      </c>
      <c r="I23" s="266">
        <v>991.22</v>
      </c>
      <c r="J23" s="156">
        <f t="shared" si="1"/>
        <v>0</v>
      </c>
      <c r="K23" s="156">
        <f t="shared" si="2"/>
        <v>0</v>
      </c>
      <c r="L23" s="156">
        <f t="shared" si="3"/>
        <v>0</v>
      </c>
      <c r="M23" s="157">
        <f t="shared" si="4"/>
        <v>1.0000000000000004</v>
      </c>
      <c r="N23" s="156"/>
    </row>
    <row r="24" spans="1:14">
      <c r="A24" s="69">
        <v>7</v>
      </c>
      <c r="B24" s="537"/>
      <c r="C24" s="164" t="s">
        <v>52</v>
      </c>
      <c r="D24" s="231" t="s">
        <v>650</v>
      </c>
      <c r="E24" s="256">
        <v>758.38299999999981</v>
      </c>
      <c r="F24" s="166">
        <v>2048.6350000000002</v>
      </c>
      <c r="G24" s="158">
        <f t="shared" si="7"/>
        <v>1122.8072</v>
      </c>
      <c r="H24" s="266">
        <v>758.38300000000004</v>
      </c>
      <c r="I24" s="266">
        <v>2048.6350000000002</v>
      </c>
      <c r="J24" s="156">
        <f t="shared" si="1"/>
        <v>0</v>
      </c>
      <c r="K24" s="156">
        <f t="shared" si="2"/>
        <v>0</v>
      </c>
      <c r="L24" s="156">
        <f t="shared" si="3"/>
        <v>0</v>
      </c>
      <c r="M24" s="157">
        <f t="shared" si="4"/>
        <v>1</v>
      </c>
      <c r="N24" s="156"/>
    </row>
    <row r="25" spans="1:14">
      <c r="A25" s="69">
        <v>8</v>
      </c>
      <c r="B25" s="537"/>
      <c r="C25" s="164" t="s">
        <v>53</v>
      </c>
      <c r="D25" s="231" t="s">
        <v>650</v>
      </c>
      <c r="E25" s="256">
        <v>774.64800000000014</v>
      </c>
      <c r="F25" s="165">
        <v>124.96000000000004</v>
      </c>
      <c r="G25" s="158">
        <f t="shared" si="7"/>
        <v>359.84320000000008</v>
      </c>
      <c r="H25" s="266">
        <v>774.64800000000002</v>
      </c>
      <c r="I25" s="266">
        <v>124.96</v>
      </c>
      <c r="J25" s="156">
        <f t="shared" si="1"/>
        <v>0</v>
      </c>
      <c r="K25" s="156">
        <f t="shared" si="2"/>
        <v>0</v>
      </c>
      <c r="L25" s="156">
        <f t="shared" si="3"/>
        <v>0</v>
      </c>
      <c r="M25" s="157">
        <f t="shared" si="4"/>
        <v>0.99999999999999989</v>
      </c>
      <c r="N25" s="156"/>
    </row>
    <row r="26" spans="1:14">
      <c r="A26" s="69">
        <v>9</v>
      </c>
      <c r="B26" s="537"/>
      <c r="C26" s="164" t="s">
        <v>54</v>
      </c>
      <c r="D26" s="231" t="s">
        <v>650</v>
      </c>
      <c r="E26" s="165">
        <v>0</v>
      </c>
      <c r="F26" s="165">
        <v>1054.2560000000003</v>
      </c>
      <c r="G26" s="158">
        <f t="shared" si="7"/>
        <v>421.70240000000013</v>
      </c>
      <c r="H26" s="266">
        <v>258.596</v>
      </c>
      <c r="I26" s="266">
        <v>795.66</v>
      </c>
      <c r="J26" s="156">
        <f t="shared" si="1"/>
        <v>-258.596</v>
      </c>
      <c r="K26" s="314">
        <v>782.20600000000002</v>
      </c>
      <c r="L26" s="156">
        <f t="shared" si="3"/>
        <v>523.61</v>
      </c>
      <c r="M26" s="157">
        <f t="shared" si="4"/>
        <v>0.99999999999999956</v>
      </c>
      <c r="N26" s="156"/>
    </row>
    <row r="27" spans="1:14">
      <c r="A27" s="69">
        <v>10</v>
      </c>
      <c r="B27" s="537"/>
      <c r="C27" s="164" t="s">
        <v>55</v>
      </c>
      <c r="D27" s="231" t="s">
        <v>650</v>
      </c>
      <c r="E27" s="264">
        <v>1.809999942779541</v>
      </c>
      <c r="F27" s="264">
        <v>0.26100000739097595</v>
      </c>
      <c r="G27" s="158">
        <f t="shared" si="7"/>
        <v>0.82839998006820681</v>
      </c>
      <c r="H27" s="395">
        <v>1.81</v>
      </c>
      <c r="I27" s="395">
        <v>0.26100000000000001</v>
      </c>
      <c r="J27" s="123">
        <f t="shared" si="1"/>
        <v>-5.7220459037665705E-8</v>
      </c>
      <c r="K27" s="123">
        <f t="shared" si="2"/>
        <v>7.3909759423784749E-9</v>
      </c>
      <c r="L27" s="123">
        <f t="shared" si="3"/>
        <v>-4.982948309528723E-8</v>
      </c>
      <c r="M27" s="157">
        <f t="shared" si="4"/>
        <v>1.0000000240605913</v>
      </c>
      <c r="N27" s="156"/>
    </row>
    <row r="28" spans="1:14">
      <c r="A28" s="69">
        <v>11</v>
      </c>
      <c r="B28" s="537"/>
      <c r="C28" s="164" t="s">
        <v>56</v>
      </c>
      <c r="D28" s="231" t="s">
        <v>650</v>
      </c>
      <c r="E28" s="165">
        <v>0</v>
      </c>
      <c r="F28" s="165">
        <v>1141.2589999999998</v>
      </c>
      <c r="G28" s="158">
        <f t="shared" si="7"/>
        <v>456.50359999999995</v>
      </c>
      <c r="H28" s="266">
        <v>381.25900000000001</v>
      </c>
      <c r="I28" s="266">
        <v>760</v>
      </c>
      <c r="J28" s="156">
        <f t="shared" si="1"/>
        <v>-381.25900000000001</v>
      </c>
      <c r="K28" s="156">
        <f t="shared" si="2"/>
        <v>381.25899999999979</v>
      </c>
      <c r="L28" s="156">
        <f t="shared" si="3"/>
        <v>0</v>
      </c>
      <c r="M28" s="157">
        <f t="shared" si="4"/>
        <v>1.0000000000000002</v>
      </c>
      <c r="N28" s="156"/>
    </row>
    <row r="29" spans="1:14">
      <c r="A29" s="69">
        <v>12</v>
      </c>
      <c r="B29" s="537"/>
      <c r="C29" s="164" t="s">
        <v>276</v>
      </c>
      <c r="D29" s="231" t="s">
        <v>650</v>
      </c>
      <c r="E29" s="256">
        <v>1224.9659999999999</v>
      </c>
      <c r="F29" s="165">
        <v>999.00500000000011</v>
      </c>
      <c r="G29" s="158">
        <f t="shared" si="7"/>
        <v>889.58840000000009</v>
      </c>
      <c r="H29" s="266">
        <v>1224.9659999999999</v>
      </c>
      <c r="I29" s="266">
        <v>999.005</v>
      </c>
      <c r="J29" s="156">
        <f t="shared" si="1"/>
        <v>0</v>
      </c>
      <c r="K29" s="156">
        <f t="shared" si="2"/>
        <v>0</v>
      </c>
      <c r="L29" s="156">
        <f t="shared" si="3"/>
        <v>0</v>
      </c>
      <c r="M29" s="157">
        <f t="shared" si="4"/>
        <v>1</v>
      </c>
      <c r="N29" s="156"/>
    </row>
    <row r="30" spans="1:14">
      <c r="A30" s="69">
        <v>13</v>
      </c>
      <c r="B30" s="537"/>
      <c r="C30" s="164" t="s">
        <v>182</v>
      </c>
      <c r="D30" s="231" t="s">
        <v>650</v>
      </c>
      <c r="E30" s="256">
        <v>570.12100000000009</v>
      </c>
      <c r="F30" s="165">
        <v>1865.5360000000001</v>
      </c>
      <c r="G30" s="158">
        <f t="shared" si="7"/>
        <v>974.26280000000008</v>
      </c>
      <c r="H30" s="395">
        <v>762.09400000000005</v>
      </c>
      <c r="I30" s="260">
        <v>1673.5630000000001</v>
      </c>
      <c r="J30" s="156">
        <f t="shared" si="1"/>
        <v>-191.97299999999996</v>
      </c>
      <c r="K30" s="156">
        <f t="shared" si="2"/>
        <v>191.97299999999996</v>
      </c>
      <c r="L30" s="156">
        <f t="shared" si="3"/>
        <v>0</v>
      </c>
      <c r="M30" s="157">
        <f t="shared" si="4"/>
        <v>1</v>
      </c>
      <c r="N30" s="156"/>
    </row>
    <row r="31" spans="1:14">
      <c r="A31" s="69">
        <v>14</v>
      </c>
      <c r="B31" s="537"/>
      <c r="C31" s="164" t="s">
        <v>277</v>
      </c>
      <c r="D31" s="231" t="s">
        <v>650</v>
      </c>
      <c r="E31" s="256">
        <v>923.22900000000016</v>
      </c>
      <c r="F31" s="165">
        <v>0</v>
      </c>
      <c r="G31" s="158">
        <f t="shared" si="7"/>
        <v>369.29160000000007</v>
      </c>
      <c r="H31" s="395">
        <v>923.22900000000004</v>
      </c>
      <c r="I31" s="395">
        <v>0</v>
      </c>
      <c r="J31" s="156">
        <f t="shared" si="1"/>
        <v>0</v>
      </c>
      <c r="K31" s="156">
        <f t="shared" si="2"/>
        <v>0</v>
      </c>
      <c r="L31" s="156">
        <f t="shared" si="3"/>
        <v>0</v>
      </c>
      <c r="M31" s="157">
        <f t="shared" si="4"/>
        <v>0.99999999999999989</v>
      </c>
      <c r="N31" s="156"/>
    </row>
    <row r="32" spans="1:14">
      <c r="A32" s="69">
        <v>15</v>
      </c>
      <c r="B32" s="537"/>
      <c r="C32" s="164" t="s">
        <v>278</v>
      </c>
      <c r="D32" s="231" t="s">
        <v>650</v>
      </c>
      <c r="E32" s="165">
        <v>0</v>
      </c>
      <c r="F32" s="165">
        <v>1969.9870000000005</v>
      </c>
      <c r="G32" s="158">
        <f t="shared" si="7"/>
        <v>787.99480000000028</v>
      </c>
      <c r="H32" s="395">
        <v>0</v>
      </c>
      <c r="I32" s="260">
        <v>1969.9870000000001</v>
      </c>
      <c r="J32" s="156">
        <f t="shared" si="1"/>
        <v>0</v>
      </c>
      <c r="K32" s="156">
        <f t="shared" si="2"/>
        <v>0</v>
      </c>
      <c r="L32" s="156">
        <f t="shared" si="3"/>
        <v>0</v>
      </c>
      <c r="M32" s="157">
        <f t="shared" si="4"/>
        <v>0.99999999999999978</v>
      </c>
      <c r="N32" s="156"/>
    </row>
    <row r="33" spans="1:14">
      <c r="A33" s="69">
        <v>16</v>
      </c>
      <c r="B33" s="537"/>
      <c r="C33" s="164" t="s">
        <v>57</v>
      </c>
      <c r="D33" s="231" t="s">
        <v>650</v>
      </c>
      <c r="E33" s="256">
        <v>198.35600000000005</v>
      </c>
      <c r="F33" s="166">
        <v>99.493000000000052</v>
      </c>
      <c r="G33" s="158">
        <f t="shared" si="7"/>
        <v>119.13960000000004</v>
      </c>
      <c r="H33" s="395">
        <v>198.35599999999999</v>
      </c>
      <c r="I33" s="395">
        <v>99.492999999999995</v>
      </c>
      <c r="J33" s="156">
        <f t="shared" si="1"/>
        <v>0</v>
      </c>
      <c r="K33" s="156">
        <f t="shared" si="2"/>
        <v>0</v>
      </c>
      <c r="L33" s="156">
        <f t="shared" si="3"/>
        <v>0</v>
      </c>
      <c r="M33" s="157">
        <f t="shared" si="4"/>
        <v>0.99999999999999967</v>
      </c>
      <c r="N33" s="156"/>
    </row>
    <row r="34" spans="1:14">
      <c r="A34" s="69">
        <v>17</v>
      </c>
      <c r="B34" s="537"/>
      <c r="C34" s="164" t="s">
        <v>260</v>
      </c>
      <c r="D34" s="231" t="s">
        <v>650</v>
      </c>
      <c r="E34" s="256">
        <v>413.10399999999981</v>
      </c>
      <c r="F34" s="165">
        <v>569.80699999999979</v>
      </c>
      <c r="G34" s="158">
        <f t="shared" si="7"/>
        <v>393.16439999999989</v>
      </c>
      <c r="H34" s="395">
        <v>514.22799999999995</v>
      </c>
      <c r="I34" s="395">
        <v>468.68299999999999</v>
      </c>
      <c r="J34" s="156">
        <f t="shared" si="1"/>
        <v>-101.12400000000014</v>
      </c>
      <c r="K34" s="156">
        <f t="shared" si="2"/>
        <v>101.1239999999998</v>
      </c>
      <c r="L34" s="156">
        <f t="shared" si="3"/>
        <v>-3.4106051316484809E-13</v>
      </c>
      <c r="M34" s="157">
        <f t="shared" si="4"/>
        <v>1.0000000000000004</v>
      </c>
      <c r="N34" s="156"/>
    </row>
    <row r="35" spans="1:14">
      <c r="A35" s="69">
        <v>18</v>
      </c>
      <c r="B35" s="537"/>
      <c r="C35" s="164" t="s">
        <v>58</v>
      </c>
      <c r="D35" s="231" t="s">
        <v>650</v>
      </c>
      <c r="E35" s="256">
        <v>0.52000000000000846</v>
      </c>
      <c r="F35" s="165">
        <v>0</v>
      </c>
      <c r="G35" s="158">
        <f t="shared" si="7"/>
        <v>0.2080000000000034</v>
      </c>
      <c r="H35" s="395">
        <v>0.52</v>
      </c>
      <c r="I35" s="395">
        <v>0</v>
      </c>
      <c r="J35" s="123">
        <f t="shared" si="1"/>
        <v>8.4376949871511897E-15</v>
      </c>
      <c r="K35" s="123">
        <f t="shared" si="2"/>
        <v>0</v>
      </c>
      <c r="L35" s="123">
        <f t="shared" si="3"/>
        <v>8.4376949871511897E-15</v>
      </c>
      <c r="M35" s="157">
        <f t="shared" si="4"/>
        <v>0.99999999999998379</v>
      </c>
      <c r="N35" s="156"/>
    </row>
    <row r="36" spans="1:14">
      <c r="A36" s="69">
        <v>19</v>
      </c>
      <c r="B36" s="537"/>
      <c r="C36" s="164" t="s">
        <v>59</v>
      </c>
      <c r="D36" s="231" t="s">
        <v>650</v>
      </c>
      <c r="E36" s="256">
        <v>9479.8430000000008</v>
      </c>
      <c r="F36" s="165">
        <v>270.10699999999997</v>
      </c>
      <c r="G36" s="158">
        <f t="shared" si="7"/>
        <v>3899.9800000000005</v>
      </c>
      <c r="H36" s="396">
        <v>9479.8430000000008</v>
      </c>
      <c r="I36" s="396">
        <v>270.10700000000003</v>
      </c>
      <c r="J36" s="158">
        <f t="shared" si="1"/>
        <v>0</v>
      </c>
      <c r="K36" s="158">
        <f t="shared" si="2"/>
        <v>0</v>
      </c>
      <c r="L36" s="158">
        <f t="shared" si="3"/>
        <v>0</v>
      </c>
      <c r="M36" s="157">
        <f t="shared" si="4"/>
        <v>1</v>
      </c>
      <c r="N36" s="156"/>
    </row>
    <row r="37" spans="1:14">
      <c r="A37" s="69">
        <v>20</v>
      </c>
      <c r="B37" s="537"/>
      <c r="C37" s="164" t="s">
        <v>60</v>
      </c>
      <c r="D37" s="231" t="s">
        <v>650</v>
      </c>
      <c r="E37" s="256">
        <v>64.399000000000001</v>
      </c>
      <c r="F37" s="166">
        <v>43.096000000000004</v>
      </c>
      <c r="G37" s="158">
        <f t="shared" si="7"/>
        <v>42.998000000000005</v>
      </c>
      <c r="H37" s="395">
        <v>53.777999999999999</v>
      </c>
      <c r="I37" s="395">
        <v>53.716999999999999</v>
      </c>
      <c r="J37" s="156">
        <f t="shared" si="1"/>
        <v>10.621000000000002</v>
      </c>
      <c r="K37" s="156">
        <f t="shared" si="2"/>
        <v>-10.620999999999995</v>
      </c>
      <c r="L37" s="156">
        <f t="shared" si="3"/>
        <v>0</v>
      </c>
      <c r="M37" s="157">
        <f t="shared" si="4"/>
        <v>1</v>
      </c>
      <c r="N37" s="156"/>
    </row>
    <row r="38" spans="1:14">
      <c r="A38" s="69">
        <v>21</v>
      </c>
      <c r="B38" s="537"/>
      <c r="C38" s="164" t="s">
        <v>61</v>
      </c>
      <c r="D38" s="231" t="s">
        <v>650</v>
      </c>
      <c r="E38" s="256">
        <v>172.95600000000013</v>
      </c>
      <c r="F38" s="165">
        <v>1333.5040000000004</v>
      </c>
      <c r="G38" s="158">
        <f t="shared" si="7"/>
        <v>602.58400000000017</v>
      </c>
      <c r="H38" s="395">
        <v>456.91399999999999</v>
      </c>
      <c r="I38" s="260">
        <v>1038.037</v>
      </c>
      <c r="J38" s="156">
        <f t="shared" si="1"/>
        <v>-283.95799999999986</v>
      </c>
      <c r="K38" s="156">
        <f t="shared" si="2"/>
        <v>295.46700000000033</v>
      </c>
      <c r="L38" s="156">
        <f t="shared" si="3"/>
        <v>11.509000000000469</v>
      </c>
      <c r="M38" s="157">
        <f t="shared" si="4"/>
        <v>0.99236023525350792</v>
      </c>
      <c r="N38" s="156"/>
    </row>
    <row r="39" spans="1:14">
      <c r="A39" s="69">
        <v>22</v>
      </c>
      <c r="B39" s="537"/>
      <c r="C39" s="164" t="s">
        <v>62</v>
      </c>
      <c r="D39" s="231" t="s">
        <v>650</v>
      </c>
      <c r="E39" s="256">
        <v>230.89300000000003</v>
      </c>
      <c r="F39" s="166">
        <v>774.21600000000012</v>
      </c>
      <c r="G39" s="158">
        <f t="shared" si="7"/>
        <v>402.04360000000008</v>
      </c>
      <c r="H39" s="395">
        <v>230.893</v>
      </c>
      <c r="I39" s="395">
        <v>774.21600000000001</v>
      </c>
      <c r="J39" s="156">
        <f t="shared" si="1"/>
        <v>0</v>
      </c>
      <c r="K39" s="156">
        <f t="shared" si="2"/>
        <v>0</v>
      </c>
      <c r="L39" s="156">
        <f t="shared" si="3"/>
        <v>0</v>
      </c>
      <c r="M39" s="157">
        <f t="shared" si="4"/>
        <v>0.99999999999999989</v>
      </c>
      <c r="N39" s="156"/>
    </row>
    <row r="40" spans="1:14">
      <c r="A40" s="69">
        <v>23</v>
      </c>
      <c r="B40" s="537"/>
      <c r="C40" s="164" t="s">
        <v>63</v>
      </c>
      <c r="D40" s="231" t="s">
        <v>650</v>
      </c>
      <c r="E40" s="165">
        <v>0</v>
      </c>
      <c r="F40" s="165">
        <v>1143.1300000000001</v>
      </c>
      <c r="G40" s="158">
        <f t="shared" si="7"/>
        <v>457.25200000000007</v>
      </c>
      <c r="H40" s="395">
        <v>703.75400000000002</v>
      </c>
      <c r="I40" s="395">
        <v>439.37599999999998</v>
      </c>
      <c r="J40" s="156">
        <f t="shared" si="1"/>
        <v>-703.75400000000002</v>
      </c>
      <c r="K40" s="156">
        <f t="shared" si="2"/>
        <v>703.75400000000013</v>
      </c>
      <c r="L40" s="156">
        <f t="shared" si="3"/>
        <v>0</v>
      </c>
      <c r="M40" s="157">
        <f t="shared" si="4"/>
        <v>1</v>
      </c>
      <c r="N40" s="156"/>
    </row>
    <row r="41" spans="1:14">
      <c r="A41" s="69">
        <v>24</v>
      </c>
      <c r="B41" s="537"/>
      <c r="C41" s="164" t="s">
        <v>181</v>
      </c>
      <c r="D41" s="231" t="s">
        <v>650</v>
      </c>
      <c r="E41" s="256">
        <v>1248.8220000000001</v>
      </c>
      <c r="F41" s="166">
        <v>665.43199999999979</v>
      </c>
      <c r="G41" s="158">
        <f t="shared" si="7"/>
        <v>765.70159999999998</v>
      </c>
      <c r="H41" s="260">
        <v>1248.8219999999999</v>
      </c>
      <c r="I41" s="395">
        <v>665.43200000000002</v>
      </c>
      <c r="J41" s="156">
        <f t="shared" si="1"/>
        <v>0</v>
      </c>
      <c r="K41" s="156">
        <f t="shared" si="2"/>
        <v>0</v>
      </c>
      <c r="L41" s="156">
        <f t="shared" si="3"/>
        <v>0</v>
      </c>
      <c r="M41" s="157">
        <f t="shared" si="4"/>
        <v>1</v>
      </c>
      <c r="N41" s="156"/>
    </row>
    <row r="42" spans="1:14">
      <c r="A42" s="69">
        <v>25</v>
      </c>
      <c r="B42" s="537"/>
      <c r="C42" s="164" t="s">
        <v>64</v>
      </c>
      <c r="D42" s="231" t="s">
        <v>650</v>
      </c>
      <c r="E42" s="256">
        <v>352.75700000000006</v>
      </c>
      <c r="F42" s="165">
        <v>1521.7650000000003</v>
      </c>
      <c r="G42" s="158">
        <f t="shared" si="7"/>
        <v>749.80880000000025</v>
      </c>
      <c r="H42" s="395">
        <v>830.87800000000004</v>
      </c>
      <c r="I42" s="260">
        <v>1043.644</v>
      </c>
      <c r="J42" s="156">
        <f t="shared" si="1"/>
        <v>-478.12099999999998</v>
      </c>
      <c r="K42" s="156">
        <f t="shared" si="2"/>
        <v>478.12100000000032</v>
      </c>
      <c r="L42" s="156">
        <f t="shared" si="3"/>
        <v>0</v>
      </c>
      <c r="M42" s="157">
        <f t="shared" si="4"/>
        <v>0.99999999999999978</v>
      </c>
      <c r="N42" s="156"/>
    </row>
    <row r="43" spans="1:14">
      <c r="A43" s="69">
        <v>26</v>
      </c>
      <c r="B43" s="537"/>
      <c r="C43" s="164" t="s">
        <v>65</v>
      </c>
      <c r="D43" s="231" t="s">
        <v>650</v>
      </c>
      <c r="E43" s="256">
        <v>2.5999999999953616E-2</v>
      </c>
      <c r="F43" s="165">
        <v>2.5999999999953616E-2</v>
      </c>
      <c r="G43" s="158">
        <f t="shared" si="7"/>
        <v>2.0799999999962893E-2</v>
      </c>
      <c r="H43" s="395">
        <v>2.5999999999999999E-2</v>
      </c>
      <c r="I43" s="395">
        <v>0</v>
      </c>
      <c r="J43" s="123">
        <f t="shared" si="1"/>
        <v>-4.6383036300667868E-14</v>
      </c>
      <c r="K43" s="156">
        <f t="shared" si="2"/>
        <v>2.5999999999953616E-2</v>
      </c>
      <c r="L43" s="156">
        <f t="shared" si="3"/>
        <v>2.5999999999907233E-2</v>
      </c>
      <c r="M43" s="157">
        <f t="shared" si="4"/>
        <v>0.50000000000089195</v>
      </c>
      <c r="N43" s="156"/>
    </row>
    <row r="44" spans="1:14">
      <c r="A44" s="69">
        <v>27</v>
      </c>
      <c r="B44" s="537"/>
      <c r="C44" s="164" t="s">
        <v>66</v>
      </c>
      <c r="D44" s="231" t="s">
        <v>650</v>
      </c>
      <c r="E44" s="256">
        <v>681.66699999999992</v>
      </c>
      <c r="F44" s="166">
        <v>320.14600000000019</v>
      </c>
      <c r="G44" s="158">
        <f t="shared" si="7"/>
        <v>400.72520000000009</v>
      </c>
      <c r="H44" s="395">
        <v>681.66700000000003</v>
      </c>
      <c r="I44" s="395">
        <v>320.14600000000002</v>
      </c>
      <c r="J44" s="156">
        <f t="shared" si="1"/>
        <v>0</v>
      </c>
      <c r="K44" s="156">
        <f t="shared" si="2"/>
        <v>0</v>
      </c>
      <c r="L44" s="156">
        <f t="shared" si="3"/>
        <v>0</v>
      </c>
      <c r="M44" s="157">
        <f t="shared" si="4"/>
        <v>1</v>
      </c>
      <c r="N44" s="156"/>
    </row>
    <row r="45" spans="1:14">
      <c r="A45" s="69" t="s">
        <v>284</v>
      </c>
      <c r="B45" s="537"/>
      <c r="C45" s="306"/>
      <c r="D45" s="231" t="s">
        <v>650</v>
      </c>
      <c r="E45" s="256">
        <v>2.2000000000000242E-2</v>
      </c>
      <c r="F45" s="166">
        <v>3.9590000000000014</v>
      </c>
      <c r="G45" s="158">
        <f t="shared" si="7"/>
        <v>1.5924000000000007</v>
      </c>
      <c r="H45" s="277" t="s">
        <v>284</v>
      </c>
      <c r="I45" s="277" t="s">
        <v>284</v>
      </c>
      <c r="J45" s="156" t="e">
        <f t="shared" si="1"/>
        <v>#VALUE!</v>
      </c>
      <c r="K45" s="156" t="e">
        <f t="shared" si="2"/>
        <v>#VALUE!</v>
      </c>
      <c r="L45" s="156" t="e">
        <f t="shared" si="3"/>
        <v>#VALUE!</v>
      </c>
      <c r="M45" s="157" t="e">
        <f t="shared" si="4"/>
        <v>#VALUE!</v>
      </c>
      <c r="N45" s="156"/>
    </row>
    <row r="46" spans="1:14">
      <c r="A46" s="69">
        <v>28</v>
      </c>
      <c r="B46" s="537"/>
      <c r="C46" s="164" t="s">
        <v>67</v>
      </c>
      <c r="D46" s="231" t="s">
        <v>650</v>
      </c>
      <c r="E46" s="165">
        <v>0</v>
      </c>
      <c r="F46" s="165">
        <v>266.03700000000003</v>
      </c>
      <c r="G46" s="158">
        <f t="shared" si="7"/>
        <v>106.41480000000001</v>
      </c>
      <c r="H46" s="395">
        <v>0</v>
      </c>
      <c r="I46" s="395">
        <v>266.03699999999998</v>
      </c>
      <c r="J46" s="156">
        <f t="shared" si="1"/>
        <v>0</v>
      </c>
      <c r="K46" s="156">
        <f t="shared" si="2"/>
        <v>0</v>
      </c>
      <c r="L46" s="156">
        <f t="shared" si="3"/>
        <v>0</v>
      </c>
      <c r="M46" s="157">
        <f t="shared" si="4"/>
        <v>0.99999999999999978</v>
      </c>
      <c r="N46" s="156"/>
    </row>
    <row r="47" spans="1:14">
      <c r="A47" s="69">
        <v>29</v>
      </c>
      <c r="B47" s="537"/>
      <c r="C47" s="164" t="s">
        <v>68</v>
      </c>
      <c r="D47" s="231" t="s">
        <v>650</v>
      </c>
      <c r="E47" s="256">
        <v>9.3000000000003524E-2</v>
      </c>
      <c r="F47" s="165">
        <v>9.9000000000003752E-2</v>
      </c>
      <c r="G47" s="158">
        <f t="shared" si="7"/>
        <v>7.6800000000002921E-2</v>
      </c>
      <c r="H47" s="395">
        <v>0</v>
      </c>
      <c r="I47" s="395">
        <v>0</v>
      </c>
      <c r="J47" s="156">
        <f t="shared" si="1"/>
        <v>9.3000000000003524E-2</v>
      </c>
      <c r="K47" s="156">
        <f t="shared" si="2"/>
        <v>9.9000000000003752E-2</v>
      </c>
      <c r="L47" s="156">
        <f t="shared" si="3"/>
        <v>0.19200000000000728</v>
      </c>
      <c r="M47" s="157">
        <f t="shared" si="4"/>
        <v>0</v>
      </c>
      <c r="N47" s="156"/>
    </row>
    <row r="48" spans="1:14">
      <c r="A48" s="69">
        <v>30</v>
      </c>
      <c r="B48" s="537"/>
      <c r="C48" s="164" t="s">
        <v>69</v>
      </c>
      <c r="D48" s="231" t="s">
        <v>650</v>
      </c>
      <c r="E48" s="256">
        <v>430.01099999999997</v>
      </c>
      <c r="F48" s="165">
        <v>1213.6839999999997</v>
      </c>
      <c r="G48" s="158">
        <f t="shared" si="7"/>
        <v>657.47799999999995</v>
      </c>
      <c r="H48" s="395">
        <v>665.19</v>
      </c>
      <c r="I48" s="395">
        <v>978.505</v>
      </c>
      <c r="J48" s="156">
        <f t="shared" si="1"/>
        <v>-235.17900000000009</v>
      </c>
      <c r="K48" s="156">
        <f t="shared" si="2"/>
        <v>235.17899999999975</v>
      </c>
      <c r="L48" s="156">
        <f t="shared" si="3"/>
        <v>-3.4106051316484809E-13</v>
      </c>
      <c r="M48" s="157">
        <f t="shared" si="4"/>
        <v>1.0000000000000002</v>
      </c>
      <c r="N48" s="156"/>
    </row>
    <row r="49" spans="1:14">
      <c r="A49" s="69">
        <v>31</v>
      </c>
      <c r="B49" s="537"/>
      <c r="C49" s="164" t="s">
        <v>70</v>
      </c>
      <c r="D49" s="231" t="s">
        <v>650</v>
      </c>
      <c r="E49" s="256">
        <v>392.61699999999973</v>
      </c>
      <c r="F49" s="165">
        <v>775.0630000000001</v>
      </c>
      <c r="G49" s="158">
        <f t="shared" si="7"/>
        <v>467.07199999999995</v>
      </c>
      <c r="H49" s="395">
        <v>960.54</v>
      </c>
      <c r="I49" s="395">
        <v>207.14</v>
      </c>
      <c r="J49" s="156">
        <f t="shared" si="1"/>
        <v>-567.92300000000023</v>
      </c>
      <c r="K49" s="156">
        <f t="shared" si="2"/>
        <v>567.92300000000012</v>
      </c>
      <c r="L49" s="156">
        <f t="shared" si="3"/>
        <v>0</v>
      </c>
      <c r="M49" s="157">
        <f t="shared" si="4"/>
        <v>1</v>
      </c>
      <c r="N49" s="156"/>
    </row>
    <row r="50" spans="1:14">
      <c r="A50" s="69">
        <v>33</v>
      </c>
      <c r="B50" s="537"/>
      <c r="C50" s="164" t="s">
        <v>71</v>
      </c>
      <c r="D50" s="231" t="s">
        <v>650</v>
      </c>
      <c r="E50" s="256">
        <v>1.2E-2</v>
      </c>
      <c r="F50" s="165">
        <v>1.7999999999999999E-2</v>
      </c>
      <c r="G50" s="158">
        <f t="shared" si="7"/>
        <v>1.2E-2</v>
      </c>
      <c r="H50" s="395">
        <v>0</v>
      </c>
      <c r="I50" s="395">
        <v>0</v>
      </c>
      <c r="J50" s="156">
        <f t="shared" si="1"/>
        <v>1.2E-2</v>
      </c>
      <c r="K50" s="156">
        <f t="shared" si="2"/>
        <v>1.7999999999999999E-2</v>
      </c>
      <c r="L50" s="156">
        <f t="shared" si="3"/>
        <v>0.03</v>
      </c>
      <c r="M50" s="157">
        <f t="shared" si="4"/>
        <v>0</v>
      </c>
      <c r="N50" s="156"/>
    </row>
    <row r="51" spans="1:14">
      <c r="A51" s="69">
        <v>34</v>
      </c>
      <c r="B51" s="537"/>
      <c r="C51" s="164" t="s">
        <v>72</v>
      </c>
      <c r="D51" s="231" t="s">
        <v>650</v>
      </c>
      <c r="E51" s="256">
        <v>103.24999999999999</v>
      </c>
      <c r="F51" s="165">
        <v>394.96000000000004</v>
      </c>
      <c r="G51" s="158">
        <f t="shared" si="7"/>
        <v>199.28400000000002</v>
      </c>
      <c r="H51" s="395">
        <v>162.78800000000001</v>
      </c>
      <c r="I51" s="395">
        <v>37.326000000000001</v>
      </c>
      <c r="J51" s="156">
        <f t="shared" si="1"/>
        <v>-59.538000000000025</v>
      </c>
      <c r="K51" s="156">
        <f t="shared" si="2"/>
        <v>357.63400000000001</v>
      </c>
      <c r="L51" s="156">
        <f t="shared" si="3"/>
        <v>298.096</v>
      </c>
      <c r="M51" s="157">
        <f t="shared" si="4"/>
        <v>0.40166596415166295</v>
      </c>
      <c r="N51" s="156"/>
    </row>
    <row r="52" spans="1:14">
      <c r="A52" s="69">
        <v>35</v>
      </c>
      <c r="B52" s="537"/>
      <c r="C52" s="164" t="s">
        <v>73</v>
      </c>
      <c r="D52" s="231" t="s">
        <v>650</v>
      </c>
      <c r="E52" s="256">
        <v>96.4849999999999</v>
      </c>
      <c r="F52" s="166">
        <v>81.085000000000036</v>
      </c>
      <c r="G52" s="158">
        <f t="shared" si="7"/>
        <v>71.027999999999977</v>
      </c>
      <c r="H52" s="395">
        <v>96.484999999999999</v>
      </c>
      <c r="I52" s="395">
        <v>81.084999999999994</v>
      </c>
      <c r="J52" s="156">
        <f t="shared" si="1"/>
        <v>0</v>
      </c>
      <c r="K52" s="156">
        <f t="shared" si="2"/>
        <v>0</v>
      </c>
      <c r="L52" s="156">
        <f t="shared" si="3"/>
        <v>0</v>
      </c>
      <c r="M52" s="157">
        <f t="shared" si="4"/>
        <v>1.0000000000000002</v>
      </c>
      <c r="N52" s="156"/>
    </row>
    <row r="53" spans="1:14">
      <c r="A53" s="69">
        <v>36</v>
      </c>
      <c r="B53" s="537"/>
      <c r="C53" s="164" t="s">
        <v>74</v>
      </c>
      <c r="D53" s="231" t="s">
        <v>650</v>
      </c>
      <c r="E53" s="165">
        <v>0</v>
      </c>
      <c r="F53" s="165">
        <v>6.7000000000007276E-2</v>
      </c>
      <c r="G53" s="158">
        <f t="shared" si="7"/>
        <v>2.6800000000002912E-2</v>
      </c>
      <c r="H53" s="395">
        <v>0</v>
      </c>
      <c r="I53" s="395">
        <v>0</v>
      </c>
      <c r="J53" s="156">
        <f t="shared" si="1"/>
        <v>0</v>
      </c>
      <c r="K53" s="156">
        <f t="shared" si="2"/>
        <v>6.7000000000007276E-2</v>
      </c>
      <c r="L53" s="156">
        <f t="shared" si="3"/>
        <v>6.7000000000007276E-2</v>
      </c>
      <c r="M53" s="157">
        <f t="shared" si="4"/>
        <v>0</v>
      </c>
      <c r="N53" s="156"/>
    </row>
    <row r="54" spans="1:14">
      <c r="A54" s="69">
        <v>37</v>
      </c>
      <c r="B54" s="537"/>
      <c r="C54" s="164" t="s">
        <v>75</v>
      </c>
      <c r="D54" s="231" t="s">
        <v>650</v>
      </c>
      <c r="E54" s="256">
        <v>465.52100000000019</v>
      </c>
      <c r="F54" s="165">
        <v>1858.268</v>
      </c>
      <c r="G54" s="158">
        <f t="shared" si="7"/>
        <v>929.51560000000018</v>
      </c>
      <c r="H54" s="395">
        <v>773.68899999999996</v>
      </c>
      <c r="I54" s="260">
        <v>1550.1</v>
      </c>
      <c r="J54" s="156">
        <f t="shared" si="1"/>
        <v>-308.16799999999978</v>
      </c>
      <c r="K54" s="156">
        <f t="shared" si="2"/>
        <v>308.16800000000012</v>
      </c>
      <c r="L54" s="156">
        <f t="shared" si="3"/>
        <v>0</v>
      </c>
      <c r="M54" s="157">
        <f t="shared" si="4"/>
        <v>0.99999999999999978</v>
      </c>
      <c r="N54" s="156"/>
    </row>
    <row r="55" spans="1:14">
      <c r="A55" s="69">
        <v>38</v>
      </c>
      <c r="B55" s="537"/>
      <c r="C55" s="164" t="s">
        <v>76</v>
      </c>
      <c r="D55" s="231" t="s">
        <v>650</v>
      </c>
      <c r="E55" s="166">
        <v>0</v>
      </c>
      <c r="F55" s="166">
        <v>0.40499999999997272</v>
      </c>
      <c r="G55" s="158">
        <f t="shared" si="7"/>
        <v>0.1619999999999891</v>
      </c>
      <c r="H55" s="395">
        <v>0</v>
      </c>
      <c r="I55" s="395">
        <v>0.40500000000000003</v>
      </c>
      <c r="J55" s="156">
        <f t="shared" si="1"/>
        <v>0</v>
      </c>
      <c r="K55" s="123">
        <f t="shared" si="2"/>
        <v>-2.7311486405778851E-14</v>
      </c>
      <c r="L55" s="123">
        <f t="shared" si="3"/>
        <v>-2.7311486405778851E-14</v>
      </c>
      <c r="M55" s="157">
        <f t="shared" si="4"/>
        <v>1.0000000000000675</v>
      </c>
      <c r="N55" s="156"/>
    </row>
    <row r="56" spans="1:14">
      <c r="A56" s="69">
        <v>39</v>
      </c>
      <c r="B56" s="537"/>
      <c r="C56" s="164" t="s">
        <v>77</v>
      </c>
      <c r="D56" s="231" t="s">
        <v>650</v>
      </c>
      <c r="E56" s="256">
        <v>407.923</v>
      </c>
      <c r="F56" s="166">
        <v>1.2259999999998854</v>
      </c>
      <c r="G56" s="158">
        <f t="shared" si="7"/>
        <v>163.65959999999995</v>
      </c>
      <c r="H56" s="395">
        <v>407.923</v>
      </c>
      <c r="I56" s="395">
        <v>1.226</v>
      </c>
      <c r="J56" s="156">
        <f t="shared" si="1"/>
        <v>0</v>
      </c>
      <c r="K56" s="123">
        <f t="shared" si="2"/>
        <v>-1.1457501614131615E-13</v>
      </c>
      <c r="L56" s="123">
        <f t="shared" si="3"/>
        <v>-1.1457501614131615E-13</v>
      </c>
      <c r="M56" s="157">
        <f t="shared" si="4"/>
        <v>1.0000000000000002</v>
      </c>
      <c r="N56" s="156"/>
    </row>
    <row r="57" spans="1:14">
      <c r="A57" s="69">
        <v>40</v>
      </c>
      <c r="B57" s="537"/>
      <c r="C57" s="164" t="s">
        <v>78</v>
      </c>
      <c r="D57" s="231" t="s">
        <v>650</v>
      </c>
      <c r="E57" s="256">
        <v>307.26800000000003</v>
      </c>
      <c r="F57" s="165">
        <v>905.14599999999996</v>
      </c>
      <c r="G57" s="158">
        <f t="shared" si="7"/>
        <v>484.96559999999999</v>
      </c>
      <c r="H57" s="395">
        <v>315.80500000000001</v>
      </c>
      <c r="I57" s="395">
        <v>896.60900000000004</v>
      </c>
      <c r="J57" s="156">
        <f t="shared" si="1"/>
        <v>-8.5369999999999777</v>
      </c>
      <c r="K57" s="156">
        <f t="shared" si="2"/>
        <v>8.5369999999999209</v>
      </c>
      <c r="L57" s="156">
        <f t="shared" si="3"/>
        <v>-5.6843418860808015E-14</v>
      </c>
      <c r="M57" s="157">
        <f t="shared" si="4"/>
        <v>1</v>
      </c>
      <c r="N57" s="156"/>
    </row>
    <row r="58" spans="1:14">
      <c r="A58" s="69">
        <v>41</v>
      </c>
      <c r="B58" s="537"/>
      <c r="C58" s="164" t="s">
        <v>79</v>
      </c>
      <c r="D58" s="231" t="s">
        <v>650</v>
      </c>
      <c r="E58" s="256">
        <v>3.8000000000003809E-2</v>
      </c>
      <c r="F58" s="165">
        <v>56.953000000000003</v>
      </c>
      <c r="G58" s="158">
        <f t="shared" si="7"/>
        <v>22.796400000000006</v>
      </c>
      <c r="H58" s="395">
        <v>0</v>
      </c>
      <c r="I58" s="395">
        <v>0</v>
      </c>
      <c r="J58" s="156">
        <f t="shared" si="1"/>
        <v>3.8000000000003809E-2</v>
      </c>
      <c r="K58" s="156">
        <f t="shared" si="2"/>
        <v>56.953000000000003</v>
      </c>
      <c r="L58" s="156">
        <f t="shared" si="3"/>
        <v>56.991000000000007</v>
      </c>
      <c r="M58" s="157">
        <f t="shared" si="4"/>
        <v>0</v>
      </c>
      <c r="N58" s="156"/>
    </row>
    <row r="59" spans="1:14">
      <c r="A59" s="69">
        <v>42</v>
      </c>
      <c r="B59" s="537"/>
      <c r="C59" s="164" t="s">
        <v>80</v>
      </c>
      <c r="D59" s="231" t="s">
        <v>650</v>
      </c>
      <c r="E59" s="165">
        <v>0</v>
      </c>
      <c r="F59" s="165">
        <v>455.20399999999995</v>
      </c>
      <c r="G59" s="158">
        <f t="shared" si="7"/>
        <v>182.08159999999998</v>
      </c>
      <c r="H59" s="395">
        <v>235.21</v>
      </c>
      <c r="I59" s="395">
        <v>219.994</v>
      </c>
      <c r="J59" s="156">
        <f t="shared" si="1"/>
        <v>-235.21</v>
      </c>
      <c r="K59" s="156">
        <f t="shared" si="2"/>
        <v>235.20999999999995</v>
      </c>
      <c r="L59" s="156">
        <f t="shared" si="3"/>
        <v>0</v>
      </c>
      <c r="M59" s="157">
        <f t="shared" si="4"/>
        <v>1.0000000000000002</v>
      </c>
      <c r="N59" s="156"/>
    </row>
    <row r="60" spans="1:14">
      <c r="A60" s="69">
        <v>43</v>
      </c>
      <c r="B60" s="537"/>
      <c r="C60" s="164" t="s">
        <v>81</v>
      </c>
      <c r="D60" s="231" t="s">
        <v>650</v>
      </c>
      <c r="E60" s="165">
        <v>0</v>
      </c>
      <c r="F60" s="165">
        <v>1246.3640000000003</v>
      </c>
      <c r="G60" s="158">
        <f t="shared" si="7"/>
        <v>498.54560000000015</v>
      </c>
      <c r="H60" s="395">
        <v>576.096</v>
      </c>
      <c r="I60" s="260">
        <v>670.26800000000003</v>
      </c>
      <c r="J60" s="156">
        <f t="shared" si="1"/>
        <v>-576.096</v>
      </c>
      <c r="K60" s="156">
        <f t="shared" si="2"/>
        <v>576.09600000000023</v>
      </c>
      <c r="L60" s="156">
        <f t="shared" si="3"/>
        <v>0</v>
      </c>
      <c r="M60" s="157">
        <f t="shared" si="4"/>
        <v>0.99999999999999978</v>
      </c>
      <c r="N60" s="156"/>
    </row>
    <row r="61" spans="1:14">
      <c r="A61" s="69">
        <v>44</v>
      </c>
      <c r="B61" s="537"/>
      <c r="C61" s="164" t="s">
        <v>82</v>
      </c>
      <c r="D61" s="231" t="s">
        <v>650</v>
      </c>
      <c r="E61" s="256">
        <v>512.24700000000007</v>
      </c>
      <c r="F61" s="165">
        <v>423.5139999999999</v>
      </c>
      <c r="G61" s="158">
        <f t="shared" si="7"/>
        <v>374.30439999999999</v>
      </c>
      <c r="H61" s="395">
        <v>512.24699999999996</v>
      </c>
      <c r="I61" s="395">
        <v>423.51400000000001</v>
      </c>
      <c r="J61" s="156">
        <f t="shared" si="1"/>
        <v>0</v>
      </c>
      <c r="K61" s="156">
        <f t="shared" si="2"/>
        <v>0</v>
      </c>
      <c r="L61" s="156">
        <f t="shared" si="3"/>
        <v>0</v>
      </c>
      <c r="M61" s="157">
        <f t="shared" si="4"/>
        <v>1</v>
      </c>
      <c r="N61" s="156"/>
    </row>
    <row r="62" spans="1:14">
      <c r="A62" s="69">
        <v>45</v>
      </c>
      <c r="B62" s="537"/>
      <c r="C62" s="164" t="s">
        <v>83</v>
      </c>
      <c r="D62" s="231" t="s">
        <v>650</v>
      </c>
      <c r="E62" s="256">
        <v>0.42599999999993088</v>
      </c>
      <c r="F62" s="166">
        <v>0.58599999999978536</v>
      </c>
      <c r="G62" s="158">
        <f t="shared" si="7"/>
        <v>0.40479999999988653</v>
      </c>
      <c r="H62" s="395">
        <v>0.42599999999999999</v>
      </c>
      <c r="I62" s="395">
        <v>0.58599999999999997</v>
      </c>
      <c r="J62" s="156">
        <f t="shared" si="1"/>
        <v>-6.9111383282915995E-14</v>
      </c>
      <c r="K62" s="156">
        <f t="shared" si="2"/>
        <v>-2.1460611066004276E-13</v>
      </c>
      <c r="L62" s="156">
        <f t="shared" si="3"/>
        <v>-2.8371749394295875E-13</v>
      </c>
      <c r="M62" s="157">
        <f t="shared" si="4"/>
        <v>1.0000000000002804</v>
      </c>
      <c r="N62" s="156"/>
    </row>
    <row r="63" spans="1:14">
      <c r="A63" s="69">
        <v>46</v>
      </c>
      <c r="B63" s="537"/>
      <c r="C63" s="164" t="s">
        <v>84</v>
      </c>
      <c r="D63" s="231" t="s">
        <v>650</v>
      </c>
      <c r="E63" s="256">
        <v>14.355</v>
      </c>
      <c r="F63" s="165">
        <v>24.463000000000001</v>
      </c>
      <c r="G63" s="158">
        <f t="shared" si="7"/>
        <v>15.527200000000001</v>
      </c>
      <c r="H63" s="395">
        <v>11.824</v>
      </c>
      <c r="I63" s="395">
        <v>3.0110000000000001</v>
      </c>
      <c r="J63" s="156">
        <f t="shared" si="1"/>
        <v>2.5310000000000006</v>
      </c>
      <c r="K63" s="156">
        <f t="shared" si="2"/>
        <v>21.452000000000002</v>
      </c>
      <c r="L63" s="156">
        <f t="shared" si="3"/>
        <v>23.983000000000004</v>
      </c>
      <c r="M63" s="157">
        <f t="shared" si="4"/>
        <v>0.38216806636096662</v>
      </c>
      <c r="N63" s="156"/>
    </row>
    <row r="64" spans="1:14">
      <c r="A64" s="69">
        <v>47</v>
      </c>
      <c r="B64" s="537"/>
      <c r="C64" s="164" t="s">
        <v>85</v>
      </c>
      <c r="D64" s="231" t="s">
        <v>650</v>
      </c>
      <c r="E64" s="165">
        <v>0</v>
      </c>
      <c r="F64" s="165">
        <v>1208.9089999999997</v>
      </c>
      <c r="G64" s="158">
        <f t="shared" si="7"/>
        <v>483.56359999999989</v>
      </c>
      <c r="H64" s="395">
        <v>0</v>
      </c>
      <c r="I64" s="260">
        <v>1208.9090000000001</v>
      </c>
      <c r="J64" s="156">
        <f t="shared" si="1"/>
        <v>0</v>
      </c>
      <c r="K64" s="156">
        <f t="shared" si="2"/>
        <v>0</v>
      </c>
      <c r="L64" s="156">
        <f t="shared" si="3"/>
        <v>0</v>
      </c>
      <c r="M64" s="157">
        <f t="shared" si="4"/>
        <v>1.0000000000000004</v>
      </c>
      <c r="N64" s="156"/>
    </row>
    <row r="65" spans="1:14">
      <c r="A65" s="69">
        <v>48</v>
      </c>
      <c r="B65" s="537"/>
      <c r="C65" s="164" t="s">
        <v>279</v>
      </c>
      <c r="D65" s="231" t="s">
        <v>650</v>
      </c>
      <c r="E65" s="256">
        <v>85.605000000000018</v>
      </c>
      <c r="F65" s="165">
        <v>82.504999999999995</v>
      </c>
      <c r="G65" s="158">
        <f t="shared" si="7"/>
        <v>67.244000000000014</v>
      </c>
      <c r="H65" s="395">
        <v>0</v>
      </c>
      <c r="I65" s="395">
        <v>0</v>
      </c>
      <c r="J65" s="156">
        <f t="shared" si="1"/>
        <v>85.605000000000018</v>
      </c>
      <c r="K65" s="156">
        <f t="shared" si="2"/>
        <v>82.504999999999995</v>
      </c>
      <c r="L65" s="156">
        <f t="shared" si="3"/>
        <v>168.11</v>
      </c>
      <c r="M65" s="157">
        <f t="shared" si="4"/>
        <v>0</v>
      </c>
      <c r="N65" s="156"/>
    </row>
    <row r="66" spans="1:14">
      <c r="A66" s="69">
        <v>49</v>
      </c>
      <c r="B66" s="537"/>
      <c r="C66" s="164" t="s">
        <v>86</v>
      </c>
      <c r="D66" s="231" t="s">
        <v>650</v>
      </c>
      <c r="E66" s="256">
        <v>275.64099999999996</v>
      </c>
      <c r="F66" s="165">
        <v>216.56200000000013</v>
      </c>
      <c r="G66" s="158">
        <f t="shared" si="7"/>
        <v>196.88120000000004</v>
      </c>
      <c r="H66" s="395">
        <v>320.61200000000002</v>
      </c>
      <c r="I66" s="395">
        <v>171.59100000000001</v>
      </c>
      <c r="J66" s="156">
        <f t="shared" si="1"/>
        <v>-44.97100000000006</v>
      </c>
      <c r="K66" s="156">
        <f t="shared" si="2"/>
        <v>44.971000000000117</v>
      </c>
      <c r="L66" s="156">
        <f t="shared" si="3"/>
        <v>5.6843418860808015E-14</v>
      </c>
      <c r="M66" s="157">
        <f t="shared" si="4"/>
        <v>0.99999999999999989</v>
      </c>
      <c r="N66" s="156"/>
    </row>
    <row r="67" spans="1:14">
      <c r="A67" s="69">
        <v>50</v>
      </c>
      <c r="B67" s="537"/>
      <c r="C67" s="164" t="s">
        <v>87</v>
      </c>
      <c r="D67" s="231" t="s">
        <v>650</v>
      </c>
      <c r="E67" s="165">
        <v>0</v>
      </c>
      <c r="F67" s="165">
        <v>1838.1529999999993</v>
      </c>
      <c r="G67" s="158">
        <f t="shared" si="7"/>
        <v>735.2611999999998</v>
      </c>
      <c r="H67" s="395">
        <v>816.95899999999995</v>
      </c>
      <c r="I67" s="260">
        <v>1021.194</v>
      </c>
      <c r="J67" s="156">
        <f t="shared" si="1"/>
        <v>-816.95899999999995</v>
      </c>
      <c r="K67" s="156">
        <f t="shared" si="2"/>
        <v>816.95899999999938</v>
      </c>
      <c r="L67" s="156">
        <f t="shared" si="3"/>
        <v>0</v>
      </c>
      <c r="M67" s="157">
        <f t="shared" si="4"/>
        <v>1.0000000000000002</v>
      </c>
      <c r="N67" s="156"/>
    </row>
    <row r="68" spans="1:14">
      <c r="A68" s="69">
        <v>51</v>
      </c>
      <c r="B68" s="537"/>
      <c r="C68" s="164" t="s">
        <v>88</v>
      </c>
      <c r="D68" s="231" t="s">
        <v>650</v>
      </c>
      <c r="E68" s="256">
        <v>148.57799999999997</v>
      </c>
      <c r="F68" s="166">
        <v>569.12500000000011</v>
      </c>
      <c r="G68" s="158">
        <f t="shared" si="7"/>
        <v>287.08120000000002</v>
      </c>
      <c r="H68" s="395">
        <v>455.54899999999998</v>
      </c>
      <c r="I68" s="395">
        <v>262.154</v>
      </c>
      <c r="J68" s="156">
        <f t="shared" si="1"/>
        <v>-306.971</v>
      </c>
      <c r="K68" s="156">
        <f t="shared" si="2"/>
        <v>306.97100000000012</v>
      </c>
      <c r="L68" s="156">
        <f t="shared" si="3"/>
        <v>0</v>
      </c>
      <c r="M68" s="157">
        <f t="shared" si="4"/>
        <v>0.99999999999999989</v>
      </c>
      <c r="N68" s="156"/>
    </row>
    <row r="69" spans="1:14">
      <c r="A69" s="69">
        <v>52</v>
      </c>
      <c r="B69" s="537"/>
      <c r="C69" s="173" t="s">
        <v>89</v>
      </c>
      <c r="D69" s="231" t="s">
        <v>650</v>
      </c>
      <c r="E69" s="165"/>
      <c r="F69" s="165">
        <v>949.37299999999982</v>
      </c>
      <c r="G69" s="158">
        <f t="shared" si="7"/>
        <v>379.74919999999997</v>
      </c>
      <c r="H69" s="395">
        <v>95.656000000000006</v>
      </c>
      <c r="I69" s="395">
        <v>853.71699999999998</v>
      </c>
      <c r="J69" s="156">
        <f t="shared" si="1"/>
        <v>-95.656000000000006</v>
      </c>
      <c r="K69" s="156">
        <f t="shared" si="2"/>
        <v>95.655999999999835</v>
      </c>
      <c r="L69" s="156">
        <f t="shared" si="3"/>
        <v>-1.7053025658242404E-13</v>
      </c>
      <c r="M69" s="157">
        <f t="shared" si="4"/>
        <v>1.0000000000000002</v>
      </c>
      <c r="N69" s="156"/>
    </row>
    <row r="70" spans="1:14">
      <c r="A70" s="69">
        <v>53</v>
      </c>
      <c r="B70" s="537"/>
      <c r="C70" s="164" t="s">
        <v>173</v>
      </c>
      <c r="D70" s="231" t="s">
        <v>650</v>
      </c>
      <c r="E70" s="256">
        <v>1663.6840000000002</v>
      </c>
      <c r="F70" s="165">
        <v>28.358000000000175</v>
      </c>
      <c r="G70" s="158">
        <f t="shared" si="7"/>
        <v>676.81680000000017</v>
      </c>
      <c r="H70" s="260">
        <v>1663.684</v>
      </c>
      <c r="I70" s="395">
        <v>28.358000000000001</v>
      </c>
      <c r="J70" s="156">
        <f t="shared" si="1"/>
        <v>0</v>
      </c>
      <c r="K70" s="123">
        <f t="shared" si="2"/>
        <v>1.7408297026122455E-13</v>
      </c>
      <c r="L70" s="123">
        <f t="shared" si="3"/>
        <v>1.7408297026122455E-13</v>
      </c>
      <c r="M70" s="157">
        <f t="shared" si="4"/>
        <v>0.99999999999999978</v>
      </c>
      <c r="N70" s="156"/>
    </row>
    <row r="71" spans="1:14">
      <c r="A71" s="69">
        <v>54</v>
      </c>
      <c r="B71" s="537"/>
      <c r="C71" s="164" t="s">
        <v>90</v>
      </c>
      <c r="D71" s="231" t="s">
        <v>650</v>
      </c>
      <c r="E71" s="256">
        <v>4.0999999999954184E-2</v>
      </c>
      <c r="F71" s="165">
        <v>0</v>
      </c>
      <c r="G71" s="158">
        <f t="shared" si="7"/>
        <v>1.6399999999981676E-2</v>
      </c>
      <c r="H71" s="395">
        <v>0</v>
      </c>
      <c r="I71" s="395">
        <v>0</v>
      </c>
      <c r="J71" s="156">
        <f t="shared" si="1"/>
        <v>4.0999999999954184E-2</v>
      </c>
      <c r="K71" s="123">
        <f t="shared" si="2"/>
        <v>0</v>
      </c>
      <c r="L71" s="123">
        <f t="shared" si="3"/>
        <v>4.0999999999954184E-2</v>
      </c>
      <c r="M71" s="157">
        <f t="shared" ref="M71:M113" si="8">(H71+I71)/(E71+F71)</f>
        <v>0</v>
      </c>
      <c r="N71" s="156"/>
    </row>
    <row r="72" spans="1:14">
      <c r="A72" s="69">
        <v>55</v>
      </c>
      <c r="B72" s="537"/>
      <c r="C72" s="164" t="s">
        <v>91</v>
      </c>
      <c r="D72" s="231" t="s">
        <v>650</v>
      </c>
      <c r="E72" s="256">
        <v>2948.5580000000004</v>
      </c>
      <c r="F72" s="165">
        <v>1331.2960000000003</v>
      </c>
      <c r="G72" s="158">
        <f t="shared" si="7"/>
        <v>1711.9416000000006</v>
      </c>
      <c r="H72" s="260">
        <v>2948.558</v>
      </c>
      <c r="I72" s="260">
        <v>1331.296</v>
      </c>
      <c r="J72" s="156">
        <f t="shared" si="1"/>
        <v>0</v>
      </c>
      <c r="K72" s="123">
        <f t="shared" si="2"/>
        <v>0</v>
      </c>
      <c r="L72" s="123">
        <f t="shared" si="3"/>
        <v>0</v>
      </c>
      <c r="M72" s="157">
        <f t="shared" si="8"/>
        <v>0.99999999999999978</v>
      </c>
      <c r="N72" s="156"/>
    </row>
    <row r="73" spans="1:14">
      <c r="A73" s="69">
        <v>56</v>
      </c>
      <c r="B73" s="537"/>
      <c r="C73" s="164" t="s">
        <v>174</v>
      </c>
      <c r="D73" s="231" t="s">
        <v>650</v>
      </c>
      <c r="E73" s="256">
        <v>7.0000000000050022E-3</v>
      </c>
      <c r="F73" s="165">
        <v>0</v>
      </c>
      <c r="G73" s="158">
        <f t="shared" si="7"/>
        <v>2.800000000002001E-3</v>
      </c>
      <c r="H73" s="395">
        <v>7.0000000000000001E-3</v>
      </c>
      <c r="I73" s="395">
        <v>0</v>
      </c>
      <c r="J73" s="123">
        <f t="shared" ref="J73:J94" si="9">E73-H73</f>
        <v>5.0020751429791233E-15</v>
      </c>
      <c r="K73" s="123">
        <f t="shared" ref="K73:K94" si="10">F73-I73</f>
        <v>0</v>
      </c>
      <c r="L73" s="123">
        <f t="shared" ref="L73:L113" si="11">J73+K73</f>
        <v>5.0020751429791233E-15</v>
      </c>
      <c r="M73" s="157">
        <f t="shared" si="8"/>
        <v>0.99999999999928546</v>
      </c>
      <c r="N73" s="156"/>
    </row>
    <row r="74" spans="1:14">
      <c r="A74" s="69">
        <v>57</v>
      </c>
      <c r="B74" s="537"/>
      <c r="C74" s="164" t="s">
        <v>92</v>
      </c>
      <c r="D74" s="231" t="s">
        <v>650</v>
      </c>
      <c r="E74" s="256">
        <v>3.300000000000014E-2</v>
      </c>
      <c r="F74" s="166">
        <v>1.3529999999999998</v>
      </c>
      <c r="G74" s="158">
        <f t="shared" si="7"/>
        <v>0.5544</v>
      </c>
      <c r="H74" s="395">
        <v>0</v>
      </c>
      <c r="I74" s="395">
        <v>0</v>
      </c>
      <c r="J74" s="156">
        <f t="shared" si="9"/>
        <v>3.300000000000014E-2</v>
      </c>
      <c r="K74" s="156">
        <f t="shared" si="10"/>
        <v>1.3529999999999998</v>
      </c>
      <c r="L74" s="156">
        <f t="shared" si="11"/>
        <v>1.3859999999999999</v>
      </c>
      <c r="M74" s="157">
        <f t="shared" si="8"/>
        <v>0</v>
      </c>
      <c r="N74" s="156"/>
    </row>
    <row r="75" spans="1:14">
      <c r="A75" s="69">
        <v>58</v>
      </c>
      <c r="B75" s="537"/>
      <c r="C75" s="164" t="s">
        <v>175</v>
      </c>
      <c r="D75" s="231" t="s">
        <v>650</v>
      </c>
      <c r="E75" s="256">
        <v>564.76999999999953</v>
      </c>
      <c r="F75" s="165">
        <v>2141.3149999999996</v>
      </c>
      <c r="G75" s="158">
        <f t="shared" si="7"/>
        <v>1082.4339999999997</v>
      </c>
      <c r="H75" s="395">
        <v>771.89499999999998</v>
      </c>
      <c r="I75" s="260">
        <v>1934.19</v>
      </c>
      <c r="J75" s="156">
        <f t="shared" si="9"/>
        <v>-207.12500000000045</v>
      </c>
      <c r="K75" s="156">
        <f t="shared" si="10"/>
        <v>207.12499999999955</v>
      </c>
      <c r="L75" s="156">
        <f t="shared" si="11"/>
        <v>-9.0949470177292824E-13</v>
      </c>
      <c r="M75" s="157">
        <f t="shared" si="8"/>
        <v>1.0000000000000004</v>
      </c>
      <c r="N75" s="156"/>
    </row>
    <row r="76" spans="1:14">
      <c r="A76" s="69">
        <v>59</v>
      </c>
      <c r="B76" s="537"/>
      <c r="C76" s="164" t="s">
        <v>176</v>
      </c>
      <c r="D76" s="231" t="s">
        <v>650</v>
      </c>
      <c r="E76" s="256">
        <v>179.77799999999999</v>
      </c>
      <c r="F76" s="166">
        <v>87.500999999999976</v>
      </c>
      <c r="G76" s="158">
        <f t="shared" si="7"/>
        <v>106.91160000000001</v>
      </c>
      <c r="H76" s="395">
        <v>179.77799999999999</v>
      </c>
      <c r="I76" s="395">
        <v>87.501000000000005</v>
      </c>
      <c r="J76" s="156">
        <f t="shared" si="9"/>
        <v>0</v>
      </c>
      <c r="K76" s="156">
        <f t="shared" si="10"/>
        <v>0</v>
      </c>
      <c r="L76" s="156">
        <f t="shared" si="11"/>
        <v>0</v>
      </c>
      <c r="M76" s="157">
        <f t="shared" si="8"/>
        <v>1</v>
      </c>
      <c r="N76" s="156"/>
    </row>
    <row r="77" spans="1:14">
      <c r="A77" s="69">
        <v>60</v>
      </c>
      <c r="B77" s="537"/>
      <c r="C77" s="164" t="s">
        <v>177</v>
      </c>
      <c r="D77" s="231" t="s">
        <v>650</v>
      </c>
      <c r="E77" s="256">
        <v>230.23400000000004</v>
      </c>
      <c r="F77" s="166">
        <v>0</v>
      </c>
      <c r="G77" s="158">
        <f t="shared" si="7"/>
        <v>92.093600000000023</v>
      </c>
      <c r="H77" s="395">
        <v>230.23400000000001</v>
      </c>
      <c r="I77" s="395">
        <v>0</v>
      </c>
      <c r="J77" s="255">
        <f t="shared" si="9"/>
        <v>0</v>
      </c>
      <c r="K77" s="156">
        <f t="shared" si="10"/>
        <v>0</v>
      </c>
      <c r="L77" s="156">
        <f t="shared" si="11"/>
        <v>0</v>
      </c>
      <c r="M77" s="157">
        <f t="shared" si="8"/>
        <v>0.99999999999999989</v>
      </c>
      <c r="N77" s="156"/>
    </row>
    <row r="78" spans="1:14">
      <c r="A78" s="69">
        <v>62</v>
      </c>
      <c r="B78" s="537"/>
      <c r="C78" s="164" t="s">
        <v>178</v>
      </c>
      <c r="D78" s="231" t="s">
        <v>650</v>
      </c>
      <c r="E78" s="256">
        <v>709.56500000000005</v>
      </c>
      <c r="F78" s="165">
        <v>391.20500000000038</v>
      </c>
      <c r="G78" s="158">
        <f t="shared" si="7"/>
        <v>440.30800000000022</v>
      </c>
      <c r="H78" s="395">
        <v>709.56500000000005</v>
      </c>
      <c r="I78" s="395">
        <v>391.20499999999998</v>
      </c>
      <c r="J78" s="255">
        <f t="shared" si="9"/>
        <v>0</v>
      </c>
      <c r="K78" s="156">
        <f t="shared" si="10"/>
        <v>0</v>
      </c>
      <c r="L78" s="156">
        <f t="shared" si="11"/>
        <v>0</v>
      </c>
      <c r="M78" s="157">
        <f t="shared" si="8"/>
        <v>0.99999999999999956</v>
      </c>
      <c r="N78" s="156"/>
    </row>
    <row r="79" spans="1:14">
      <c r="A79" s="69">
        <v>63</v>
      </c>
      <c r="B79" s="537"/>
      <c r="C79" s="164" t="s">
        <v>93</v>
      </c>
      <c r="D79" s="231" t="s">
        <v>650</v>
      </c>
      <c r="E79" s="256">
        <v>472.90199999999982</v>
      </c>
      <c r="F79" s="165">
        <v>739.25900000000001</v>
      </c>
      <c r="G79" s="158">
        <f t="shared" si="7"/>
        <v>484.86439999999993</v>
      </c>
      <c r="H79" s="395">
        <v>472.90199999999999</v>
      </c>
      <c r="I79" s="395">
        <v>739.25900000000001</v>
      </c>
      <c r="J79" s="255">
        <f t="shared" si="9"/>
        <v>0</v>
      </c>
      <c r="K79" s="156">
        <f t="shared" si="10"/>
        <v>0</v>
      </c>
      <c r="L79" s="156">
        <f t="shared" si="11"/>
        <v>0</v>
      </c>
      <c r="M79" s="157">
        <f t="shared" si="8"/>
        <v>1.0000000000000002</v>
      </c>
      <c r="N79" s="156"/>
    </row>
    <row r="80" spans="1:14">
      <c r="A80" s="69">
        <v>64</v>
      </c>
      <c r="B80" s="537"/>
      <c r="C80" s="164" t="s">
        <v>94</v>
      </c>
      <c r="D80" s="231" t="s">
        <v>650</v>
      </c>
      <c r="E80" s="256">
        <v>66.69</v>
      </c>
      <c r="F80" s="165">
        <v>129.89599999999996</v>
      </c>
      <c r="G80" s="158">
        <f t="shared" si="7"/>
        <v>78.634399999999985</v>
      </c>
      <c r="H80" s="395">
        <v>66.69</v>
      </c>
      <c r="I80" s="395">
        <v>129.89599999999999</v>
      </c>
      <c r="J80" s="255">
        <f t="shared" si="9"/>
        <v>0</v>
      </c>
      <c r="K80" s="156">
        <f t="shared" si="10"/>
        <v>0</v>
      </c>
      <c r="L80" s="156">
        <f t="shared" si="11"/>
        <v>0</v>
      </c>
      <c r="M80" s="157">
        <f t="shared" si="8"/>
        <v>1.0000000000000002</v>
      </c>
      <c r="N80" s="156"/>
    </row>
    <row r="81" spans="1:14">
      <c r="A81" s="69">
        <v>65</v>
      </c>
      <c r="B81" s="537"/>
      <c r="C81" s="164" t="s">
        <v>95</v>
      </c>
      <c r="D81" s="231" t="s">
        <v>650</v>
      </c>
      <c r="E81" s="256">
        <v>1.4280000000001678</v>
      </c>
      <c r="F81" s="165">
        <v>0</v>
      </c>
      <c r="G81" s="158">
        <f t="shared" si="7"/>
        <v>0.5712000000000671</v>
      </c>
      <c r="H81" s="395">
        <v>1.4279999999999999</v>
      </c>
      <c r="I81" s="395">
        <v>0</v>
      </c>
      <c r="J81" s="123">
        <f t="shared" si="9"/>
        <v>1.6786572132332367E-13</v>
      </c>
      <c r="K81" s="123">
        <f t="shared" si="10"/>
        <v>0</v>
      </c>
      <c r="L81" s="123">
        <f t="shared" si="11"/>
        <v>1.6786572132332367E-13</v>
      </c>
      <c r="M81" s="157">
        <f t="shared" si="8"/>
        <v>0.99999999999988243</v>
      </c>
      <c r="N81" s="156"/>
    </row>
    <row r="82" spans="1:14">
      <c r="A82" s="69">
        <v>66</v>
      </c>
      <c r="B82" s="537"/>
      <c r="C82" s="164" t="s">
        <v>96</v>
      </c>
      <c r="D82" s="231" t="s">
        <v>650</v>
      </c>
      <c r="E82" s="256">
        <v>165.77100000000004</v>
      </c>
      <c r="F82" s="165">
        <v>0</v>
      </c>
      <c r="G82" s="158">
        <f t="shared" si="7"/>
        <v>66.30840000000002</v>
      </c>
      <c r="H82" s="395">
        <v>43.131999999999998</v>
      </c>
      <c r="I82" s="395">
        <v>56.521999999999998</v>
      </c>
      <c r="J82" s="255">
        <f t="shared" si="9"/>
        <v>122.63900000000004</v>
      </c>
      <c r="K82" s="156">
        <f t="shared" si="10"/>
        <v>-56.521999999999998</v>
      </c>
      <c r="L82" s="156">
        <f t="shared" si="11"/>
        <v>66.117000000000047</v>
      </c>
      <c r="M82" s="157">
        <f t="shared" si="8"/>
        <v>0.60115460484644456</v>
      </c>
      <c r="N82" s="156"/>
    </row>
    <row r="83" spans="1:14">
      <c r="A83" s="69">
        <v>67</v>
      </c>
      <c r="B83" s="537"/>
      <c r="C83" s="164" t="s">
        <v>97</v>
      </c>
      <c r="D83" s="231" t="s">
        <v>650</v>
      </c>
      <c r="E83" s="256">
        <v>436.37100000000009</v>
      </c>
      <c r="F83" s="165">
        <v>113.10299999999999</v>
      </c>
      <c r="G83" s="158">
        <f t="shared" ref="G83:G94" si="12">((E83+F83)*0.4)</f>
        <v>219.78960000000004</v>
      </c>
      <c r="H83" s="395">
        <v>436.37099999999998</v>
      </c>
      <c r="I83" s="395">
        <v>113.10299999999999</v>
      </c>
      <c r="J83" s="255">
        <f t="shared" si="9"/>
        <v>0</v>
      </c>
      <c r="K83" s="156">
        <f t="shared" si="10"/>
        <v>0</v>
      </c>
      <c r="L83" s="156">
        <f t="shared" si="11"/>
        <v>0</v>
      </c>
      <c r="M83" s="157">
        <f t="shared" si="8"/>
        <v>0.99999999999999978</v>
      </c>
      <c r="N83" s="156"/>
    </row>
    <row r="84" spans="1:14">
      <c r="A84" s="69">
        <v>68</v>
      </c>
      <c r="B84" s="537"/>
      <c r="C84" s="164" t="s">
        <v>98</v>
      </c>
      <c r="D84" s="231" t="s">
        <v>650</v>
      </c>
      <c r="E84" s="256">
        <v>170.68200000000002</v>
      </c>
      <c r="F84" s="165">
        <v>504.62999999999965</v>
      </c>
      <c r="G84" s="158">
        <f t="shared" si="12"/>
        <v>270.12479999999988</v>
      </c>
      <c r="H84" s="395">
        <v>170.68199999999999</v>
      </c>
      <c r="I84" s="395">
        <v>504.63</v>
      </c>
      <c r="J84" s="255">
        <f t="shared" si="9"/>
        <v>0</v>
      </c>
      <c r="K84" s="156">
        <f t="shared" si="10"/>
        <v>0</v>
      </c>
      <c r="L84" s="156">
        <f t="shared" si="11"/>
        <v>0</v>
      </c>
      <c r="M84" s="157">
        <f t="shared" si="8"/>
        <v>1.0000000000000004</v>
      </c>
      <c r="N84" s="156"/>
    </row>
    <row r="85" spans="1:14">
      <c r="A85" s="69">
        <v>69</v>
      </c>
      <c r="B85" s="537"/>
      <c r="C85" s="164" t="s">
        <v>99</v>
      </c>
      <c r="D85" s="231" t="s">
        <v>650</v>
      </c>
      <c r="E85" s="165">
        <v>0</v>
      </c>
      <c r="F85" s="165">
        <v>1000.3390000000004</v>
      </c>
      <c r="G85" s="158">
        <f t="shared" si="12"/>
        <v>400.13560000000018</v>
      </c>
      <c r="H85" s="395">
        <v>0</v>
      </c>
      <c r="I85" s="260">
        <v>1000.3390000000001</v>
      </c>
      <c r="J85" s="255">
        <f t="shared" si="9"/>
        <v>0</v>
      </c>
      <c r="K85" s="156">
        <f t="shared" si="10"/>
        <v>0</v>
      </c>
      <c r="L85" s="156">
        <f t="shared" si="11"/>
        <v>0</v>
      </c>
      <c r="M85" s="157">
        <f t="shared" si="8"/>
        <v>0.99999999999999967</v>
      </c>
      <c r="N85" s="156"/>
    </row>
    <row r="86" spans="1:14">
      <c r="A86" s="69">
        <v>70</v>
      </c>
      <c r="B86" s="537"/>
      <c r="C86" s="164" t="s">
        <v>100</v>
      </c>
      <c r="D86" s="231" t="s">
        <v>650</v>
      </c>
      <c r="E86" s="256">
        <v>455.38699999999994</v>
      </c>
      <c r="F86" s="165">
        <v>553.94999999999982</v>
      </c>
      <c r="G86" s="158">
        <f t="shared" si="12"/>
        <v>403.73479999999995</v>
      </c>
      <c r="H86" s="395">
        <v>455.387</v>
      </c>
      <c r="I86" s="395">
        <v>553.95000000000005</v>
      </c>
      <c r="J86" s="255">
        <f t="shared" si="9"/>
        <v>0</v>
      </c>
      <c r="K86" s="156">
        <f t="shared" si="10"/>
        <v>0</v>
      </c>
      <c r="L86" s="156">
        <f t="shared" si="11"/>
        <v>0</v>
      </c>
      <c r="M86" s="157">
        <f t="shared" si="8"/>
        <v>1.0000000000000002</v>
      </c>
      <c r="N86" s="156"/>
    </row>
    <row r="87" spans="1:14">
      <c r="A87" s="69">
        <v>71</v>
      </c>
      <c r="B87" s="537"/>
      <c r="C87" s="164" t="s">
        <v>179</v>
      </c>
      <c r="D87" s="231" t="s">
        <v>650</v>
      </c>
      <c r="E87" s="165">
        <v>0</v>
      </c>
      <c r="F87" s="165">
        <v>388.45800000000008</v>
      </c>
      <c r="G87" s="158">
        <f t="shared" si="12"/>
        <v>155.38320000000004</v>
      </c>
      <c r="H87" s="395">
        <v>309.45299999999997</v>
      </c>
      <c r="I87" s="395">
        <v>79.004999999999995</v>
      </c>
      <c r="J87" s="255">
        <f t="shared" si="9"/>
        <v>-309.45299999999997</v>
      </c>
      <c r="K87" s="156">
        <f t="shared" si="10"/>
        <v>309.45300000000009</v>
      </c>
      <c r="L87" s="156">
        <f t="shared" si="11"/>
        <v>0</v>
      </c>
      <c r="M87" s="157">
        <f t="shared" si="8"/>
        <v>0.99999999999999967</v>
      </c>
      <c r="N87" s="156"/>
    </row>
    <row r="88" spans="1:14">
      <c r="A88" s="69">
        <v>72</v>
      </c>
      <c r="B88" s="537"/>
      <c r="C88" s="164" t="s">
        <v>180</v>
      </c>
      <c r="D88" s="231" t="s">
        <v>650</v>
      </c>
      <c r="E88" s="256">
        <v>8.3999999999999631E-2</v>
      </c>
      <c r="F88" s="165">
        <v>8.0070000000000014</v>
      </c>
      <c r="G88" s="158">
        <f t="shared" si="12"/>
        <v>3.2364000000000006</v>
      </c>
      <c r="H88" s="395">
        <v>0.99299999999999999</v>
      </c>
      <c r="I88" s="395">
        <v>7.0979999999999999</v>
      </c>
      <c r="J88" s="123">
        <f t="shared" si="9"/>
        <v>-0.90900000000000036</v>
      </c>
      <c r="K88" s="156">
        <f t="shared" si="10"/>
        <v>0.90900000000000158</v>
      </c>
      <c r="L88" s="156">
        <f t="shared" si="11"/>
        <v>1.2212453270876722E-15</v>
      </c>
      <c r="M88" s="157">
        <f t="shared" si="8"/>
        <v>0.99999999999999978</v>
      </c>
      <c r="N88" s="156"/>
    </row>
    <row r="89" spans="1:14">
      <c r="A89" s="69">
        <v>73</v>
      </c>
      <c r="B89" s="537"/>
      <c r="C89" s="164" t="s">
        <v>101</v>
      </c>
      <c r="D89" s="231" t="s">
        <v>650</v>
      </c>
      <c r="E89" s="256">
        <v>82.10600000000008</v>
      </c>
      <c r="F89" s="165">
        <v>0</v>
      </c>
      <c r="G89" s="158">
        <f t="shared" si="12"/>
        <v>32.842400000000033</v>
      </c>
      <c r="H89" s="395">
        <v>82.105999999999995</v>
      </c>
      <c r="I89" s="395">
        <v>0</v>
      </c>
      <c r="J89" s="123">
        <f t="shared" si="9"/>
        <v>0</v>
      </c>
      <c r="K89" s="156">
        <f t="shared" si="10"/>
        <v>0</v>
      </c>
      <c r="L89" s="156">
        <f t="shared" si="11"/>
        <v>0</v>
      </c>
      <c r="M89" s="157">
        <f t="shared" si="8"/>
        <v>0.999999999999999</v>
      </c>
      <c r="N89" s="156"/>
    </row>
    <row r="90" spans="1:14">
      <c r="A90" s="69">
        <v>74</v>
      </c>
      <c r="B90" s="537"/>
      <c r="C90" s="164" t="s">
        <v>102</v>
      </c>
      <c r="D90" s="231" t="s">
        <v>650</v>
      </c>
      <c r="E90" s="256">
        <v>496.33199999999988</v>
      </c>
      <c r="F90" s="165">
        <v>0</v>
      </c>
      <c r="G90" s="158">
        <f t="shared" si="12"/>
        <v>198.53279999999995</v>
      </c>
      <c r="H90" s="395">
        <v>496.33199999999999</v>
      </c>
      <c r="I90" s="395">
        <v>0</v>
      </c>
      <c r="J90" s="278">
        <f t="shared" si="9"/>
        <v>0</v>
      </c>
      <c r="K90" s="156">
        <f t="shared" si="10"/>
        <v>0</v>
      </c>
      <c r="L90" s="156">
        <f t="shared" si="11"/>
        <v>0</v>
      </c>
      <c r="M90" s="157">
        <f t="shared" si="8"/>
        <v>1.0000000000000002</v>
      </c>
      <c r="N90" s="156"/>
    </row>
    <row r="91" spans="1:14">
      <c r="A91" s="69">
        <v>75</v>
      </c>
      <c r="B91" s="537"/>
      <c r="C91" s="164" t="s">
        <v>103</v>
      </c>
      <c r="D91" s="231" t="s">
        <v>650</v>
      </c>
      <c r="E91" s="256">
        <v>41.971000000000458</v>
      </c>
      <c r="F91" s="165">
        <v>2778.5180000000009</v>
      </c>
      <c r="G91" s="158">
        <f t="shared" si="12"/>
        <v>1128.1956000000007</v>
      </c>
      <c r="H91" s="260">
        <v>1963.9159999999999</v>
      </c>
      <c r="I91" s="260">
        <v>856.57299999999998</v>
      </c>
      <c r="J91" s="123">
        <f t="shared" si="9"/>
        <v>-1921.9449999999995</v>
      </c>
      <c r="K91" s="156">
        <f t="shared" si="10"/>
        <v>1921.9450000000011</v>
      </c>
      <c r="L91" s="156">
        <f t="shared" si="11"/>
        <v>0</v>
      </c>
      <c r="M91" s="157">
        <f t="shared" si="8"/>
        <v>0.99999999999999956</v>
      </c>
      <c r="N91" s="156"/>
    </row>
    <row r="92" spans="1:14">
      <c r="A92" s="69" t="s">
        <v>284</v>
      </c>
      <c r="B92" s="537"/>
      <c r="C92" s="164" t="s">
        <v>352</v>
      </c>
      <c r="D92" s="231" t="s">
        <v>650</v>
      </c>
      <c r="E92" s="165">
        <v>0</v>
      </c>
      <c r="F92" s="165">
        <v>20.517000000000003</v>
      </c>
      <c r="G92" s="158">
        <f t="shared" si="12"/>
        <v>8.2068000000000012</v>
      </c>
      <c r="H92" s="277" t="s">
        <v>284</v>
      </c>
      <c r="I92" s="277" t="s">
        <v>284</v>
      </c>
      <c r="J92" s="156" t="e">
        <f t="shared" si="9"/>
        <v>#VALUE!</v>
      </c>
      <c r="K92" s="156" t="e">
        <f t="shared" si="10"/>
        <v>#VALUE!</v>
      </c>
      <c r="L92" s="156" t="e">
        <f t="shared" si="11"/>
        <v>#VALUE!</v>
      </c>
      <c r="M92" s="157" t="e">
        <f t="shared" si="8"/>
        <v>#VALUE!</v>
      </c>
      <c r="N92" s="156"/>
    </row>
    <row r="93" spans="1:14">
      <c r="A93" s="69">
        <v>78</v>
      </c>
      <c r="B93" s="537"/>
      <c r="C93" s="164" t="s">
        <v>261</v>
      </c>
      <c r="D93" s="231" t="s">
        <v>650</v>
      </c>
      <c r="E93" s="256">
        <v>156.054</v>
      </c>
      <c r="F93" s="165">
        <v>3.5720000000000027</v>
      </c>
      <c r="G93" s="158">
        <f t="shared" si="12"/>
        <v>63.850400000000008</v>
      </c>
      <c r="H93" s="395">
        <v>11.493</v>
      </c>
      <c r="I93" s="395">
        <v>148.13300000000001</v>
      </c>
      <c r="J93" s="156">
        <f t="shared" si="9"/>
        <v>144.56100000000001</v>
      </c>
      <c r="K93" s="156">
        <f t="shared" si="10"/>
        <v>-144.56100000000001</v>
      </c>
      <c r="L93" s="156">
        <f t="shared" si="11"/>
        <v>0</v>
      </c>
      <c r="M93" s="157">
        <f t="shared" si="8"/>
        <v>1</v>
      </c>
      <c r="N93" s="156"/>
    </row>
    <row r="94" spans="1:14">
      <c r="A94" s="69">
        <v>79</v>
      </c>
      <c r="B94" s="537"/>
      <c r="C94" s="164" t="s">
        <v>104</v>
      </c>
      <c r="D94" s="231" t="s">
        <v>650</v>
      </c>
      <c r="E94" s="256">
        <v>425.95400000000006</v>
      </c>
      <c r="F94" s="165">
        <v>290.86399999999958</v>
      </c>
      <c r="G94" s="158">
        <f t="shared" si="12"/>
        <v>286.72719999999987</v>
      </c>
      <c r="H94" s="395">
        <v>425.95400000000001</v>
      </c>
      <c r="I94" s="395">
        <v>290.86399999999998</v>
      </c>
      <c r="J94" s="156">
        <f t="shared" si="9"/>
        <v>0</v>
      </c>
      <c r="K94" s="156">
        <f t="shared" si="10"/>
        <v>0</v>
      </c>
      <c r="L94" s="156">
        <f t="shared" si="11"/>
        <v>0</v>
      </c>
      <c r="M94" s="157">
        <f t="shared" si="8"/>
        <v>1.0000000000000004</v>
      </c>
      <c r="N94" s="156"/>
    </row>
    <row r="95" spans="1:14" ht="25.5" customHeight="1">
      <c r="C95" s="167"/>
      <c r="D95" s="235" t="s">
        <v>651</v>
      </c>
      <c r="E95" s="236"/>
      <c r="F95" s="263"/>
      <c r="H95" s="265"/>
      <c r="I95" s="261"/>
    </row>
    <row r="96" spans="1:14">
      <c r="B96" s="537" t="s">
        <v>44</v>
      </c>
      <c r="C96" s="164" t="s">
        <v>116</v>
      </c>
      <c r="D96" s="172" t="s">
        <v>579</v>
      </c>
      <c r="E96" s="112">
        <v>50.513999999999982</v>
      </c>
      <c r="F96" s="112">
        <v>6.1239999999999997</v>
      </c>
      <c r="G96" s="158">
        <f t="shared" ref="G96:G104" si="13">((E96+F96)*0.4)</f>
        <v>22.655199999999994</v>
      </c>
      <c r="H96" s="276">
        <v>0</v>
      </c>
      <c r="I96" s="255">
        <v>0</v>
      </c>
      <c r="J96" s="156">
        <f t="shared" ref="J96:J104" si="14">E96-H96</f>
        <v>50.513999999999982</v>
      </c>
      <c r="K96" s="156">
        <f t="shared" ref="K96:K104" si="15">F96-I96</f>
        <v>6.1239999999999997</v>
      </c>
      <c r="L96" s="156">
        <f t="shared" si="11"/>
        <v>56.637999999999984</v>
      </c>
      <c r="M96" s="157">
        <f t="shared" si="8"/>
        <v>0</v>
      </c>
      <c r="N96" s="156"/>
    </row>
    <row r="97" spans="2:14">
      <c r="B97" s="537"/>
      <c r="C97" s="164" t="s">
        <v>118</v>
      </c>
      <c r="D97" s="172" t="s">
        <v>579</v>
      </c>
      <c r="E97" s="159">
        <v>4.9980000000002747</v>
      </c>
      <c r="F97" s="159">
        <v>0</v>
      </c>
      <c r="G97" s="158">
        <f t="shared" si="13"/>
        <v>1.99920000000011</v>
      </c>
      <c r="H97" s="276">
        <v>2.9990000000000001</v>
      </c>
      <c r="I97" s="255">
        <v>1.9990000000000001</v>
      </c>
      <c r="J97" s="156">
        <f t="shared" si="14"/>
        <v>1.9990000000002746</v>
      </c>
      <c r="K97" s="156">
        <f t="shared" si="15"/>
        <v>-1.9990000000000001</v>
      </c>
      <c r="L97" s="123">
        <f t="shared" si="11"/>
        <v>2.744471316873387E-13</v>
      </c>
      <c r="M97" s="157">
        <f t="shared" si="8"/>
        <v>0.99999999999994504</v>
      </c>
      <c r="N97" s="156"/>
    </row>
    <row r="98" spans="2:14">
      <c r="B98" s="537"/>
      <c r="C98" s="164" t="s">
        <v>119</v>
      </c>
      <c r="D98" s="172" t="s">
        <v>579</v>
      </c>
      <c r="E98" s="159">
        <v>4.5640000000000782</v>
      </c>
      <c r="F98" s="159">
        <v>0</v>
      </c>
      <c r="G98" s="158">
        <f t="shared" si="13"/>
        <v>1.8256000000000314</v>
      </c>
      <c r="H98" s="276">
        <v>2.738</v>
      </c>
      <c r="I98" s="230">
        <v>1.8260000000000001</v>
      </c>
      <c r="J98" s="156">
        <f t="shared" si="14"/>
        <v>1.8260000000000782</v>
      </c>
      <c r="K98" s="156">
        <f t="shared" si="15"/>
        <v>-1.8260000000000001</v>
      </c>
      <c r="L98" s="123">
        <f t="shared" si="11"/>
        <v>7.815970093361102E-14</v>
      </c>
      <c r="M98" s="157">
        <f t="shared" si="8"/>
        <v>0.9999999999999829</v>
      </c>
      <c r="N98" s="156"/>
    </row>
    <row r="99" spans="2:14">
      <c r="B99" s="537"/>
      <c r="C99" s="164" t="s">
        <v>120</v>
      </c>
      <c r="D99" s="172" t="s">
        <v>579</v>
      </c>
      <c r="E99" s="112">
        <v>5.5560000000014043</v>
      </c>
      <c r="F99" s="112">
        <v>0</v>
      </c>
      <c r="G99" s="158">
        <f t="shared" si="13"/>
        <v>2.2224000000005617</v>
      </c>
      <c r="H99" s="230">
        <v>3.3340000000000001</v>
      </c>
      <c r="I99" s="230">
        <v>2.222</v>
      </c>
      <c r="J99" s="156">
        <f t="shared" si="14"/>
        <v>2.2220000000014042</v>
      </c>
      <c r="K99" s="156">
        <f t="shared" si="15"/>
        <v>-2.222</v>
      </c>
      <c r="L99" s="123">
        <f t="shared" si="11"/>
        <v>1.404210081545898E-12</v>
      </c>
      <c r="M99" s="157">
        <f t="shared" si="8"/>
        <v>0.99999999999974731</v>
      </c>
      <c r="N99" s="156"/>
    </row>
    <row r="100" spans="2:14">
      <c r="B100" s="537"/>
      <c r="C100" s="164" t="s">
        <v>121</v>
      </c>
      <c r="D100" s="172" t="s">
        <v>579</v>
      </c>
      <c r="E100" s="159">
        <v>0.16100000000005821</v>
      </c>
      <c r="F100" s="159">
        <v>0</v>
      </c>
      <c r="G100" s="158">
        <f t="shared" si="13"/>
        <v>6.4400000000023286E-2</v>
      </c>
      <c r="H100" s="230">
        <v>0.161</v>
      </c>
      <c r="I100" s="230">
        <v>0</v>
      </c>
      <c r="J100" s="123">
        <f t="shared" si="14"/>
        <v>5.8203442065973832E-14</v>
      </c>
      <c r="K100" s="156">
        <f t="shared" si="15"/>
        <v>0</v>
      </c>
      <c r="L100" s="123">
        <f t="shared" si="11"/>
        <v>5.8203442065973832E-14</v>
      </c>
      <c r="M100" s="157">
        <f t="shared" si="8"/>
        <v>0.99999999999963851</v>
      </c>
      <c r="N100" s="156"/>
    </row>
    <row r="101" spans="2:14">
      <c r="B101" s="537"/>
      <c r="C101" s="164" t="s">
        <v>122</v>
      </c>
      <c r="D101" s="172" t="s">
        <v>579</v>
      </c>
      <c r="E101" s="159">
        <v>1.4339999999999122</v>
      </c>
      <c r="F101" s="159">
        <v>0</v>
      </c>
      <c r="G101" s="158">
        <f t="shared" si="13"/>
        <v>0.57359999999996492</v>
      </c>
      <c r="H101" s="230">
        <v>1.4339999999999999</v>
      </c>
      <c r="I101" s="230">
        <v>0</v>
      </c>
      <c r="J101" s="123">
        <f t="shared" si="14"/>
        <v>-8.7707618945387367E-14</v>
      </c>
      <c r="K101" s="156">
        <f t="shared" si="15"/>
        <v>0</v>
      </c>
      <c r="L101" s="123">
        <f t="shared" si="11"/>
        <v>-8.7707618945387367E-14</v>
      </c>
      <c r="M101" s="157">
        <f t="shared" si="8"/>
        <v>1.0000000000000611</v>
      </c>
      <c r="N101" s="156"/>
    </row>
    <row r="102" spans="2:14">
      <c r="B102" s="537"/>
      <c r="C102" s="164" t="s">
        <v>123</v>
      </c>
      <c r="D102" s="172" t="s">
        <v>579</v>
      </c>
      <c r="E102" s="112">
        <v>8.2100000000000364</v>
      </c>
      <c r="F102" s="112">
        <v>0</v>
      </c>
      <c r="G102" s="158">
        <f t="shared" si="13"/>
        <v>3.2840000000000149</v>
      </c>
      <c r="H102" s="230">
        <v>4.9260000000000002</v>
      </c>
      <c r="I102" s="230">
        <v>3.2839999999999998</v>
      </c>
      <c r="J102" s="156">
        <f t="shared" si="14"/>
        <v>3.2840000000000362</v>
      </c>
      <c r="K102" s="156">
        <f t="shared" si="15"/>
        <v>-3.2839999999999998</v>
      </c>
      <c r="L102" s="123">
        <f t="shared" si="11"/>
        <v>3.6415315207705135E-14</v>
      </c>
      <c r="M102" s="157">
        <f t="shared" si="8"/>
        <v>0.99999999999999567</v>
      </c>
      <c r="N102" s="156"/>
    </row>
    <row r="103" spans="2:14">
      <c r="B103" s="537"/>
      <c r="C103" s="164" t="s">
        <v>124</v>
      </c>
      <c r="D103" s="172" t="s">
        <v>579</v>
      </c>
      <c r="E103" s="159">
        <v>0.16800000000002058</v>
      </c>
      <c r="F103" s="159">
        <v>0</v>
      </c>
      <c r="G103" s="158">
        <f t="shared" si="13"/>
        <v>6.7200000000008239E-2</v>
      </c>
      <c r="H103" s="230">
        <v>0</v>
      </c>
      <c r="I103" s="230">
        <v>6.7199999999999996E-2</v>
      </c>
      <c r="J103" s="156">
        <f t="shared" si="14"/>
        <v>0.16800000000002058</v>
      </c>
      <c r="K103" s="156">
        <f t="shared" si="15"/>
        <v>-6.7199999999999996E-2</v>
      </c>
      <c r="L103" s="123">
        <f t="shared" si="11"/>
        <v>0.10080000000002058</v>
      </c>
      <c r="M103" s="157">
        <f t="shared" si="8"/>
        <v>0.39999999999995101</v>
      </c>
      <c r="N103" s="156"/>
    </row>
    <row r="104" spans="2:14">
      <c r="B104" s="537"/>
      <c r="C104" s="164" t="s">
        <v>125</v>
      </c>
      <c r="D104" s="172" t="s">
        <v>579</v>
      </c>
      <c r="E104" s="159">
        <v>16.603999999999985</v>
      </c>
      <c r="F104" s="159">
        <v>2.5049999999999999</v>
      </c>
      <c r="G104" s="158">
        <f t="shared" si="13"/>
        <v>7.643599999999994</v>
      </c>
      <c r="H104" s="230">
        <v>8.9600000000000009</v>
      </c>
      <c r="I104" s="230">
        <v>10.148999999999999</v>
      </c>
      <c r="J104" s="156">
        <f t="shared" si="14"/>
        <v>7.6439999999999841</v>
      </c>
      <c r="K104" s="156">
        <f t="shared" si="15"/>
        <v>-7.6439999999999992</v>
      </c>
      <c r="L104" s="123">
        <f t="shared" si="11"/>
        <v>-1.5099033134902129E-14</v>
      </c>
      <c r="M104" s="157">
        <f t="shared" si="8"/>
        <v>1.0000000000000009</v>
      </c>
      <c r="N104" s="156"/>
    </row>
    <row r="105" spans="2:14">
      <c r="C105" s="167"/>
      <c r="H105" s="202"/>
      <c r="I105" s="202"/>
    </row>
    <row r="106" spans="2:14" ht="15" customHeight="1">
      <c r="B106" s="537" t="s">
        <v>45</v>
      </c>
      <c r="C106" s="164" t="s">
        <v>107</v>
      </c>
      <c r="D106" s="165" t="s">
        <v>580</v>
      </c>
      <c r="E106" s="158">
        <v>60.473999999999933</v>
      </c>
      <c r="F106" s="156">
        <v>170.69</v>
      </c>
      <c r="G106" s="158">
        <f t="shared" ref="G106:G113" si="16">((E106+F106)*0.4)</f>
        <v>92.465599999999981</v>
      </c>
      <c r="H106" s="337">
        <v>137.511</v>
      </c>
      <c r="I106" s="337">
        <v>97.119</v>
      </c>
      <c r="J106" s="254">
        <f>E106-H106</f>
        <v>-77.037000000000063</v>
      </c>
      <c r="K106" s="156">
        <f t="shared" ref="K106:K113" si="17">F106-I106</f>
        <v>73.570999999999998</v>
      </c>
      <c r="L106" s="156">
        <f t="shared" si="11"/>
        <v>-3.466000000000065</v>
      </c>
      <c r="M106" s="157">
        <f t="shared" si="8"/>
        <v>1.0149936841376688</v>
      </c>
      <c r="N106" s="156"/>
    </row>
    <row r="107" spans="2:14">
      <c r="B107" s="537"/>
      <c r="C107" s="164" t="s">
        <v>267</v>
      </c>
      <c r="D107" s="165" t="s">
        <v>580</v>
      </c>
      <c r="E107" s="158">
        <v>84.384000000000015</v>
      </c>
      <c r="F107" s="156">
        <v>256.85399999999998</v>
      </c>
      <c r="G107" s="158">
        <f t="shared" si="16"/>
        <v>136.49520000000001</v>
      </c>
      <c r="H107" s="337">
        <v>113.251</v>
      </c>
      <c r="I107" s="337">
        <v>248.792</v>
      </c>
      <c r="J107" s="156">
        <f t="shared" ref="J107:J113" si="18">E107-H107</f>
        <v>-28.86699999999999</v>
      </c>
      <c r="K107" s="156">
        <f t="shared" si="17"/>
        <v>8.0619999999999834</v>
      </c>
      <c r="L107" s="156">
        <f t="shared" si="11"/>
        <v>-20.805000000000007</v>
      </c>
      <c r="M107" s="157">
        <f t="shared" si="8"/>
        <v>1.0609691769380902</v>
      </c>
      <c r="N107" s="156"/>
    </row>
    <row r="108" spans="2:14">
      <c r="B108" s="537"/>
      <c r="C108" s="164" t="s">
        <v>109</v>
      </c>
      <c r="D108" s="165" t="s">
        <v>580</v>
      </c>
      <c r="E108" s="158">
        <v>26.024000000000044</v>
      </c>
      <c r="F108" s="156">
        <v>36.017000000000003</v>
      </c>
      <c r="G108" s="158">
        <f t="shared" si="16"/>
        <v>24.816400000000019</v>
      </c>
      <c r="H108" s="337">
        <v>0</v>
      </c>
      <c r="I108" s="337">
        <v>0</v>
      </c>
      <c r="J108" s="156">
        <f t="shared" si="18"/>
        <v>26.024000000000044</v>
      </c>
      <c r="K108" s="156">
        <f t="shared" si="17"/>
        <v>36.017000000000003</v>
      </c>
      <c r="L108" s="156">
        <f t="shared" si="11"/>
        <v>62.041000000000047</v>
      </c>
      <c r="M108" s="157">
        <f t="shared" si="8"/>
        <v>0</v>
      </c>
      <c r="N108" s="156"/>
    </row>
    <row r="109" spans="2:14">
      <c r="B109" s="537"/>
      <c r="C109" s="164" t="s">
        <v>110</v>
      </c>
      <c r="D109" s="165" t="s">
        <v>580</v>
      </c>
      <c r="E109" s="158">
        <v>104.83899999999997</v>
      </c>
      <c r="F109" s="156">
        <v>149.94399999999999</v>
      </c>
      <c r="G109" s="158">
        <f t="shared" si="16"/>
        <v>101.91319999999999</v>
      </c>
      <c r="H109" s="337">
        <v>126.783</v>
      </c>
      <c r="I109" s="337">
        <v>132.03899999999999</v>
      </c>
      <c r="J109" s="156">
        <f t="shared" si="18"/>
        <v>-21.944000000000031</v>
      </c>
      <c r="K109" s="156">
        <f t="shared" si="17"/>
        <v>17.905000000000001</v>
      </c>
      <c r="L109" s="156">
        <f t="shared" si="11"/>
        <v>-4.0390000000000299</v>
      </c>
      <c r="M109" s="157">
        <f t="shared" si="8"/>
        <v>1.0158527060282674</v>
      </c>
      <c r="N109" s="156"/>
    </row>
    <row r="110" spans="2:14">
      <c r="B110" s="537"/>
      <c r="C110" s="164" t="s">
        <v>111</v>
      </c>
      <c r="D110" s="165" t="s">
        <v>580</v>
      </c>
      <c r="E110" s="158">
        <v>0.57900000000000773</v>
      </c>
      <c r="F110" s="158">
        <v>6.3650000000000002</v>
      </c>
      <c r="G110" s="158">
        <f t="shared" si="16"/>
        <v>2.7776000000000032</v>
      </c>
      <c r="H110" s="337">
        <v>0</v>
      </c>
      <c r="I110" s="337">
        <v>0</v>
      </c>
      <c r="J110" s="156">
        <f t="shared" si="18"/>
        <v>0.57900000000000773</v>
      </c>
      <c r="K110" s="156">
        <f t="shared" si="17"/>
        <v>6.3650000000000002</v>
      </c>
      <c r="L110" s="156">
        <f t="shared" si="11"/>
        <v>6.9440000000000079</v>
      </c>
      <c r="M110" s="157">
        <f t="shared" si="8"/>
        <v>0</v>
      </c>
      <c r="N110" s="156"/>
    </row>
    <row r="111" spans="2:14">
      <c r="B111" s="537"/>
      <c r="C111" s="164" t="s">
        <v>113</v>
      </c>
      <c r="D111" s="165" t="s">
        <v>580</v>
      </c>
      <c r="E111" s="158">
        <v>19.340000000000146</v>
      </c>
      <c r="F111" s="156">
        <v>1.0029999999999999</v>
      </c>
      <c r="G111" s="158">
        <f t="shared" si="16"/>
        <v>8.1372000000000586</v>
      </c>
      <c r="H111" s="337">
        <v>43.841000000000001</v>
      </c>
      <c r="I111" s="337">
        <v>2.6949999999999998</v>
      </c>
      <c r="J111" s="156">
        <f t="shared" si="18"/>
        <v>-24.500999999999856</v>
      </c>
      <c r="K111" s="156">
        <f t="shared" si="17"/>
        <v>-1.6919999999999999</v>
      </c>
      <c r="L111" s="156">
        <f t="shared" si="11"/>
        <v>-26.192999999999856</v>
      </c>
      <c r="M111" s="157">
        <f t="shared" si="8"/>
        <v>2.2875682052794408</v>
      </c>
      <c r="N111" s="156"/>
    </row>
    <row r="112" spans="2:14">
      <c r="B112" s="537"/>
      <c r="C112" s="164" t="s">
        <v>114</v>
      </c>
      <c r="D112" s="165" t="s">
        <v>580</v>
      </c>
      <c r="E112" s="158">
        <v>31.475999999999985</v>
      </c>
      <c r="F112" s="156">
        <v>8.8260000000000005</v>
      </c>
      <c r="G112" s="158">
        <f t="shared" si="16"/>
        <v>16.120799999999996</v>
      </c>
      <c r="H112" s="337">
        <v>6.173</v>
      </c>
      <c r="I112" s="337">
        <v>9.2870000000000008</v>
      </c>
      <c r="J112" s="156">
        <f t="shared" si="18"/>
        <v>25.302999999999983</v>
      </c>
      <c r="K112" s="156">
        <f t="shared" si="17"/>
        <v>-0.4610000000000003</v>
      </c>
      <c r="L112" s="156">
        <f t="shared" si="11"/>
        <v>24.841999999999985</v>
      </c>
      <c r="M112" s="157">
        <f t="shared" si="8"/>
        <v>0.38360379137511802</v>
      </c>
      <c r="N112" s="156"/>
    </row>
    <row r="113" spans="2:14">
      <c r="B113" s="537"/>
      <c r="C113" s="164" t="s">
        <v>115</v>
      </c>
      <c r="D113" s="165" t="s">
        <v>580</v>
      </c>
      <c r="E113" s="158">
        <v>173.35</v>
      </c>
      <c r="F113" s="156">
        <v>369.70299999999997</v>
      </c>
      <c r="G113" s="158">
        <f t="shared" si="16"/>
        <v>217.22120000000001</v>
      </c>
      <c r="H113" s="337">
        <v>203.64400000000001</v>
      </c>
      <c r="I113" s="337">
        <v>341.96</v>
      </c>
      <c r="J113" s="156">
        <f t="shared" si="18"/>
        <v>-30.294000000000011</v>
      </c>
      <c r="K113" s="156">
        <f t="shared" si="17"/>
        <v>27.742999999999995</v>
      </c>
      <c r="L113" s="156">
        <f t="shared" si="11"/>
        <v>-2.5510000000000161</v>
      </c>
      <c r="M113" s="157">
        <f t="shared" si="8"/>
        <v>1.0046975157120945</v>
      </c>
      <c r="N113" s="156"/>
    </row>
  </sheetData>
  <mergeCells count="7">
    <mergeCell ref="B106:B113"/>
    <mergeCell ref="B2:N2"/>
    <mergeCell ref="B3:N3"/>
    <mergeCell ref="B6:B11"/>
    <mergeCell ref="B15:B16"/>
    <mergeCell ref="B96:B104"/>
    <mergeCell ref="B18:B94"/>
  </mergeCells>
  <phoneticPr fontId="3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42"/>
  <sheetViews>
    <sheetView topLeftCell="D10" zoomScale="90" zoomScaleNormal="90" workbookViewId="0">
      <selection activeCell="C42" sqref="C42"/>
    </sheetView>
  </sheetViews>
  <sheetFormatPr baseColWidth="10" defaultRowHeight="1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>
      <c r="B2" s="541" t="s">
        <v>307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</row>
    <row r="3" spans="2:18">
      <c r="B3" s="542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</row>
    <row r="5" spans="2:18" ht="47.25" customHeight="1">
      <c r="B5" s="19" t="s">
        <v>46</v>
      </c>
      <c r="C5" s="19" t="s">
        <v>35</v>
      </c>
      <c r="D5" s="19" t="s">
        <v>0</v>
      </c>
      <c r="E5" s="19" t="s">
        <v>140</v>
      </c>
      <c r="F5" s="19" t="s">
        <v>323</v>
      </c>
      <c r="G5" s="19" t="s">
        <v>157</v>
      </c>
      <c r="H5" s="19" t="s">
        <v>158</v>
      </c>
      <c r="I5" s="19" t="s">
        <v>293</v>
      </c>
      <c r="J5" s="19" t="s">
        <v>294</v>
      </c>
      <c r="K5" s="19" t="s">
        <v>165</v>
      </c>
      <c r="L5" s="19" t="s">
        <v>160</v>
      </c>
      <c r="M5" s="19" t="s">
        <v>295</v>
      </c>
      <c r="N5" s="19" t="s">
        <v>296</v>
      </c>
      <c r="O5" s="19" t="s">
        <v>162</v>
      </c>
      <c r="P5" s="19" t="s">
        <v>163</v>
      </c>
      <c r="Q5" s="19" t="s">
        <v>164</v>
      </c>
      <c r="R5" s="40" t="s">
        <v>213</v>
      </c>
    </row>
    <row r="6" spans="2:18">
      <c r="B6" s="539" t="s">
        <v>166</v>
      </c>
      <c r="C6" s="15" t="s">
        <v>130</v>
      </c>
      <c r="D6" s="1" t="s">
        <v>19</v>
      </c>
      <c r="E6" s="1">
        <f>Anchoveta!H7+'Sardina comun'!H7</f>
        <v>1562.5089999999996</v>
      </c>
      <c r="F6" s="2">
        <f t="shared" ref="F6:F11" si="0">E6*0.4</f>
        <v>625.00359999999989</v>
      </c>
      <c r="G6" s="28">
        <f>Anchoveta!I7</f>
        <v>0.58399999999999996</v>
      </c>
      <c r="H6" s="28">
        <f>'Sardina comun'!I7</f>
        <v>0</v>
      </c>
      <c r="I6" s="1">
        <f t="shared" ref="I6:I11" si="1">G6+H6</f>
        <v>0.58399999999999996</v>
      </c>
      <c r="J6" s="1">
        <f>Anchoveta!J7+'Sardina comun'!J7</f>
        <v>0</v>
      </c>
      <c r="K6" s="1">
        <f>Anchoveta!K7</f>
        <v>319.53799999999939</v>
      </c>
      <c r="L6" s="1">
        <f>'Sardina comun'!K7</f>
        <v>1242.3870000000002</v>
      </c>
      <c r="M6" s="1">
        <f t="shared" ref="M6:M11" si="2">K6+L6</f>
        <v>1561.9249999999995</v>
      </c>
      <c r="N6" s="38" t="str">
        <f t="shared" ref="N6:N11" si="3">IF(K6&lt;0,K6,IF(K6&lt;0,L6,IF(L6&lt;0,L6,IF(L6&gt;0,"0","0"))))</f>
        <v>0</v>
      </c>
      <c r="O6" s="33"/>
      <c r="P6" s="6">
        <f>(I6+J6)/E6</f>
        <v>3.7375784715480047E-4</v>
      </c>
      <c r="Q6" s="6">
        <f t="shared" ref="Q6:Q11" si="4">N6/E6</f>
        <v>0</v>
      </c>
      <c r="R6" s="1"/>
    </row>
    <row r="7" spans="2:18">
      <c r="B7" s="539"/>
      <c r="C7" s="15" t="s">
        <v>131</v>
      </c>
      <c r="D7" s="1" t="s">
        <v>19</v>
      </c>
      <c r="E7" s="1">
        <f>Anchoveta!H8+'Sardina comun'!H8</f>
        <v>4.8849999999999909</v>
      </c>
      <c r="F7" s="1">
        <f t="shared" si="0"/>
        <v>1.9539999999999964</v>
      </c>
      <c r="G7" s="28">
        <f>Anchoveta!I8</f>
        <v>0</v>
      </c>
      <c r="H7" s="28">
        <f>'Sardina comun'!I8</f>
        <v>0</v>
      </c>
      <c r="I7" s="1">
        <f t="shared" si="1"/>
        <v>0</v>
      </c>
      <c r="J7" s="1">
        <f>Anchoveta!J8+'Sardina comun'!J8</f>
        <v>0</v>
      </c>
      <c r="K7" s="1">
        <f>Anchoveta!K8</f>
        <v>4.8849999999999909</v>
      </c>
      <c r="L7" s="1">
        <f>'Sardina comun'!K8</f>
        <v>0</v>
      </c>
      <c r="M7" s="1">
        <f t="shared" si="2"/>
        <v>4.8849999999999909</v>
      </c>
      <c r="N7" s="38" t="str">
        <f t="shared" si="3"/>
        <v>0</v>
      </c>
      <c r="O7" s="33" t="str">
        <f>Anchoveta!M8</f>
        <v>-</v>
      </c>
      <c r="P7" s="6">
        <f>(I7+J7)/E7</f>
        <v>0</v>
      </c>
      <c r="Q7" s="6">
        <f t="shared" si="4"/>
        <v>0</v>
      </c>
      <c r="R7" s="1"/>
    </row>
    <row r="8" spans="2:18">
      <c r="B8" s="539"/>
      <c r="C8" s="16" t="s">
        <v>132</v>
      </c>
      <c r="D8" s="25" t="s">
        <v>19</v>
      </c>
      <c r="E8" s="1">
        <f>Anchoveta!H9+'Sardina comun'!H9</f>
        <v>3.2280000000000002</v>
      </c>
      <c r="F8" s="2">
        <f t="shared" si="0"/>
        <v>1.2912000000000001</v>
      </c>
      <c r="G8" s="28">
        <f>Anchoveta!I9</f>
        <v>0</v>
      </c>
      <c r="H8" s="28">
        <f>'Sardina comun'!I9</f>
        <v>0</v>
      </c>
      <c r="I8" s="1">
        <f t="shared" si="1"/>
        <v>0</v>
      </c>
      <c r="J8" s="1">
        <f>Anchoveta!J9+'Sardina comun'!J9</f>
        <v>0</v>
      </c>
      <c r="K8" s="1">
        <f>Anchoveta!K9</f>
        <v>0.17299999999999999</v>
      </c>
      <c r="L8" s="1">
        <f>'Sardina comun'!K9</f>
        <v>3.0550000000000002</v>
      </c>
      <c r="M8" s="1">
        <f t="shared" si="2"/>
        <v>3.2280000000000002</v>
      </c>
      <c r="N8" s="38" t="str">
        <f t="shared" si="3"/>
        <v>0</v>
      </c>
      <c r="O8" s="1"/>
      <c r="P8" s="6">
        <f t="shared" ref="P8:P42" si="5">(I8+J8)/E8</f>
        <v>0</v>
      </c>
      <c r="Q8" s="6">
        <f t="shared" si="4"/>
        <v>0</v>
      </c>
      <c r="R8" s="1"/>
    </row>
    <row r="9" spans="2:18" s="11" customFormat="1">
      <c r="B9" s="539"/>
      <c r="C9" s="16" t="s">
        <v>262</v>
      </c>
      <c r="D9" s="25" t="s">
        <v>19</v>
      </c>
      <c r="E9" s="1">
        <f>Anchoveta!H10+'Sardina comun'!H10</f>
        <v>44.022999999999996</v>
      </c>
      <c r="F9" s="2">
        <f t="shared" si="0"/>
        <v>17.609199999999998</v>
      </c>
      <c r="G9" s="39">
        <f>Anchoveta!I10</f>
        <v>0</v>
      </c>
      <c r="H9" s="39">
        <f>'Sardina comun'!I10</f>
        <v>0</v>
      </c>
      <c r="I9" s="1">
        <f t="shared" si="1"/>
        <v>0</v>
      </c>
      <c r="J9" s="1">
        <f>Anchoveta!J10+'Sardina comun'!J10</f>
        <v>0</v>
      </c>
      <c r="K9" s="1">
        <f>Anchoveta!K10</f>
        <v>8.6750000000000007</v>
      </c>
      <c r="L9" s="1">
        <f>'Sardina comun'!K10</f>
        <v>35.347999999999999</v>
      </c>
      <c r="M9" s="1">
        <f t="shared" si="2"/>
        <v>44.022999999999996</v>
      </c>
      <c r="N9" s="71" t="str">
        <f t="shared" si="3"/>
        <v>0</v>
      </c>
      <c r="O9" s="1"/>
      <c r="P9" s="6">
        <f>(I9+J9)/E9</f>
        <v>0</v>
      </c>
      <c r="Q9" s="6">
        <f t="shared" si="4"/>
        <v>0</v>
      </c>
      <c r="R9" s="1"/>
    </row>
    <row r="10" spans="2:18" s="11" customFormat="1">
      <c r="B10" s="539"/>
      <c r="C10" s="16" t="s">
        <v>263</v>
      </c>
      <c r="D10" s="25" t="s">
        <v>19</v>
      </c>
      <c r="E10" s="1">
        <f>Anchoveta!H11+'Sardina comun'!H11</f>
        <v>1.9349999999999998</v>
      </c>
      <c r="F10" s="1">
        <f t="shared" si="0"/>
        <v>0.77400000000000002</v>
      </c>
      <c r="G10" s="39">
        <f>Anchoveta!I11</f>
        <v>0</v>
      </c>
      <c r="H10" s="39">
        <f>'Sardina comun'!I11</f>
        <v>0</v>
      </c>
      <c r="I10" s="1">
        <f t="shared" si="1"/>
        <v>0</v>
      </c>
      <c r="J10" s="1">
        <f>Anchoveta!J11+'Sardina comun'!J11</f>
        <v>0</v>
      </c>
      <c r="K10" s="1">
        <f>Anchoveta!K11</f>
        <v>2.9000000000000001E-2</v>
      </c>
      <c r="L10" s="1">
        <f>'Sardina comun'!K11</f>
        <v>1.9059999999999999</v>
      </c>
      <c r="M10" s="1">
        <f t="shared" si="2"/>
        <v>1.9349999999999998</v>
      </c>
      <c r="N10" s="71" t="str">
        <f t="shared" si="3"/>
        <v>0</v>
      </c>
      <c r="O10" s="1"/>
      <c r="P10" s="6">
        <f>(I10+J10)/E10</f>
        <v>0</v>
      </c>
      <c r="Q10" s="6">
        <f t="shared" si="4"/>
        <v>0</v>
      </c>
      <c r="R10" s="1"/>
    </row>
    <row r="11" spans="2:18">
      <c r="B11" s="539"/>
      <c r="C11" s="15" t="s">
        <v>133</v>
      </c>
      <c r="D11" s="25" t="s">
        <v>19</v>
      </c>
      <c r="E11" s="1">
        <f>Anchoveta!H12+'Sardina comun'!H12</f>
        <v>234.68099999999998</v>
      </c>
      <c r="F11" s="2">
        <f t="shared" si="0"/>
        <v>93.872399999999999</v>
      </c>
      <c r="G11" s="28">
        <f>Anchoveta!I12</f>
        <v>0</v>
      </c>
      <c r="H11" s="28">
        <f>'Sardina comun'!I12</f>
        <v>42.05</v>
      </c>
      <c r="I11" s="1">
        <f t="shared" si="1"/>
        <v>42.05</v>
      </c>
      <c r="J11" s="1">
        <f>Anchoveta!J12+'Sardina comun'!J12</f>
        <v>0</v>
      </c>
      <c r="K11" s="1">
        <f>Anchoveta!K12</f>
        <v>49.293999999999997</v>
      </c>
      <c r="L11" s="1">
        <f>'Sardina comun'!K12</f>
        <v>143.33699999999999</v>
      </c>
      <c r="M11" s="1">
        <f t="shared" si="2"/>
        <v>192.63099999999997</v>
      </c>
      <c r="N11" s="38" t="str">
        <f t="shared" si="3"/>
        <v>0</v>
      </c>
      <c r="O11" s="84"/>
      <c r="P11" s="6">
        <f t="shared" si="5"/>
        <v>0.17917939671298486</v>
      </c>
      <c r="Q11" s="53">
        <f t="shared" si="4"/>
        <v>0</v>
      </c>
      <c r="R11" s="39"/>
    </row>
    <row r="12" spans="2:18">
      <c r="G12" s="29"/>
      <c r="H12" s="29"/>
    </row>
    <row r="13" spans="2:18">
      <c r="B13" s="24" t="s">
        <v>167</v>
      </c>
      <c r="C13" s="15" t="s">
        <v>46</v>
      </c>
      <c r="D13" s="25" t="s">
        <v>19</v>
      </c>
      <c r="E13" s="1">
        <f>Anchoveta!H15+'Sardina comun'!H15</f>
        <v>166</v>
      </c>
      <c r="F13" s="1">
        <f>E13*0.4</f>
        <v>66.400000000000006</v>
      </c>
      <c r="G13" s="28">
        <f>Anchoveta!I15</f>
        <v>0</v>
      </c>
      <c r="H13" s="28">
        <f>'Sardina comun'!I15</f>
        <v>0</v>
      </c>
      <c r="I13" s="1">
        <f>G13+H13</f>
        <v>0</v>
      </c>
      <c r="J13" s="1">
        <f>Anchoveta!J15+'Sardina comun'!J15</f>
        <v>0</v>
      </c>
      <c r="K13" s="1">
        <f>Anchoveta!K15</f>
        <v>74</v>
      </c>
      <c r="L13" s="1">
        <f>'Sardina comun'!K15</f>
        <v>92</v>
      </c>
      <c r="M13" s="1">
        <f>K13+L13</f>
        <v>166</v>
      </c>
      <c r="N13" s="39" t="str">
        <f>IF(K13&lt;0,K13,IF(K13&lt;0,L13,IF(L13&lt;0,L13,IF(L13&gt;0,"0","0"))))</f>
        <v>0</v>
      </c>
      <c r="O13" s="1"/>
      <c r="P13" s="77">
        <f t="shared" si="5"/>
        <v>0</v>
      </c>
      <c r="Q13" s="77">
        <f>N13/E13</f>
        <v>0</v>
      </c>
      <c r="R13" s="1"/>
    </row>
    <row r="14" spans="2:18">
      <c r="G14" s="29"/>
      <c r="H14" s="29"/>
    </row>
    <row r="15" spans="2:18">
      <c r="B15" s="540" t="s">
        <v>168</v>
      </c>
      <c r="C15" s="15" t="s">
        <v>127</v>
      </c>
      <c r="D15" s="1" t="s">
        <v>19</v>
      </c>
      <c r="E15" s="1">
        <f>Anchoveta!H18+'Sardina comun'!H18</f>
        <v>291.26400000000001</v>
      </c>
      <c r="F15" s="2">
        <f>E15*0.4</f>
        <v>116.50560000000002</v>
      </c>
      <c r="G15" s="28">
        <f>Anchoveta!I18</f>
        <v>0</v>
      </c>
      <c r="H15" s="28">
        <f>'Sardina comun'!I18</f>
        <v>0</v>
      </c>
      <c r="I15" s="1">
        <f>G15+H15</f>
        <v>0</v>
      </c>
      <c r="J15" s="1">
        <f>Anchoveta!J18+'Sardina comun'!J18</f>
        <v>0</v>
      </c>
      <c r="K15" s="1">
        <f>Anchoveta!K18</f>
        <v>205.28800000000001</v>
      </c>
      <c r="L15" s="1">
        <f>'Sardina comun'!K18</f>
        <v>85.975999999999999</v>
      </c>
      <c r="M15" s="1">
        <f>K15+L15</f>
        <v>291.26400000000001</v>
      </c>
      <c r="N15" s="39" t="str">
        <f>IF(K15&lt;0,K15,IF(K15&lt;0,L15,IF(L15&lt;0,L15,IF(L15&gt;0,"0","0"))))</f>
        <v>0</v>
      </c>
      <c r="O15" s="1"/>
      <c r="P15" s="77">
        <f t="shared" si="5"/>
        <v>0</v>
      </c>
      <c r="Q15" s="77">
        <f>N15/E15</f>
        <v>0</v>
      </c>
      <c r="R15" s="1"/>
    </row>
    <row r="16" spans="2:18">
      <c r="B16" s="540"/>
      <c r="C16" s="15" t="s">
        <v>128</v>
      </c>
      <c r="D16" s="25" t="s">
        <v>19</v>
      </c>
      <c r="E16" s="1">
        <f>Anchoveta!H19+'Sardina comun'!H19</f>
        <v>9.9229999999998881</v>
      </c>
      <c r="F16" s="1">
        <f>E16*0.4</f>
        <v>3.9691999999999554</v>
      </c>
      <c r="G16" s="28">
        <f>Anchoveta!I19</f>
        <v>0</v>
      </c>
      <c r="H16" s="28">
        <f>'Sardina comun'!I19</f>
        <v>0</v>
      </c>
      <c r="I16" s="1">
        <f>G16+H16</f>
        <v>0</v>
      </c>
      <c r="J16" s="1">
        <f>Anchoveta!J19+'Sardina comun'!J19</f>
        <v>0</v>
      </c>
      <c r="K16" s="1">
        <f>Anchoveta!K19</f>
        <v>9.9069999999999254</v>
      </c>
      <c r="L16" s="1">
        <f>'Sardina comun'!K19</f>
        <v>1.5999999999962711E-2</v>
      </c>
      <c r="M16" s="1">
        <f>K16+L16</f>
        <v>9.9229999999998881</v>
      </c>
      <c r="N16" s="39" t="str">
        <f t="shared" ref="N16:N31" si="6">IF(K16&lt;0,K16,IF(K16&lt;0,L16,IF(L16&lt;0,L16,IF(L16&gt;0,"0","0"))))</f>
        <v>0</v>
      </c>
      <c r="O16" s="1"/>
      <c r="P16" s="77">
        <f t="shared" si="5"/>
        <v>0</v>
      </c>
      <c r="Q16" s="77">
        <f t="shared" ref="Q16:Q42" si="7">N16/E16</f>
        <v>0</v>
      </c>
      <c r="R16" s="1"/>
    </row>
    <row r="17" spans="2:18">
      <c r="B17" s="540"/>
      <c r="C17" s="15" t="s">
        <v>129</v>
      </c>
      <c r="D17" s="25" t="s">
        <v>19</v>
      </c>
      <c r="E17" s="1">
        <f>Anchoveta!H20+'Sardina comun'!H20</f>
        <v>258.87299999999999</v>
      </c>
      <c r="F17" s="1">
        <f>E17*0.4</f>
        <v>103.5492</v>
      </c>
      <c r="G17" s="28">
        <f>Anchoveta!I20</f>
        <v>0</v>
      </c>
      <c r="H17" s="28">
        <f>'Sardina comun'!I20</f>
        <v>0</v>
      </c>
      <c r="I17" s="1">
        <f>G17+H17</f>
        <v>0</v>
      </c>
      <c r="J17" s="1">
        <f>Anchoveta!J20+'Sardina comun'!J20</f>
        <v>0</v>
      </c>
      <c r="K17" s="1">
        <f>Anchoveta!K20</f>
        <v>120.566</v>
      </c>
      <c r="L17" s="1">
        <f>'Sardina comun'!K20</f>
        <v>138.30699999999999</v>
      </c>
      <c r="M17" s="1">
        <f>K17+L17</f>
        <v>258.87299999999999</v>
      </c>
      <c r="N17" s="39" t="str">
        <f t="shared" si="6"/>
        <v>0</v>
      </c>
      <c r="O17" s="1"/>
      <c r="P17" s="77">
        <f t="shared" si="5"/>
        <v>0</v>
      </c>
      <c r="Q17" s="77">
        <f t="shared" si="7"/>
        <v>0</v>
      </c>
      <c r="R17" s="1"/>
    </row>
    <row r="18" spans="2:18">
      <c r="G18" s="29"/>
      <c r="H18" s="29"/>
    </row>
    <row r="19" spans="2:18">
      <c r="B19" s="19" t="s">
        <v>169</v>
      </c>
      <c r="C19" s="15" t="s">
        <v>46</v>
      </c>
      <c r="D19" s="1" t="s">
        <v>19</v>
      </c>
      <c r="E19" s="1">
        <f>Anchoveta!H106+'Sardina comun'!H106</f>
        <v>6865.22</v>
      </c>
      <c r="F19" s="1">
        <f>E19*0.4</f>
        <v>2746.0880000000002</v>
      </c>
      <c r="G19" s="28">
        <f>Anchoveta!I106</f>
        <v>675</v>
      </c>
      <c r="H19" s="28">
        <f>'Sardina comun'!I106</f>
        <v>6337.52</v>
      </c>
      <c r="I19" s="1">
        <f>G19+H19</f>
        <v>7012.52</v>
      </c>
      <c r="J19" s="1">
        <f>Anchoveta!J106+'Sardina comun'!J106</f>
        <v>0</v>
      </c>
      <c r="K19" s="1">
        <f>Anchoveta!K106</f>
        <v>1622</v>
      </c>
      <c r="L19" s="1">
        <f>'Sardina comun'!K106</f>
        <v>-1769.3000000000002</v>
      </c>
      <c r="M19" s="1">
        <f>K19+L19</f>
        <v>-147.30000000000018</v>
      </c>
      <c r="N19" s="39">
        <f t="shared" si="6"/>
        <v>-1769.3000000000002</v>
      </c>
      <c r="O19" s="33">
        <f>Anchoveta!M106</f>
        <v>44872</v>
      </c>
      <c r="P19" s="77">
        <f t="shared" si="5"/>
        <v>1.0214559766475073</v>
      </c>
      <c r="Q19" s="77">
        <f t="shared" si="7"/>
        <v>-0.25771934475515718</v>
      </c>
      <c r="R19" s="1"/>
    </row>
    <row r="20" spans="2:18">
      <c r="G20" s="29"/>
      <c r="H20" s="29"/>
    </row>
    <row r="21" spans="2:18">
      <c r="B21" s="539" t="s">
        <v>170</v>
      </c>
      <c r="C21" s="15" t="s">
        <v>116</v>
      </c>
      <c r="D21" s="1" t="s">
        <v>19</v>
      </c>
      <c r="E21" s="1">
        <f>Anchoveta!H110+'Sardina comun'!H110</f>
        <v>28.938999999999851</v>
      </c>
      <c r="F21" s="2">
        <f t="shared" ref="F21:F31" si="8">E21*0.4</f>
        <v>11.575599999999941</v>
      </c>
      <c r="G21" s="28">
        <f>Anchoveta!I110</f>
        <v>0</v>
      </c>
      <c r="H21" s="28">
        <f>'Sardina comun'!I110</f>
        <v>0</v>
      </c>
      <c r="I21" s="1">
        <f>G21+H21</f>
        <v>0</v>
      </c>
      <c r="J21" s="1">
        <f>Anchoveta!J110+'Sardina comun'!J110</f>
        <v>0</v>
      </c>
      <c r="K21" s="1">
        <f>Anchoveta!K110</f>
        <v>27.684999999999945</v>
      </c>
      <c r="L21" s="1">
        <f>'Sardina comun'!K110</f>
        <v>1.2539999999999054</v>
      </c>
      <c r="M21" s="1">
        <f>K21+L21</f>
        <v>28.938999999999851</v>
      </c>
      <c r="N21" s="39" t="str">
        <f t="shared" si="6"/>
        <v>0</v>
      </c>
      <c r="O21" s="33"/>
      <c r="P21" s="77">
        <f t="shared" si="5"/>
        <v>0</v>
      </c>
      <c r="Q21" s="77">
        <f t="shared" si="7"/>
        <v>0</v>
      </c>
      <c r="R21" s="1"/>
    </row>
    <row r="22" spans="2:18">
      <c r="B22" s="539"/>
      <c r="C22" s="15" t="s">
        <v>117</v>
      </c>
      <c r="D22" s="25" t="s">
        <v>19</v>
      </c>
      <c r="E22" s="1">
        <f>Anchoveta!H111+'Sardina comun'!H111</f>
        <v>5809.8019999999997</v>
      </c>
      <c r="F22" s="2">
        <f t="shared" si="8"/>
        <v>2323.9207999999999</v>
      </c>
      <c r="G22" s="28">
        <f>Anchoveta!I111</f>
        <v>766.43200000000002</v>
      </c>
      <c r="H22" s="28">
        <f>'Sardina comun'!I111</f>
        <v>4945.5420000000004</v>
      </c>
      <c r="I22" s="1">
        <f t="shared" ref="I22:I31" si="9">G22+H22</f>
        <v>5711.9740000000002</v>
      </c>
      <c r="J22" s="1">
        <f>Anchoveta!J111+'Sardina comun'!J111</f>
        <v>0</v>
      </c>
      <c r="K22" s="1">
        <f>Anchoveta!K111</f>
        <v>728.25099999999998</v>
      </c>
      <c r="L22" s="1">
        <f>'Sardina comun'!K111</f>
        <v>-630.42300000000068</v>
      </c>
      <c r="M22" s="1">
        <f t="shared" ref="M22:M31" si="10">K22+L22</f>
        <v>97.827999999999292</v>
      </c>
      <c r="N22" s="39">
        <f t="shared" si="6"/>
        <v>-630.42300000000068</v>
      </c>
      <c r="O22" s="33" t="s">
        <v>284</v>
      </c>
      <c r="P22" s="77">
        <f t="shared" si="5"/>
        <v>0.98316156041118108</v>
      </c>
      <c r="Q22" s="77">
        <f t="shared" si="7"/>
        <v>-0.10851023838678163</v>
      </c>
      <c r="R22" s="1"/>
    </row>
    <row r="23" spans="2:18">
      <c r="B23" s="539"/>
      <c r="C23" s="15" t="s">
        <v>118</v>
      </c>
      <c r="D23" s="25" t="s">
        <v>19</v>
      </c>
      <c r="E23" s="1">
        <f>Anchoveta!H112+'Sardina comun'!H112</f>
        <v>4919.6549999999997</v>
      </c>
      <c r="F23" s="2">
        <f t="shared" si="8"/>
        <v>1967.8620000000001</v>
      </c>
      <c r="G23" s="28">
        <f>Anchoveta!I112</f>
        <v>596.23899999999992</v>
      </c>
      <c r="H23" s="28">
        <f>'Sardina comun'!I112</f>
        <v>4309.2240000000002</v>
      </c>
      <c r="I23" s="1">
        <f t="shared" si="9"/>
        <v>4905.4629999999997</v>
      </c>
      <c r="J23" s="1">
        <f>Anchoveta!J112+'Sardina comun'!J112</f>
        <v>0</v>
      </c>
      <c r="K23" s="1">
        <f>Anchoveta!K112</f>
        <v>904.80500000000018</v>
      </c>
      <c r="L23" s="1">
        <f>'Sardina comun'!K112</f>
        <v>-890.61300000000028</v>
      </c>
      <c r="M23" s="1">
        <f t="shared" si="10"/>
        <v>14.191999999999894</v>
      </c>
      <c r="N23" s="39">
        <f t="shared" si="6"/>
        <v>-890.61300000000028</v>
      </c>
      <c r="O23" s="33">
        <f>Anchoveta!M112</f>
        <v>44915</v>
      </c>
      <c r="P23" s="77">
        <f t="shared" si="5"/>
        <v>0.99711524486981307</v>
      </c>
      <c r="Q23" s="77">
        <f t="shared" si="7"/>
        <v>-0.1810315967278194</v>
      </c>
      <c r="R23" s="1"/>
    </row>
    <row r="24" spans="2:18">
      <c r="B24" s="539"/>
      <c r="C24" s="15" t="s">
        <v>119</v>
      </c>
      <c r="D24" s="25" t="s">
        <v>19</v>
      </c>
      <c r="E24" s="1">
        <f>Anchoveta!H113+'Sardina comun'!H113</f>
        <v>3690.8230000000003</v>
      </c>
      <c r="F24" s="2">
        <f t="shared" si="8"/>
        <v>1476.3292000000001</v>
      </c>
      <c r="G24" s="28">
        <f>Anchoveta!I113</f>
        <v>491.99500000000006</v>
      </c>
      <c r="H24" s="28">
        <f>'Sardina comun'!I113</f>
        <v>3169.4579999999996</v>
      </c>
      <c r="I24" s="1">
        <f t="shared" si="9"/>
        <v>3661.4529999999995</v>
      </c>
      <c r="J24" s="1">
        <f>Anchoveta!J113+'Sardina comun'!J113</f>
        <v>0</v>
      </c>
      <c r="K24" s="1">
        <f>Anchoveta!K113</f>
        <v>634.11799999999994</v>
      </c>
      <c r="L24" s="1">
        <f>'Sardina comun'!K113</f>
        <v>-604.74799999999959</v>
      </c>
      <c r="M24" s="1">
        <f t="shared" si="10"/>
        <v>29.370000000000346</v>
      </c>
      <c r="N24" s="39">
        <f t="shared" si="6"/>
        <v>-604.74799999999959</v>
      </c>
      <c r="O24" s="33">
        <f>Anchoveta!M113</f>
        <v>44741</v>
      </c>
      <c r="P24" s="77">
        <f t="shared" si="5"/>
        <v>0.99204242522602659</v>
      </c>
      <c r="Q24" s="77">
        <f t="shared" si="7"/>
        <v>-0.16385180215903053</v>
      </c>
      <c r="R24" s="1"/>
    </row>
    <row r="25" spans="2:18">
      <c r="B25" s="539"/>
      <c r="C25" s="15" t="s">
        <v>120</v>
      </c>
      <c r="D25" s="25" t="s">
        <v>19</v>
      </c>
      <c r="E25" s="1">
        <f>Anchoveta!H114+'Sardina comun'!H114</f>
        <v>17118.010999999999</v>
      </c>
      <c r="F25" s="2">
        <f t="shared" si="8"/>
        <v>6847.2043999999996</v>
      </c>
      <c r="G25" s="28">
        <f>Anchoveta!I114</f>
        <v>1930.7000000000003</v>
      </c>
      <c r="H25" s="28">
        <f>'Sardina comun'!I114</f>
        <v>12998.77</v>
      </c>
      <c r="I25" s="1">
        <f t="shared" si="9"/>
        <v>14929.470000000001</v>
      </c>
      <c r="J25" s="1">
        <f>Anchoveta!J114+'Sardina comun'!J114</f>
        <v>0</v>
      </c>
      <c r="K25" s="1">
        <f>Anchoveta!K114</f>
        <v>2982.82</v>
      </c>
      <c r="L25" s="1">
        <f>'Sardina comun'!K114</f>
        <v>-794.27900000000045</v>
      </c>
      <c r="M25" s="1">
        <f t="shared" si="10"/>
        <v>2188.5409999999997</v>
      </c>
      <c r="N25" s="39">
        <f t="shared" si="6"/>
        <v>-794.27900000000045</v>
      </c>
      <c r="O25" s="1"/>
      <c r="P25" s="77">
        <f t="shared" si="5"/>
        <v>0.87214980759154803</v>
      </c>
      <c r="Q25" s="77">
        <f t="shared" si="7"/>
        <v>-4.6400192171859249E-2</v>
      </c>
      <c r="R25" s="1"/>
    </row>
    <row r="26" spans="2:18" ht="14.25" customHeight="1">
      <c r="B26" s="539"/>
      <c r="C26" s="15" t="s">
        <v>121</v>
      </c>
      <c r="D26" s="25" t="s">
        <v>19</v>
      </c>
      <c r="E26" s="1">
        <f>Anchoveta!H115+'Sardina comun'!H115</f>
        <v>2698.1369999999997</v>
      </c>
      <c r="F26" s="2">
        <f t="shared" si="8"/>
        <v>1079.2547999999999</v>
      </c>
      <c r="G26" s="28">
        <f>Anchoveta!I115</f>
        <v>273.83699999999999</v>
      </c>
      <c r="H26" s="28">
        <f>'Sardina comun'!I115</f>
        <v>2402.13</v>
      </c>
      <c r="I26" s="1">
        <f t="shared" si="9"/>
        <v>2675.9670000000001</v>
      </c>
      <c r="J26" s="1">
        <f>Anchoveta!J115+'Sardina comun'!J115</f>
        <v>0</v>
      </c>
      <c r="K26" s="1">
        <f>Anchoveta!K115</f>
        <v>549.39599999999996</v>
      </c>
      <c r="L26" s="1">
        <f>'Sardina comun'!K115</f>
        <v>-527.22600000000011</v>
      </c>
      <c r="M26" s="1">
        <f t="shared" si="10"/>
        <v>22.169999999999845</v>
      </c>
      <c r="N26" s="39">
        <f t="shared" si="6"/>
        <v>-527.22600000000011</v>
      </c>
      <c r="O26" s="33">
        <f>Anchoveta!M115</f>
        <v>44743</v>
      </c>
      <c r="P26" s="77">
        <f t="shared" si="5"/>
        <v>0.99178321931021307</v>
      </c>
      <c r="Q26" s="77">
        <f t="shared" si="7"/>
        <v>-0.19540371745393217</v>
      </c>
      <c r="R26" s="1"/>
    </row>
    <row r="27" spans="2:18">
      <c r="B27" s="539"/>
      <c r="C27" s="15" t="s">
        <v>122</v>
      </c>
      <c r="D27" s="25" t="s">
        <v>19</v>
      </c>
      <c r="E27" s="1">
        <f>Anchoveta!H116+'Sardina comun'!H116</f>
        <v>2768.8609999999999</v>
      </c>
      <c r="F27" s="2">
        <f t="shared" si="8"/>
        <v>1107.5444</v>
      </c>
      <c r="G27" s="28">
        <f>Anchoveta!I116</f>
        <v>327.12099999999998</v>
      </c>
      <c r="H27" s="28">
        <f>'Sardina comun'!I116</f>
        <v>2344.8159999999998</v>
      </c>
      <c r="I27" s="1">
        <f t="shared" si="9"/>
        <v>2671.9369999999999</v>
      </c>
      <c r="J27" s="1">
        <f>Anchoveta!J116+'Sardina comun'!J116</f>
        <v>0</v>
      </c>
      <c r="K27" s="1">
        <f>Anchoveta!K116</f>
        <v>517.69100000000003</v>
      </c>
      <c r="L27" s="1">
        <f>'Sardina comun'!K116</f>
        <v>-420.76699999999983</v>
      </c>
      <c r="M27" s="1">
        <f t="shared" si="10"/>
        <v>96.924000000000206</v>
      </c>
      <c r="N27" s="39">
        <f t="shared" si="6"/>
        <v>-420.76699999999983</v>
      </c>
      <c r="O27" s="33" t="str">
        <f>Anchoveta!M116</f>
        <v>-</v>
      </c>
      <c r="P27" s="77">
        <f t="shared" si="5"/>
        <v>0.96499499252580756</v>
      </c>
      <c r="Q27" s="77">
        <f t="shared" si="7"/>
        <v>-0.15196393029480348</v>
      </c>
      <c r="R27" s="1"/>
    </row>
    <row r="28" spans="2:18">
      <c r="B28" s="539"/>
      <c r="C28" s="15" t="s">
        <v>123</v>
      </c>
      <c r="D28" s="25" t="s">
        <v>19</v>
      </c>
      <c r="E28" s="1">
        <f>Anchoveta!H117+'Sardina comun'!H117</f>
        <v>3222.46</v>
      </c>
      <c r="F28" s="2">
        <f t="shared" si="8"/>
        <v>1288.9840000000002</v>
      </c>
      <c r="G28" s="28">
        <f>Anchoveta!I117</f>
        <v>243.65900000000002</v>
      </c>
      <c r="H28" s="28">
        <f>'Sardina comun'!I117</f>
        <v>2864.26</v>
      </c>
      <c r="I28" s="1">
        <f t="shared" si="9"/>
        <v>3107.9190000000003</v>
      </c>
      <c r="J28" s="1">
        <f>Anchoveta!J117+'Sardina comun'!J117</f>
        <v>0</v>
      </c>
      <c r="K28" s="1">
        <f>Anchoveta!K117</f>
        <v>739.55100000000004</v>
      </c>
      <c r="L28" s="1">
        <f>'Sardina comun'!K117</f>
        <v>-625.01000000000022</v>
      </c>
      <c r="M28" s="1">
        <f t="shared" si="10"/>
        <v>114.54099999999983</v>
      </c>
      <c r="N28" s="39">
        <f t="shared" si="6"/>
        <v>-625.01000000000022</v>
      </c>
      <c r="O28" s="33" t="str">
        <f>Anchoveta!M117</f>
        <v>-</v>
      </c>
      <c r="P28" s="77">
        <f t="shared" si="5"/>
        <v>0.96445541604860896</v>
      </c>
      <c r="Q28" s="77">
        <f t="shared" si="7"/>
        <v>-0.19395430819932605</v>
      </c>
      <c r="R28" s="1"/>
    </row>
    <row r="29" spans="2:18">
      <c r="B29" s="539"/>
      <c r="C29" s="15" t="s">
        <v>124</v>
      </c>
      <c r="D29" s="25" t="s">
        <v>19</v>
      </c>
      <c r="E29" s="1">
        <f>Anchoveta!H118+'Sardina comun'!H118</f>
        <v>10.827000000000055</v>
      </c>
      <c r="F29" s="2">
        <f t="shared" si="8"/>
        <v>4.3308000000000222</v>
      </c>
      <c r="G29" s="28">
        <f>Anchoveta!I118</f>
        <v>0</v>
      </c>
      <c r="H29" s="28">
        <f>'Sardina comun'!I118</f>
        <v>0.11279999999999175</v>
      </c>
      <c r="I29" s="1">
        <f t="shared" si="9"/>
        <v>0.11279999999999175</v>
      </c>
      <c r="J29" s="1">
        <f>Anchoveta!J118+'Sardina comun'!J118</f>
        <v>0</v>
      </c>
      <c r="K29" s="1">
        <f>Anchoveta!K118</f>
        <v>10.559000000000026</v>
      </c>
      <c r="L29" s="1">
        <f>'Sardina comun'!K118</f>
        <v>0.15520000000003736</v>
      </c>
      <c r="M29" s="1">
        <f t="shared" si="10"/>
        <v>10.714200000000064</v>
      </c>
      <c r="N29" s="39" t="str">
        <f t="shared" si="6"/>
        <v>0</v>
      </c>
      <c r="O29" s="33" t="str">
        <f>Anchoveta!M118</f>
        <v>-</v>
      </c>
      <c r="P29" s="77">
        <f t="shared" si="5"/>
        <v>1.041839844832282E-2</v>
      </c>
      <c r="Q29" s="77">
        <f t="shared" si="7"/>
        <v>0</v>
      </c>
      <c r="R29" s="1"/>
    </row>
    <row r="30" spans="2:18">
      <c r="B30" s="539"/>
      <c r="C30" s="15" t="s">
        <v>125</v>
      </c>
      <c r="D30" s="25" t="s">
        <v>19</v>
      </c>
      <c r="E30" s="1">
        <f>Anchoveta!H119+'Sardina comun'!H119</f>
        <v>923.78599999999994</v>
      </c>
      <c r="F30" s="2">
        <f t="shared" si="8"/>
        <v>369.51440000000002</v>
      </c>
      <c r="G30" s="28">
        <f>Anchoveta!I119</f>
        <v>144.24099999999999</v>
      </c>
      <c r="H30" s="28">
        <f>'Sardina comun'!I119</f>
        <v>559.3610000000001</v>
      </c>
      <c r="I30" s="1">
        <f t="shared" si="9"/>
        <v>703.60200000000009</v>
      </c>
      <c r="J30" s="1">
        <f>Anchoveta!J119+'Sardina comun'!J119</f>
        <v>0</v>
      </c>
      <c r="K30" s="1">
        <f>Anchoveta!K119</f>
        <v>138.93700000000001</v>
      </c>
      <c r="L30" s="1">
        <f>'Sardina comun'!K119</f>
        <v>81.246999999999844</v>
      </c>
      <c r="M30" s="1">
        <f t="shared" si="10"/>
        <v>220.18399999999986</v>
      </c>
      <c r="N30" s="39" t="str">
        <f t="shared" si="6"/>
        <v>0</v>
      </c>
      <c r="O30" s="1"/>
      <c r="P30" s="77">
        <f t="shared" si="5"/>
        <v>0.76165042553145434</v>
      </c>
      <c r="Q30" s="77">
        <f t="shared" si="7"/>
        <v>0</v>
      </c>
      <c r="R30" s="1"/>
    </row>
    <row r="31" spans="2:18">
      <c r="B31" s="539"/>
      <c r="C31" s="15" t="s">
        <v>126</v>
      </c>
      <c r="D31" s="25" t="s">
        <v>19</v>
      </c>
      <c r="E31" s="1">
        <f>Anchoveta!H120+'Sardina comun'!H120</f>
        <v>470.197</v>
      </c>
      <c r="F31" s="2">
        <f t="shared" si="8"/>
        <v>188.0788</v>
      </c>
      <c r="G31" s="28">
        <f>Anchoveta!I120</f>
        <v>38.483000000000004</v>
      </c>
      <c r="H31" s="28">
        <f>'Sardina comun'!I120</f>
        <v>428.13800000000003</v>
      </c>
      <c r="I31" s="1">
        <f t="shared" si="9"/>
        <v>466.62100000000004</v>
      </c>
      <c r="J31" s="1">
        <f>Anchoveta!J120+'Sardina comun'!J120</f>
        <v>0</v>
      </c>
      <c r="K31" s="1">
        <f>Anchoveta!K120</f>
        <v>104.97999999999999</v>
      </c>
      <c r="L31" s="1">
        <f>'Sardina comun'!K120</f>
        <v>-101.40400000000005</v>
      </c>
      <c r="M31" s="1">
        <f t="shared" si="10"/>
        <v>3.5759999999999366</v>
      </c>
      <c r="N31" s="39">
        <f t="shared" si="6"/>
        <v>-101.40400000000005</v>
      </c>
      <c r="O31" s="33">
        <f>Anchoveta!M120</f>
        <v>44907</v>
      </c>
      <c r="P31" s="77">
        <f t="shared" si="5"/>
        <v>0.99239467712469465</v>
      </c>
      <c r="Q31" s="77">
        <f t="shared" si="7"/>
        <v>-0.21566279665757129</v>
      </c>
      <c r="R31" s="1"/>
    </row>
    <row r="32" spans="2:18">
      <c r="G32" s="29"/>
      <c r="H32" s="29"/>
    </row>
    <row r="33" spans="2:18">
      <c r="B33" s="539" t="s">
        <v>171</v>
      </c>
      <c r="C33" s="18" t="s">
        <v>106</v>
      </c>
      <c r="D33" s="1" t="s">
        <v>19</v>
      </c>
      <c r="E33" s="1">
        <f>Anchoveta!H124+'Sardina comun'!H124</f>
        <v>243.76000000000005</v>
      </c>
      <c r="F33" s="2">
        <f t="shared" ref="F33:F42" si="11">E33*0.4</f>
        <v>97.504000000000019</v>
      </c>
      <c r="G33" s="28">
        <f>Anchoveta!I124</f>
        <v>116.914</v>
      </c>
      <c r="H33" s="28">
        <f>'Sardina comun'!I124</f>
        <v>85.38300000000001</v>
      </c>
      <c r="I33" s="1">
        <f>G33+H33</f>
        <v>202.29700000000003</v>
      </c>
      <c r="J33" s="1">
        <f>Anchoveta!J124+'Sardina comun'!J124</f>
        <v>0</v>
      </c>
      <c r="K33" s="1">
        <f>Anchoveta!K124</f>
        <v>17.621000000000024</v>
      </c>
      <c r="L33" s="1">
        <f>'Sardina comun'!K124</f>
        <v>23.842000000000013</v>
      </c>
      <c r="M33" s="1">
        <f>K33+L33</f>
        <v>41.463000000000036</v>
      </c>
      <c r="N33" s="39" t="str">
        <f t="shared" ref="N33:N42" si="12">IF(K33&lt;0,K33,IF(K33&lt;0,L33,IF(L33&lt;0,L33,IF(L33&gt;0,"0","0"))))</f>
        <v>0</v>
      </c>
      <c r="O33" s="33"/>
      <c r="P33" s="77">
        <f t="shared" si="5"/>
        <v>0.82990236297998021</v>
      </c>
      <c r="Q33" s="77">
        <f t="shared" si="7"/>
        <v>0</v>
      </c>
      <c r="R33" s="1"/>
    </row>
    <row r="34" spans="2:18">
      <c r="B34" s="539"/>
      <c r="C34" s="18" t="s">
        <v>107</v>
      </c>
      <c r="D34" s="25" t="s">
        <v>19</v>
      </c>
      <c r="E34" s="1">
        <f>Anchoveta!H125+'Sardina comun'!H125</f>
        <v>2926.1470000000004</v>
      </c>
      <c r="F34" s="2">
        <f t="shared" si="11"/>
        <v>1170.4588000000001</v>
      </c>
      <c r="G34" s="28">
        <f>Anchoveta!I125</f>
        <v>2005.3140000000001</v>
      </c>
      <c r="H34" s="28">
        <f>'Sardina comun'!I125</f>
        <v>412.88399999999996</v>
      </c>
      <c r="I34" s="1">
        <f t="shared" ref="I34:I42" si="13">G34+H34</f>
        <v>2418.1979999999999</v>
      </c>
      <c r="J34" s="1">
        <f>Anchoveta!J125+'Sardina comun'!J125</f>
        <v>0</v>
      </c>
      <c r="K34" s="1">
        <f>Anchoveta!K125</f>
        <v>72.656000000000176</v>
      </c>
      <c r="L34" s="1">
        <f>'Sardina comun'!K125</f>
        <v>435.29300000000018</v>
      </c>
      <c r="M34" s="1">
        <f t="shared" ref="M34:M42" si="14">K34+L34</f>
        <v>507.94900000000035</v>
      </c>
      <c r="N34" s="39" t="str">
        <f t="shared" si="12"/>
        <v>0</v>
      </c>
      <c r="O34" s="133"/>
      <c r="P34" s="77">
        <f t="shared" si="5"/>
        <v>0.82641029312607994</v>
      </c>
      <c r="Q34" s="77">
        <f t="shared" si="7"/>
        <v>0</v>
      </c>
      <c r="R34" s="1"/>
    </row>
    <row r="35" spans="2:18">
      <c r="B35" s="539"/>
      <c r="C35" s="18" t="s">
        <v>108</v>
      </c>
      <c r="D35" s="25" t="s">
        <v>19</v>
      </c>
      <c r="E35" s="1">
        <f>Anchoveta!H126+'Sardina comun'!H126</f>
        <v>1970.0709999999999</v>
      </c>
      <c r="F35" s="2">
        <f t="shared" si="11"/>
        <v>788.02840000000003</v>
      </c>
      <c r="G35" s="28">
        <f>Anchoveta!I126</f>
        <v>1000.58</v>
      </c>
      <c r="H35" s="28">
        <f>'Sardina comun'!I126</f>
        <v>198.94499999999999</v>
      </c>
      <c r="I35" s="1">
        <f t="shared" si="13"/>
        <v>1199.5250000000001</v>
      </c>
      <c r="J35" s="1">
        <f>Anchoveta!J126+'Sardina comun'!J126</f>
        <v>0</v>
      </c>
      <c r="K35" s="1">
        <f>Anchoveta!K126</f>
        <v>174.24799999999993</v>
      </c>
      <c r="L35" s="1">
        <f>'Sardina comun'!K126</f>
        <v>596.298</v>
      </c>
      <c r="M35" s="1">
        <f t="shared" si="14"/>
        <v>770.54599999999994</v>
      </c>
      <c r="N35" s="39" t="str">
        <f t="shared" si="12"/>
        <v>0</v>
      </c>
      <c r="O35" s="1"/>
      <c r="P35" s="77">
        <f t="shared" si="5"/>
        <v>0.60887399489663074</v>
      </c>
      <c r="Q35" s="77">
        <f t="shared" si="7"/>
        <v>0</v>
      </c>
      <c r="R35" s="1"/>
    </row>
    <row r="36" spans="2:18">
      <c r="B36" s="539"/>
      <c r="C36" s="18" t="s">
        <v>109</v>
      </c>
      <c r="D36" s="25" t="s">
        <v>19</v>
      </c>
      <c r="E36" s="1">
        <f>Anchoveta!H127+'Sardina comun'!H127</f>
        <v>55.519999999999868</v>
      </c>
      <c r="F36" s="2">
        <f t="shared" si="11"/>
        <v>22.207999999999949</v>
      </c>
      <c r="G36" s="28">
        <f>Anchoveta!I127</f>
        <v>0</v>
      </c>
      <c r="H36" s="28">
        <f>'Sardina comun'!I127</f>
        <v>0</v>
      </c>
      <c r="I36" s="1">
        <f t="shared" si="13"/>
        <v>0</v>
      </c>
      <c r="J36" s="1">
        <f>Anchoveta!J127+'Sardina comun'!J127</f>
        <v>0</v>
      </c>
      <c r="K36" s="1">
        <f>Anchoveta!K127</f>
        <v>35.506999999999948</v>
      </c>
      <c r="L36" s="1">
        <f>'Sardina comun'!K127</f>
        <v>20.01299999999992</v>
      </c>
      <c r="M36" s="1">
        <f t="shared" si="14"/>
        <v>55.519999999999868</v>
      </c>
      <c r="N36" s="39" t="str">
        <f t="shared" si="12"/>
        <v>0</v>
      </c>
      <c r="O36" s="1"/>
      <c r="P36" s="77">
        <f t="shared" si="5"/>
        <v>0</v>
      </c>
      <c r="Q36" s="77">
        <f t="shared" si="7"/>
        <v>0</v>
      </c>
      <c r="R36" s="1"/>
    </row>
    <row r="37" spans="2:18">
      <c r="B37" s="539"/>
      <c r="C37" s="18" t="s">
        <v>110</v>
      </c>
      <c r="D37" s="25" t="s">
        <v>19</v>
      </c>
      <c r="E37" s="1">
        <f>Anchoveta!H128+'Sardina comun'!H128</f>
        <v>474.65400000000011</v>
      </c>
      <c r="F37" s="2">
        <f t="shared" si="11"/>
        <v>189.86160000000007</v>
      </c>
      <c r="G37" s="28">
        <f>Anchoveta!I128</f>
        <v>203.60199999999998</v>
      </c>
      <c r="H37" s="28">
        <f>'Sardina comun'!I128</f>
        <v>128.11199999999999</v>
      </c>
      <c r="I37" s="1">
        <f t="shared" si="13"/>
        <v>331.71399999999994</v>
      </c>
      <c r="J37" s="1">
        <f>Anchoveta!J128+'Sardina comun'!J128</f>
        <v>0</v>
      </c>
      <c r="K37" s="1">
        <f>Anchoveta!K128</f>
        <v>33.434000000000083</v>
      </c>
      <c r="L37" s="1">
        <f>'Sardina comun'!K128</f>
        <v>109.50600000000006</v>
      </c>
      <c r="M37" s="1">
        <f t="shared" si="14"/>
        <v>142.94000000000014</v>
      </c>
      <c r="N37" s="39" t="str">
        <f t="shared" si="12"/>
        <v>0</v>
      </c>
      <c r="O37" s="1"/>
      <c r="P37" s="77">
        <f t="shared" si="5"/>
        <v>0.69885432335975228</v>
      </c>
      <c r="Q37" s="77">
        <f t="shared" si="7"/>
        <v>0</v>
      </c>
      <c r="R37" s="1"/>
    </row>
    <row r="38" spans="2:18">
      <c r="B38" s="539"/>
      <c r="C38" s="18" t="s">
        <v>111</v>
      </c>
      <c r="D38" s="25" t="s">
        <v>19</v>
      </c>
      <c r="E38" s="1">
        <f>Anchoveta!H129+'Sardina comun'!H129</f>
        <v>9.4619999999999891</v>
      </c>
      <c r="F38" s="2">
        <f t="shared" si="11"/>
        <v>3.7847999999999957</v>
      </c>
      <c r="G38" s="28">
        <f>Anchoveta!I129</f>
        <v>0</v>
      </c>
      <c r="H38" s="28">
        <f>'Sardina comun'!I129</f>
        <v>0</v>
      </c>
      <c r="I38" s="1">
        <f t="shared" si="13"/>
        <v>0</v>
      </c>
      <c r="J38" s="1">
        <f>Anchoveta!J129+'Sardina comun'!J129</f>
        <v>0</v>
      </c>
      <c r="K38" s="1">
        <f>Anchoveta!K129</f>
        <v>9.4220000000000255</v>
      </c>
      <c r="L38" s="1">
        <f>'Sardina comun'!K129</f>
        <v>3.999999999996362E-2</v>
      </c>
      <c r="M38" s="1">
        <f t="shared" si="14"/>
        <v>9.4619999999999891</v>
      </c>
      <c r="N38" s="39" t="str">
        <f t="shared" si="12"/>
        <v>0</v>
      </c>
      <c r="O38" s="33"/>
      <c r="P38" s="77">
        <f t="shared" si="5"/>
        <v>0</v>
      </c>
      <c r="Q38" s="77">
        <f t="shared" si="7"/>
        <v>0</v>
      </c>
      <c r="R38" s="1"/>
    </row>
    <row r="39" spans="2:18">
      <c r="B39" s="539"/>
      <c r="C39" s="18" t="s">
        <v>112</v>
      </c>
      <c r="D39" s="25" t="s">
        <v>19</v>
      </c>
      <c r="E39" s="1">
        <f>Anchoveta!H130+'Sardina comun'!H130</f>
        <v>0.56700000000000728</v>
      </c>
      <c r="F39" s="2">
        <f t="shared" si="11"/>
        <v>0.22680000000000292</v>
      </c>
      <c r="G39" s="28">
        <f>Anchoveta!I130</f>
        <v>0</v>
      </c>
      <c r="H39" s="28">
        <f>'Sardina comun'!I130</f>
        <v>0</v>
      </c>
      <c r="I39" s="1">
        <f t="shared" si="13"/>
        <v>0</v>
      </c>
      <c r="J39" s="1">
        <f>Anchoveta!J130+'Sardina comun'!J130</f>
        <v>0</v>
      </c>
      <c r="K39" s="1">
        <f>Anchoveta!K130</f>
        <v>0.27800000000002001</v>
      </c>
      <c r="L39" s="1">
        <f>'Sardina comun'!K130</f>
        <v>0.28899999999998727</v>
      </c>
      <c r="M39" s="1">
        <f t="shared" si="14"/>
        <v>0.56700000000000728</v>
      </c>
      <c r="N39" s="39" t="str">
        <f t="shared" si="12"/>
        <v>0</v>
      </c>
      <c r="O39" s="33">
        <f>Anchoveta!M130</f>
        <v>44818</v>
      </c>
      <c r="P39" s="77">
        <f t="shared" si="5"/>
        <v>0</v>
      </c>
      <c r="Q39" s="77">
        <f t="shared" si="7"/>
        <v>0</v>
      </c>
      <c r="R39" s="1"/>
    </row>
    <row r="40" spans="2:18">
      <c r="B40" s="539"/>
      <c r="C40" s="18" t="s">
        <v>113</v>
      </c>
      <c r="D40" s="25" t="s">
        <v>19</v>
      </c>
      <c r="E40" s="1">
        <f>Anchoveta!H131+'Sardina comun'!H131</f>
        <v>838.09500000000025</v>
      </c>
      <c r="F40" s="2">
        <f t="shared" si="11"/>
        <v>335.23800000000011</v>
      </c>
      <c r="G40" s="28">
        <f>Anchoveta!I131</f>
        <v>378.14399999999995</v>
      </c>
      <c r="H40" s="28">
        <f>'Sardina comun'!I131</f>
        <v>225.80399999999997</v>
      </c>
      <c r="I40" s="1">
        <f t="shared" si="13"/>
        <v>603.94799999999987</v>
      </c>
      <c r="J40" s="1">
        <f>Anchoveta!J131+'Sardina comun'!J131</f>
        <v>0</v>
      </c>
      <c r="K40" s="1">
        <f>Anchoveta!K131</f>
        <v>151.41200000000009</v>
      </c>
      <c r="L40" s="1">
        <f>'Sardina comun'!K131</f>
        <v>82.735000000000241</v>
      </c>
      <c r="M40" s="1">
        <f t="shared" si="14"/>
        <v>234.14700000000033</v>
      </c>
      <c r="N40" s="39" t="str">
        <f t="shared" si="12"/>
        <v>0</v>
      </c>
      <c r="O40" s="1"/>
      <c r="P40" s="77">
        <f t="shared" si="5"/>
        <v>0.72061997744885686</v>
      </c>
      <c r="Q40" s="77">
        <f t="shared" si="7"/>
        <v>0</v>
      </c>
      <c r="R40" s="1"/>
    </row>
    <row r="41" spans="2:18">
      <c r="B41" s="539"/>
      <c r="C41" s="18" t="s">
        <v>114</v>
      </c>
      <c r="D41" s="25" t="s">
        <v>19</v>
      </c>
      <c r="E41" s="1">
        <f>Anchoveta!H132+'Sardina comun'!H132</f>
        <v>310.68600000000004</v>
      </c>
      <c r="F41" s="2">
        <f t="shared" si="11"/>
        <v>124.27440000000001</v>
      </c>
      <c r="G41" s="28">
        <f>Anchoveta!I132</f>
        <v>255.02800000000002</v>
      </c>
      <c r="H41" s="28">
        <f>'Sardina comun'!I132</f>
        <v>2.0169999999999999</v>
      </c>
      <c r="I41" s="1">
        <f t="shared" si="13"/>
        <v>257.04500000000002</v>
      </c>
      <c r="J41" s="1">
        <f>Anchoveta!J132+'Sardina comun'!J132</f>
        <v>0</v>
      </c>
      <c r="K41" s="1">
        <f>Anchoveta!K132</f>
        <v>25.375999999999976</v>
      </c>
      <c r="L41" s="1">
        <f>'Sardina comun'!K132</f>
        <v>28.26500000000004</v>
      </c>
      <c r="M41" s="1">
        <f t="shared" si="14"/>
        <v>53.64100000000002</v>
      </c>
      <c r="N41" s="39" t="str">
        <f t="shared" si="12"/>
        <v>0</v>
      </c>
      <c r="O41" s="1"/>
      <c r="P41" s="77">
        <f t="shared" si="5"/>
        <v>0.82734658143591921</v>
      </c>
      <c r="Q41" s="77">
        <f t="shared" si="7"/>
        <v>0</v>
      </c>
      <c r="R41" s="1"/>
    </row>
    <row r="42" spans="2:18">
      <c r="B42" s="539"/>
      <c r="C42" s="18" t="s">
        <v>115</v>
      </c>
      <c r="D42" s="25" t="s">
        <v>19</v>
      </c>
      <c r="E42" s="1">
        <f>Anchoveta!H133+'Sardina comun'!H133</f>
        <v>596.16100000000006</v>
      </c>
      <c r="F42" s="2">
        <f t="shared" si="11"/>
        <v>238.46440000000004</v>
      </c>
      <c r="G42" s="28">
        <f>Anchoveta!I133</f>
        <v>367.28100000000006</v>
      </c>
      <c r="H42" s="28">
        <f>'Sardina comun'!I133</f>
        <v>445.59999999999997</v>
      </c>
      <c r="I42" s="1">
        <f t="shared" si="13"/>
        <v>812.88100000000009</v>
      </c>
      <c r="J42" s="1">
        <f>Anchoveta!J133+'Sardina comun'!J133</f>
        <v>0</v>
      </c>
      <c r="K42" s="1">
        <f>Anchoveta!K133</f>
        <v>-150.44900000000007</v>
      </c>
      <c r="L42" s="1">
        <f>'Sardina comun'!K133</f>
        <v>-66.270999999999958</v>
      </c>
      <c r="M42" s="1">
        <f t="shared" si="14"/>
        <v>-216.72000000000003</v>
      </c>
      <c r="N42" s="39">
        <f t="shared" si="12"/>
        <v>-150.44900000000007</v>
      </c>
      <c r="O42" s="33">
        <f>Anchoveta!M133</f>
        <v>44897</v>
      </c>
      <c r="P42" s="77">
        <f t="shared" si="5"/>
        <v>1.3635259602691219</v>
      </c>
      <c r="Q42" s="77">
        <f t="shared" si="7"/>
        <v>-0.25236303615969519</v>
      </c>
      <c r="R42" s="1"/>
    </row>
  </sheetData>
  <mergeCells count="6">
    <mergeCell ref="B6:B11"/>
    <mergeCell ref="B15:B17"/>
    <mergeCell ref="B21:B31"/>
    <mergeCell ref="B33:B42"/>
    <mergeCell ref="B2:Q2"/>
    <mergeCell ref="B3:Q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85"/>
  <sheetViews>
    <sheetView topLeftCell="D53" workbookViewId="0">
      <selection activeCell="M85" sqref="M85"/>
    </sheetView>
  </sheetViews>
  <sheetFormatPr baseColWidth="10" defaultRowHeight="15"/>
  <cols>
    <col min="1" max="1" width="4" bestFit="1" customWidth="1"/>
    <col min="2" max="2" width="10.42578125" bestFit="1" customWidth="1"/>
    <col min="3" max="3" width="51.140625" customWidth="1"/>
    <col min="4" max="4" width="11.85546875" bestFit="1" customWidth="1"/>
    <col min="5" max="5" width="12.28515625" bestFit="1" customWidth="1"/>
    <col min="6" max="6" width="11.140625" bestFit="1" customWidth="1"/>
    <col min="7" max="7" width="10.42578125" bestFit="1" customWidth="1"/>
    <col min="8" max="8" width="7.85546875" bestFit="1" customWidth="1"/>
    <col min="9" max="9" width="9" bestFit="1" customWidth="1"/>
    <col min="10" max="10" width="10.28515625" bestFit="1" customWidth="1"/>
    <col min="11" max="11" width="10.42578125" bestFit="1" customWidth="1"/>
    <col min="12" max="12" width="19.42578125" bestFit="1" customWidth="1"/>
    <col min="13" max="13" width="14.42578125" bestFit="1" customWidth="1"/>
    <col min="14" max="14" width="11" bestFit="1" customWidth="1"/>
    <col min="15" max="15" width="16.85546875" bestFit="1" customWidth="1"/>
    <col min="16" max="16" width="11.28515625" bestFit="1" customWidth="1"/>
    <col min="17" max="17" width="7.28515625" bestFit="1" customWidth="1"/>
  </cols>
  <sheetData>
    <row r="2" spans="1:17">
      <c r="B2" s="545" t="s">
        <v>308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</row>
    <row r="3" spans="1:17" s="11" customFormat="1">
      <c r="B3" s="542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</row>
    <row r="5" spans="1:17" ht="45">
      <c r="B5" s="19" t="s">
        <v>46</v>
      </c>
      <c r="C5" s="19" t="s">
        <v>35</v>
      </c>
      <c r="D5" s="19" t="s">
        <v>0</v>
      </c>
      <c r="E5" s="19" t="s">
        <v>140</v>
      </c>
      <c r="F5" s="19" t="s">
        <v>323</v>
      </c>
      <c r="G5" s="19" t="s">
        <v>157</v>
      </c>
      <c r="H5" s="19" t="s">
        <v>158</v>
      </c>
      <c r="I5" s="19" t="s">
        <v>293</v>
      </c>
      <c r="J5" s="19" t="s">
        <v>297</v>
      </c>
      <c r="K5" s="19" t="s">
        <v>165</v>
      </c>
      <c r="L5" s="19" t="s">
        <v>160</v>
      </c>
      <c r="M5" s="19" t="s">
        <v>295</v>
      </c>
      <c r="N5" s="19" t="s">
        <v>296</v>
      </c>
      <c r="O5" s="19" t="s">
        <v>162</v>
      </c>
      <c r="P5" s="19" t="s">
        <v>163</v>
      </c>
      <c r="Q5" s="19" t="s">
        <v>164</v>
      </c>
    </row>
    <row r="6" spans="1:17">
      <c r="A6" s="51">
        <v>1</v>
      </c>
      <c r="B6" s="544" t="s">
        <v>183</v>
      </c>
      <c r="C6" s="15" t="s">
        <v>47</v>
      </c>
      <c r="D6" s="1" t="s">
        <v>19</v>
      </c>
      <c r="E6" s="1">
        <f>Anchoveta!H23+'Sardina comun'!H23</f>
        <v>245.61200000000002</v>
      </c>
      <c r="F6" s="2">
        <f>E6*0.4</f>
        <v>98.244800000000012</v>
      </c>
      <c r="G6" s="174">
        <f>Anchoveta!I23</f>
        <v>24.950998443603517</v>
      </c>
      <c r="H6" s="174">
        <f>'Sardina comun'!I23</f>
        <v>215.42600062561033</v>
      </c>
      <c r="I6" s="174">
        <f>G6+H6</f>
        <v>240.37699906921384</v>
      </c>
      <c r="J6" s="174">
        <f>Anchoveta!J23+'Sardina comun'!J23</f>
        <v>0</v>
      </c>
      <c r="K6" s="1">
        <f>Anchoveta!K23</f>
        <v>55.568001556396489</v>
      </c>
      <c r="L6" s="1">
        <f>'Sardina comun'!K23</f>
        <v>-50.33300062561031</v>
      </c>
      <c r="M6" s="1">
        <f>K6+L6</f>
        <v>5.2350009307861782</v>
      </c>
      <c r="N6" s="26">
        <f>IF(K6&lt;0,K6,IF(K6&lt;0,L6,IF(L6&lt;0,L6,IF(L6&gt;0,"0","0"))))</f>
        <v>-50.33300062561031</v>
      </c>
      <c r="O6" s="124" t="s">
        <v>284</v>
      </c>
      <c r="P6" s="6">
        <f>(I6+J6)/E6</f>
        <v>0.97868589103632486</v>
      </c>
      <c r="Q6" s="3">
        <f>N6/E6</f>
        <v>-0.204928914815279</v>
      </c>
    </row>
    <row r="7" spans="1:17">
      <c r="A7" s="51">
        <v>2</v>
      </c>
      <c r="B7" s="544"/>
      <c r="C7" s="15" t="s">
        <v>172</v>
      </c>
      <c r="D7" s="1" t="s">
        <v>19</v>
      </c>
      <c r="E7" s="1">
        <f>Anchoveta!H24+'Sardina comun'!H24</f>
        <v>376.88</v>
      </c>
      <c r="F7" s="2">
        <f t="shared" ref="F7:F70" si="0">E7*0.4</f>
        <v>150.75200000000001</v>
      </c>
      <c r="G7" s="174">
        <f>Anchoveta!I24</f>
        <v>0</v>
      </c>
      <c r="H7" s="174">
        <f>'Sardina comun'!I24</f>
        <v>290.10900000000004</v>
      </c>
      <c r="I7" s="174">
        <f t="shared" ref="I7:I71" si="1">G7+H7</f>
        <v>290.10900000000004</v>
      </c>
      <c r="J7" s="174">
        <f>Anchoveta!J24+'Sardina comun'!J24</f>
        <v>0</v>
      </c>
      <c r="K7" s="1">
        <f>Anchoveta!K24</f>
        <v>91.919999999999987</v>
      </c>
      <c r="L7" s="1">
        <f>'Sardina comun'!K24</f>
        <v>-5.1490000000000578</v>
      </c>
      <c r="M7" s="1">
        <f t="shared" ref="M7:M71" si="2">K7+L7</f>
        <v>86.77099999999993</v>
      </c>
      <c r="N7" s="39">
        <f t="shared" ref="N7:N71" si="3">IF(K7&lt;0,K7,IF(K7&lt;0,L7,IF(L7&lt;0,L7,IF(L7&gt;0,"0","0"))))</f>
        <v>-5.1490000000000578</v>
      </c>
      <c r="O7" s="124" t="s">
        <v>284</v>
      </c>
      <c r="P7" s="6">
        <f t="shared" ref="P7:P71" si="4">(I7+J7)/E7</f>
        <v>0.76976491190829988</v>
      </c>
      <c r="Q7" s="3">
        <f t="shared" ref="Q7:Q71" si="5">N7/E7</f>
        <v>-1.3662173636170817E-2</v>
      </c>
    </row>
    <row r="8" spans="1:17">
      <c r="A8" s="51">
        <v>3</v>
      </c>
      <c r="B8" s="544"/>
      <c r="C8" s="15" t="s">
        <v>48</v>
      </c>
      <c r="D8" s="25" t="s">
        <v>19</v>
      </c>
      <c r="E8" s="1">
        <f>Anchoveta!H25+'Sardina comun'!H25</f>
        <v>1119.4030000000002</v>
      </c>
      <c r="F8" s="2">
        <f t="shared" si="0"/>
        <v>447.76120000000014</v>
      </c>
      <c r="G8" s="174">
        <f>Anchoveta!I25</f>
        <v>120.3430000002384</v>
      </c>
      <c r="H8" s="174">
        <f>'Sardina comun'!I25</f>
        <v>433.49399999973173</v>
      </c>
      <c r="I8" s="174">
        <f t="shared" si="1"/>
        <v>553.83699999997009</v>
      </c>
      <c r="J8" s="174">
        <f>Anchoveta!J25+'Sardina comun'!J25</f>
        <v>0</v>
      </c>
      <c r="K8" s="1">
        <f>Anchoveta!K25</f>
        <v>319.94799999976163</v>
      </c>
      <c r="L8" s="1">
        <f>'Sardina comun'!K25</f>
        <v>245.61800000026835</v>
      </c>
      <c r="M8" s="1">
        <f t="shared" si="2"/>
        <v>565.56600000003004</v>
      </c>
      <c r="N8" s="39" t="str">
        <f t="shared" si="3"/>
        <v>0</v>
      </c>
      <c r="O8" s="175" t="s">
        <v>284</v>
      </c>
      <c r="P8" s="6">
        <f t="shared" si="4"/>
        <v>0.49476104673649257</v>
      </c>
      <c r="Q8" s="3">
        <f t="shared" si="5"/>
        <v>0</v>
      </c>
    </row>
    <row r="9" spans="1:17">
      <c r="A9" s="51">
        <v>4</v>
      </c>
      <c r="B9" s="544"/>
      <c r="C9" s="15" t="s">
        <v>49</v>
      </c>
      <c r="D9" s="25" t="s">
        <v>19</v>
      </c>
      <c r="E9" s="1">
        <f>Anchoveta!H26+'Sardina comun'!H26</f>
        <v>3095.7160000000003</v>
      </c>
      <c r="F9" s="2">
        <f t="shared" si="0"/>
        <v>1238.2864000000002</v>
      </c>
      <c r="G9" s="174">
        <f>Anchoveta!I26</f>
        <v>1532.1050014648438</v>
      </c>
      <c r="H9" s="174">
        <f>'Sardina comun'!I26</f>
        <v>216.4290131835935</v>
      </c>
      <c r="I9" s="174">
        <f t="shared" si="1"/>
        <v>1748.5340146484373</v>
      </c>
      <c r="J9" s="174">
        <f>Anchoveta!J26+'Sardina comun'!J26</f>
        <v>0</v>
      </c>
      <c r="K9" s="1">
        <f>Anchoveta!K26</f>
        <v>755.0989985351564</v>
      </c>
      <c r="L9" s="1">
        <f>'Sardina comun'!K26</f>
        <v>592.08298681640667</v>
      </c>
      <c r="M9" s="1">
        <f t="shared" si="2"/>
        <v>1347.1819853515631</v>
      </c>
      <c r="N9" s="39" t="str">
        <f t="shared" si="3"/>
        <v>0</v>
      </c>
      <c r="O9" s="175" t="s">
        <v>284</v>
      </c>
      <c r="P9" s="6">
        <f t="shared" si="4"/>
        <v>0.56482378055623872</v>
      </c>
      <c r="Q9" s="3">
        <f t="shared" si="5"/>
        <v>0</v>
      </c>
    </row>
    <row r="10" spans="1:17">
      <c r="A10" s="51">
        <v>5</v>
      </c>
      <c r="B10" s="544"/>
      <c r="C10" s="15" t="s">
        <v>50</v>
      </c>
      <c r="D10" s="25" t="s">
        <v>19</v>
      </c>
      <c r="E10" s="1">
        <f>Anchoveta!H27+'Sardina comun'!H27</f>
        <v>2534.4200000000005</v>
      </c>
      <c r="F10" s="2">
        <f t="shared" si="0"/>
        <v>1013.7680000000003</v>
      </c>
      <c r="G10" s="174">
        <f>Anchoveta!I27</f>
        <v>0</v>
      </c>
      <c r="H10" s="174">
        <f>'Sardina comun'!I27</f>
        <v>0</v>
      </c>
      <c r="I10" s="174">
        <f t="shared" si="1"/>
        <v>0</v>
      </c>
      <c r="J10" s="174">
        <f>Anchoveta!J27+'Sardina comun'!J27</f>
        <v>0</v>
      </c>
      <c r="K10" s="1">
        <f>Anchoveta!K27</f>
        <v>81.34900000000016</v>
      </c>
      <c r="L10" s="1">
        <f>'Sardina comun'!K27</f>
        <v>2453.0710000000004</v>
      </c>
      <c r="M10" s="1">
        <f t="shared" si="2"/>
        <v>2534.4200000000005</v>
      </c>
      <c r="N10" s="39" t="str">
        <f t="shared" si="3"/>
        <v>0</v>
      </c>
      <c r="O10" s="124" t="str">
        <f>Anchoveta!M27</f>
        <v>-</v>
      </c>
      <c r="P10" s="6">
        <f t="shared" si="4"/>
        <v>0</v>
      </c>
      <c r="Q10" s="3">
        <f t="shared" si="5"/>
        <v>0</v>
      </c>
    </row>
    <row r="11" spans="1:17">
      <c r="A11" s="51">
        <v>6</v>
      </c>
      <c r="B11" s="544"/>
      <c r="C11" s="15" t="s">
        <v>51</v>
      </c>
      <c r="D11" s="25" t="s">
        <v>19</v>
      </c>
      <c r="E11" s="1">
        <f>Anchoveta!H28+'Sardina comun'!H28</f>
        <v>8648.5240000000013</v>
      </c>
      <c r="F11" s="2">
        <f t="shared" si="0"/>
        <v>3459.4096000000009</v>
      </c>
      <c r="G11" s="174">
        <f>Anchoveta!I28</f>
        <v>2855.4339397277831</v>
      </c>
      <c r="H11" s="174">
        <f>'Sardina comun'!I28</f>
        <v>1590.0200385742187</v>
      </c>
      <c r="I11" s="174">
        <f t="shared" si="1"/>
        <v>4445.4539783020018</v>
      </c>
      <c r="J11" s="174">
        <f>Anchoveta!J28+'Sardina comun'!J28</f>
        <v>0</v>
      </c>
      <c r="K11" s="1">
        <f>Anchoveta!K28</f>
        <v>495.73106027221684</v>
      </c>
      <c r="L11" s="1">
        <f>'Sardina comun'!K28</f>
        <v>3707.3389614257817</v>
      </c>
      <c r="M11" s="1">
        <f t="shared" si="2"/>
        <v>4203.0700216979985</v>
      </c>
      <c r="N11" s="39" t="str">
        <f t="shared" si="3"/>
        <v>0</v>
      </c>
      <c r="O11" s="175" t="s">
        <v>284</v>
      </c>
      <c r="P11" s="6">
        <f t="shared" si="4"/>
        <v>0.51401302445388386</v>
      </c>
      <c r="Q11" s="3">
        <f t="shared" si="5"/>
        <v>0</v>
      </c>
    </row>
    <row r="12" spans="1:17">
      <c r="A12" s="51">
        <v>7</v>
      </c>
      <c r="B12" s="544"/>
      <c r="C12" s="15" t="s">
        <v>52</v>
      </c>
      <c r="D12" s="25" t="s">
        <v>19</v>
      </c>
      <c r="E12" s="1">
        <f>Anchoveta!H29+'Sardina comun'!H29</f>
        <v>15866.118</v>
      </c>
      <c r="F12" s="2">
        <f t="shared" si="0"/>
        <v>6346.4472000000005</v>
      </c>
      <c r="G12" s="174">
        <f>Anchoveta!I29</f>
        <v>5471.6710043745043</v>
      </c>
      <c r="H12" s="174">
        <f>'Sardina comun'!I29</f>
        <v>4407.5309932517994</v>
      </c>
      <c r="I12" s="174">
        <f t="shared" si="1"/>
        <v>9879.2019976263036</v>
      </c>
      <c r="J12" s="174">
        <f>Anchoveta!J29+'Sardina comun'!J29</f>
        <v>0</v>
      </c>
      <c r="K12" s="1">
        <f>Anchoveta!K29</f>
        <v>542.57999562549594</v>
      </c>
      <c r="L12" s="1">
        <f>'Sardina comun'!K29</f>
        <v>5444.3360067482008</v>
      </c>
      <c r="M12" s="1">
        <f t="shared" si="2"/>
        <v>5986.9160023736968</v>
      </c>
      <c r="N12" s="39" t="str">
        <f t="shared" si="3"/>
        <v>0</v>
      </c>
      <c r="O12" s="175" t="s">
        <v>284</v>
      </c>
      <c r="P12" s="6">
        <f t="shared" si="4"/>
        <v>0.62266031285197199</v>
      </c>
      <c r="Q12" s="3">
        <f t="shared" si="5"/>
        <v>0</v>
      </c>
    </row>
    <row r="13" spans="1:17">
      <c r="A13" s="51">
        <v>8</v>
      </c>
      <c r="B13" s="544"/>
      <c r="C13" s="15" t="s">
        <v>53</v>
      </c>
      <c r="D13" s="25" t="s">
        <v>19</v>
      </c>
      <c r="E13" s="1">
        <f>Anchoveta!H30+'Sardina comun'!H30</f>
        <v>5671.3670000000002</v>
      </c>
      <c r="F13" s="2">
        <f t="shared" si="0"/>
        <v>2268.5468000000001</v>
      </c>
      <c r="G13" s="174">
        <f>Anchoveta!I30</f>
        <v>1876.7959897484784</v>
      </c>
      <c r="H13" s="174">
        <f>'Sardina comun'!I30</f>
        <v>1703.8279972839357</v>
      </c>
      <c r="I13" s="174">
        <f t="shared" si="1"/>
        <v>3580.6239870324143</v>
      </c>
      <c r="J13" s="174">
        <f>Anchoveta!J30+'Sardina comun'!J30</f>
        <v>0</v>
      </c>
      <c r="K13" s="1">
        <f>Anchoveta!K30</f>
        <v>398.5200102515214</v>
      </c>
      <c r="L13" s="1">
        <f>'Sardina comun'!K30</f>
        <v>1692.2230027160642</v>
      </c>
      <c r="M13" s="1">
        <f t="shared" si="2"/>
        <v>2090.7430129675859</v>
      </c>
      <c r="N13" s="39" t="str">
        <f t="shared" si="3"/>
        <v>0</v>
      </c>
      <c r="O13" s="124" t="s">
        <v>284</v>
      </c>
      <c r="P13" s="6">
        <f t="shared" si="4"/>
        <v>0.6313511340444754</v>
      </c>
      <c r="Q13" s="3">
        <f t="shared" si="5"/>
        <v>0</v>
      </c>
    </row>
    <row r="14" spans="1:17">
      <c r="A14" s="51">
        <v>9</v>
      </c>
      <c r="B14" s="544"/>
      <c r="C14" s="15" t="s">
        <v>54</v>
      </c>
      <c r="D14" s="25" t="s">
        <v>19</v>
      </c>
      <c r="E14" s="1">
        <f>Anchoveta!H31+'Sardina comun'!H31</f>
        <v>5994.0329999999994</v>
      </c>
      <c r="F14" s="2">
        <f t="shared" si="0"/>
        <v>2397.6131999999998</v>
      </c>
      <c r="G14" s="174">
        <f>Anchoveta!I31</f>
        <v>2682.5519999999997</v>
      </c>
      <c r="H14" s="174">
        <f>'Sardina comun'!I31</f>
        <v>105.51000000000002</v>
      </c>
      <c r="I14" s="174">
        <f t="shared" si="1"/>
        <v>2788.0619999999999</v>
      </c>
      <c r="J14" s="174">
        <f>Anchoveta!J31+'Sardina comun'!J31</f>
        <v>0</v>
      </c>
      <c r="K14" s="1">
        <f>Anchoveta!K31</f>
        <v>-413.86499999999978</v>
      </c>
      <c r="L14" s="1">
        <f>'Sardina comun'!K31</f>
        <v>3619.8359999999998</v>
      </c>
      <c r="M14" s="1">
        <f t="shared" si="2"/>
        <v>3205.971</v>
      </c>
      <c r="N14" s="39">
        <f t="shared" si="3"/>
        <v>-413.86499999999978</v>
      </c>
      <c r="O14" s="175" t="s">
        <v>284</v>
      </c>
      <c r="P14" s="6">
        <f t="shared" si="4"/>
        <v>0.46513958131361643</v>
      </c>
      <c r="Q14" s="3">
        <f t="shared" si="5"/>
        <v>-6.9046166412497195E-2</v>
      </c>
    </row>
    <row r="15" spans="1:17">
      <c r="A15" s="51">
        <v>10</v>
      </c>
      <c r="B15" s="544"/>
      <c r="C15" s="15" t="s">
        <v>55</v>
      </c>
      <c r="D15" s="25" t="s">
        <v>19</v>
      </c>
      <c r="E15" s="1">
        <f>Anchoveta!H32+'Sardina comun'!H32</f>
        <v>430.44599999999997</v>
      </c>
      <c r="F15" s="2">
        <f t="shared" si="0"/>
        <v>172.17840000000001</v>
      </c>
      <c r="G15" s="174">
        <f>Anchoveta!I32</f>
        <v>209.56100053024292</v>
      </c>
      <c r="H15" s="174">
        <f>'Sardina comun'!I32</f>
        <v>129.94899985527994</v>
      </c>
      <c r="I15" s="174">
        <f t="shared" si="1"/>
        <v>339.51000038552286</v>
      </c>
      <c r="J15" s="174">
        <f>Anchoveta!J32+'Sardina comun'!J32</f>
        <v>0</v>
      </c>
      <c r="K15" s="1">
        <f>Anchoveta!K32</f>
        <v>39.417999469757063</v>
      </c>
      <c r="L15" s="1">
        <f>'Sardina comun'!K32</f>
        <v>51.518000144720048</v>
      </c>
      <c r="M15" s="1">
        <f t="shared" si="2"/>
        <v>90.935999614477112</v>
      </c>
      <c r="N15" s="39" t="str">
        <f t="shared" si="3"/>
        <v>0</v>
      </c>
      <c r="O15" s="124" t="str">
        <f>Anchoveta!M32</f>
        <v>-</v>
      </c>
      <c r="P15" s="6">
        <f t="shared" si="4"/>
        <v>0.78874005191248819</v>
      </c>
      <c r="Q15" s="3">
        <f t="shared" si="5"/>
        <v>0</v>
      </c>
    </row>
    <row r="16" spans="1:17">
      <c r="A16" s="51">
        <v>11</v>
      </c>
      <c r="B16" s="544"/>
      <c r="C16" s="15" t="s">
        <v>56</v>
      </c>
      <c r="D16" s="25" t="s">
        <v>19</v>
      </c>
      <c r="E16" s="1">
        <f>Anchoveta!H33+'Sardina comun'!H33</f>
        <v>6071.0259999999998</v>
      </c>
      <c r="F16" s="2">
        <f t="shared" si="0"/>
        <v>2428.4104000000002</v>
      </c>
      <c r="G16" s="174">
        <f>Anchoveta!I33</f>
        <v>2713.7510000000002</v>
      </c>
      <c r="H16" s="174">
        <f>'Sardina comun'!I33</f>
        <v>275.86899999999997</v>
      </c>
      <c r="I16" s="174">
        <f t="shared" si="1"/>
        <v>2989.6200000000003</v>
      </c>
      <c r="J16" s="174">
        <f>Anchoveta!J33+'Sardina comun'!J33</f>
        <v>1.7150000000000001</v>
      </c>
      <c r="K16" s="1">
        <f>Anchoveta!K33</f>
        <v>-297.85500000000002</v>
      </c>
      <c r="L16" s="1">
        <f>'Sardina comun'!K33</f>
        <v>3377.5460000000003</v>
      </c>
      <c r="M16" s="1">
        <f t="shared" si="2"/>
        <v>3079.6910000000003</v>
      </c>
      <c r="N16" s="39">
        <f t="shared" si="3"/>
        <v>-297.85500000000002</v>
      </c>
      <c r="O16" s="175" t="s">
        <v>284</v>
      </c>
      <c r="P16" s="6">
        <f t="shared" si="4"/>
        <v>0.49272314103085713</v>
      </c>
      <c r="Q16" s="3">
        <f t="shared" si="5"/>
        <v>-4.9061723669112933E-2</v>
      </c>
    </row>
    <row r="17" spans="1:17">
      <c r="A17" s="51">
        <v>12</v>
      </c>
      <c r="B17" s="544"/>
      <c r="C17" s="15" t="s">
        <v>276</v>
      </c>
      <c r="D17" s="25" t="s">
        <v>19</v>
      </c>
      <c r="E17" s="1">
        <f>Anchoveta!H34+'Sardina comun'!H34</f>
        <v>16224.618999999999</v>
      </c>
      <c r="F17" s="2">
        <f t="shared" si="0"/>
        <v>6489.8476000000001</v>
      </c>
      <c r="G17" s="174">
        <f>Anchoveta!I34</f>
        <v>6895.0530576171859</v>
      </c>
      <c r="H17" s="174">
        <f>'Sardina comun'!I34</f>
        <v>6500.25898538208</v>
      </c>
      <c r="I17" s="174">
        <f t="shared" si="1"/>
        <v>13395.312042999267</v>
      </c>
      <c r="J17" s="174">
        <f>Anchoveta!J34+'Sardina comun'!J34</f>
        <v>0</v>
      </c>
      <c r="K17" s="1">
        <f>Anchoveta!K34</f>
        <v>463.6469423828139</v>
      </c>
      <c r="L17" s="1">
        <f>'Sardina comun'!K34</f>
        <v>2365.6600146179198</v>
      </c>
      <c r="M17" s="1">
        <f t="shared" si="2"/>
        <v>2829.3069570007337</v>
      </c>
      <c r="N17" s="39" t="str">
        <f t="shared" si="3"/>
        <v>0</v>
      </c>
      <c r="O17" s="124" t="s">
        <v>284</v>
      </c>
      <c r="P17" s="6">
        <f t="shared" si="4"/>
        <v>0.82561643160922715</v>
      </c>
      <c r="Q17" s="3">
        <f t="shared" si="5"/>
        <v>0</v>
      </c>
    </row>
    <row r="18" spans="1:17">
      <c r="A18" s="51">
        <v>13</v>
      </c>
      <c r="B18" s="544"/>
      <c r="C18" s="15" t="s">
        <v>182</v>
      </c>
      <c r="D18" s="25" t="s">
        <v>19</v>
      </c>
      <c r="E18" s="1">
        <f>Anchoveta!H35+'Sardina comun'!H35</f>
        <v>9794.1479999999992</v>
      </c>
      <c r="F18" s="2">
        <f t="shared" si="0"/>
        <v>3917.6592000000001</v>
      </c>
      <c r="G18" s="174">
        <f>Anchoveta!I35</f>
        <v>3163.6980283203125</v>
      </c>
      <c r="H18" s="174">
        <f>'Sardina comun'!I35</f>
        <v>327.36200000000002</v>
      </c>
      <c r="I18" s="174">
        <f t="shared" si="1"/>
        <v>3491.0600283203125</v>
      </c>
      <c r="J18" s="174">
        <f>Anchoveta!J35+'Sardina comun'!J35</f>
        <v>0</v>
      </c>
      <c r="K18" s="1">
        <f>Anchoveta!K35</f>
        <v>830.85197167968727</v>
      </c>
      <c r="L18" s="1">
        <f>'Sardina comun'!K35</f>
        <v>5472.2359999999999</v>
      </c>
      <c r="M18" s="1">
        <f t="shared" si="2"/>
        <v>6303.0879716796871</v>
      </c>
      <c r="N18" s="39" t="str">
        <f t="shared" si="3"/>
        <v>0</v>
      </c>
      <c r="O18" s="175" t="s">
        <v>284</v>
      </c>
      <c r="P18" s="6">
        <f t="shared" si="4"/>
        <v>0.3564434628025136</v>
      </c>
      <c r="Q18" s="3">
        <f t="shared" si="5"/>
        <v>0</v>
      </c>
    </row>
    <row r="19" spans="1:17">
      <c r="A19" s="51">
        <v>14</v>
      </c>
      <c r="B19" s="544"/>
      <c r="C19" s="15" t="s">
        <v>277</v>
      </c>
      <c r="D19" s="25" t="s">
        <v>19</v>
      </c>
      <c r="E19" s="1">
        <f>Anchoveta!H36+'Sardina comun'!H36</f>
        <v>6081.9690000000001</v>
      </c>
      <c r="F19" s="2">
        <f t="shared" si="0"/>
        <v>2432.7876000000001</v>
      </c>
      <c r="G19" s="174">
        <f>Anchoveta!I36</f>
        <v>334.4909957275388</v>
      </c>
      <c r="H19" s="174">
        <f>'Sardina comun'!I36</f>
        <v>1528.2069848632814</v>
      </c>
      <c r="I19" s="174">
        <f t="shared" si="1"/>
        <v>1862.6979805908202</v>
      </c>
      <c r="J19" s="174">
        <f>Anchoveta!J36+'Sardina comun'!J36</f>
        <v>0</v>
      </c>
      <c r="K19" s="1">
        <f>Anchoveta!K36</f>
        <v>1771.7770042724612</v>
      </c>
      <c r="L19" s="1">
        <f>'Sardina comun'!K36</f>
        <v>2447.4940151367186</v>
      </c>
      <c r="M19" s="1">
        <f t="shared" si="2"/>
        <v>4219.2710194091796</v>
      </c>
      <c r="N19" s="39" t="str">
        <f t="shared" si="3"/>
        <v>0</v>
      </c>
      <c r="O19" s="175" t="s">
        <v>284</v>
      </c>
      <c r="P19" s="6">
        <f t="shared" si="4"/>
        <v>0.30626561572260896</v>
      </c>
      <c r="Q19" s="3">
        <f t="shared" si="5"/>
        <v>0</v>
      </c>
    </row>
    <row r="20" spans="1:17" s="11" customFormat="1">
      <c r="A20" s="51">
        <v>15</v>
      </c>
      <c r="B20" s="544"/>
      <c r="C20" s="15" t="s">
        <v>278</v>
      </c>
      <c r="D20" s="25" t="s">
        <v>19</v>
      </c>
      <c r="E20" s="1">
        <f>Anchoveta!H37+'Sardina comun'!H37</f>
        <v>12263.306</v>
      </c>
      <c r="F20" s="2">
        <f t="shared" si="0"/>
        <v>4905.3224</v>
      </c>
      <c r="G20" s="174">
        <f>Anchoveta!I37</f>
        <v>1963.4059980468749</v>
      </c>
      <c r="H20" s="174">
        <f>'Sardina comun'!I37</f>
        <v>1141.7669394530988</v>
      </c>
      <c r="I20" s="174">
        <f>G20+H20</f>
        <v>3105.1729374999736</v>
      </c>
      <c r="J20" s="174">
        <f>Anchoveta!J37+'Sardina comun'!J37</f>
        <v>0</v>
      </c>
      <c r="K20" s="1">
        <f>Anchoveta!K37</f>
        <v>3070.8430019531261</v>
      </c>
      <c r="L20" s="1">
        <f>'Sardina comun'!K37</f>
        <v>6087.2900605469022</v>
      </c>
      <c r="M20" s="1">
        <f>K20+L20</f>
        <v>9158.1330625000282</v>
      </c>
      <c r="N20" s="39" t="str">
        <f>IF(K20&lt;0,K20,IF(K20&lt;0,L20,IF(L20&lt;0,L20,IF(L20&gt;0,"0","0"))))</f>
        <v>0</v>
      </c>
      <c r="O20" s="124" t="s">
        <v>284</v>
      </c>
      <c r="P20" s="6">
        <f>(I20+J20)/E20</f>
        <v>0.25320846902947486</v>
      </c>
      <c r="Q20" s="3">
        <f>N20/E20</f>
        <v>0</v>
      </c>
    </row>
    <row r="21" spans="1:17">
      <c r="A21" s="51">
        <v>16</v>
      </c>
      <c r="B21" s="544"/>
      <c r="C21" s="15" t="s">
        <v>57</v>
      </c>
      <c r="D21" s="25" t="s">
        <v>19</v>
      </c>
      <c r="E21" s="1">
        <f>Anchoveta!H38+'Sardina comun'!H38</f>
        <v>1635.0189999999998</v>
      </c>
      <c r="F21" s="2">
        <f t="shared" si="0"/>
        <v>654.00759999999991</v>
      </c>
      <c r="G21" s="174">
        <f>Anchoveta!I38</f>
        <v>685.58099719297888</v>
      </c>
      <c r="H21" s="174">
        <f>'Sardina comun'!I38</f>
        <v>298.59900695800792</v>
      </c>
      <c r="I21" s="174">
        <f t="shared" si="1"/>
        <v>984.18000415098686</v>
      </c>
      <c r="J21" s="174">
        <f>Anchoveta!J38+'Sardina comun'!J38</f>
        <v>0</v>
      </c>
      <c r="K21" s="1">
        <f>Anchoveta!K38</f>
        <v>-29.621997192978938</v>
      </c>
      <c r="L21" s="1">
        <f>'Sardina comun'!K38</f>
        <v>680.46099304199197</v>
      </c>
      <c r="M21" s="1">
        <f t="shared" si="2"/>
        <v>650.83899584901303</v>
      </c>
      <c r="N21" s="39">
        <f t="shared" si="3"/>
        <v>-29.621997192978938</v>
      </c>
      <c r="O21" s="124" t="s">
        <v>284</v>
      </c>
      <c r="P21" s="6">
        <f t="shared" si="4"/>
        <v>0.6019379616695506</v>
      </c>
      <c r="Q21" s="3">
        <f t="shared" si="5"/>
        <v>-1.8117218939338896E-2</v>
      </c>
    </row>
    <row r="22" spans="1:17">
      <c r="A22" s="51">
        <v>17</v>
      </c>
      <c r="B22" s="544"/>
      <c r="C22" s="15" t="s">
        <v>260</v>
      </c>
      <c r="D22" s="25" t="s">
        <v>19</v>
      </c>
      <c r="E22" s="1">
        <f>Anchoveta!H39+'Sardina comun'!H39</f>
        <v>1116.364</v>
      </c>
      <c r="F22" s="2">
        <f t="shared" si="0"/>
        <v>446.54560000000004</v>
      </c>
      <c r="G22" s="174">
        <f>Anchoveta!I39</f>
        <v>208.82899609375002</v>
      </c>
      <c r="H22" s="174">
        <f>'Sardina comun'!I39</f>
        <v>26.312000000000001</v>
      </c>
      <c r="I22" s="174">
        <f t="shared" si="1"/>
        <v>235.14099609375003</v>
      </c>
      <c r="J22" s="174">
        <f>Anchoveta!J39+'Sardina comun'!J39</f>
        <v>0</v>
      </c>
      <c r="K22" s="1">
        <f>Anchoveta!K39</f>
        <v>336.33000390625011</v>
      </c>
      <c r="L22" s="1">
        <f>'Sardina comun'!K39</f>
        <v>544.89299999999992</v>
      </c>
      <c r="M22" s="1">
        <f t="shared" si="2"/>
        <v>881.22300390625003</v>
      </c>
      <c r="N22" s="39" t="str">
        <f t="shared" si="3"/>
        <v>0</v>
      </c>
      <c r="O22" s="175" t="s">
        <v>284</v>
      </c>
      <c r="P22" s="6">
        <f t="shared" si="4"/>
        <v>0.21063111681651328</v>
      </c>
      <c r="Q22" s="3">
        <f t="shared" si="5"/>
        <v>0</v>
      </c>
    </row>
    <row r="23" spans="1:17">
      <c r="A23" s="51">
        <v>18</v>
      </c>
      <c r="B23" s="544"/>
      <c r="C23" s="15" t="s">
        <v>58</v>
      </c>
      <c r="D23" s="25" t="s">
        <v>19</v>
      </c>
      <c r="E23" s="1">
        <f>Anchoveta!H40+'Sardina comun'!H40</f>
        <v>133.702</v>
      </c>
      <c r="F23" s="2">
        <f t="shared" si="0"/>
        <v>53.480800000000002</v>
      </c>
      <c r="G23" s="174">
        <f>Anchoveta!I40</f>
        <v>27.501000019073487</v>
      </c>
      <c r="H23" s="174">
        <f>'Sardina comun'!I40</f>
        <v>70.531999999999996</v>
      </c>
      <c r="I23" s="174">
        <f t="shared" si="1"/>
        <v>98.033000019073484</v>
      </c>
      <c r="J23" s="174">
        <f>Anchoveta!J40+'Sardina comun'!J40</f>
        <v>0</v>
      </c>
      <c r="K23" s="1">
        <f>Anchoveta!K40</f>
        <v>26.138999980926513</v>
      </c>
      <c r="L23" s="1">
        <f>'Sardina comun'!K40</f>
        <v>9.5300000000000011</v>
      </c>
      <c r="M23" s="1">
        <f t="shared" si="2"/>
        <v>35.668999980926515</v>
      </c>
      <c r="N23" s="39" t="str">
        <f t="shared" si="3"/>
        <v>0</v>
      </c>
      <c r="O23" s="124" t="str">
        <f>Anchoveta!M40</f>
        <v>-</v>
      </c>
      <c r="P23" s="6">
        <f t="shared" si="4"/>
        <v>0.7332201464381497</v>
      </c>
      <c r="Q23" s="3">
        <f t="shared" si="5"/>
        <v>0</v>
      </c>
    </row>
    <row r="24" spans="1:17">
      <c r="A24" s="51">
        <v>19</v>
      </c>
      <c r="B24" s="544"/>
      <c r="C24" s="15" t="s">
        <v>59</v>
      </c>
      <c r="D24" s="25" t="s">
        <v>19</v>
      </c>
      <c r="E24" s="1">
        <f>Anchoveta!H41+'Sardina comun'!H41</f>
        <v>41783.86</v>
      </c>
      <c r="F24" s="2">
        <f t="shared" si="0"/>
        <v>16713.544000000002</v>
      </c>
      <c r="G24" s="174">
        <f>Anchoveta!I41</f>
        <v>5020.8282323634685</v>
      </c>
      <c r="H24" s="174">
        <f>'Sardina comun'!I41</f>
        <v>20078.553991931869</v>
      </c>
      <c r="I24" s="174">
        <f t="shared" si="1"/>
        <v>25099.382224295339</v>
      </c>
      <c r="J24" s="174">
        <f>Anchoveta!J41+'Sardina comun'!J41</f>
        <v>0</v>
      </c>
      <c r="K24" s="1">
        <f>Anchoveta!K41</f>
        <v>11056.218767636532</v>
      </c>
      <c r="L24" s="1">
        <f>'Sardina comun'!K41</f>
        <v>5628.259008068133</v>
      </c>
      <c r="M24" s="1">
        <f t="shared" si="2"/>
        <v>16684.477775704665</v>
      </c>
      <c r="N24" s="39" t="str">
        <f t="shared" si="3"/>
        <v>0</v>
      </c>
      <c r="O24" s="175" t="s">
        <v>284</v>
      </c>
      <c r="P24" s="6">
        <f t="shared" si="4"/>
        <v>0.60069563281839777</v>
      </c>
      <c r="Q24" s="3">
        <f t="shared" si="5"/>
        <v>0</v>
      </c>
    </row>
    <row r="25" spans="1:17">
      <c r="A25" s="51">
        <v>20</v>
      </c>
      <c r="B25" s="544"/>
      <c r="C25" s="15" t="s">
        <v>60</v>
      </c>
      <c r="D25" s="25" t="s">
        <v>19</v>
      </c>
      <c r="E25" s="1">
        <f>Anchoveta!H42+'Sardina comun'!H42</f>
        <v>578.83299999999997</v>
      </c>
      <c r="F25" s="2">
        <f t="shared" si="0"/>
        <v>231.53319999999999</v>
      </c>
      <c r="G25" s="174">
        <f>Anchoveta!I42</f>
        <v>21.759999999999998</v>
      </c>
      <c r="H25" s="174">
        <f>'Sardina comun'!I42</f>
        <v>503.05099932861333</v>
      </c>
      <c r="I25" s="174">
        <f t="shared" si="1"/>
        <v>524.81099932861332</v>
      </c>
      <c r="J25" s="174">
        <f>Anchoveta!J42+'Sardina comun'!J42</f>
        <v>0</v>
      </c>
      <c r="K25" s="1">
        <f>Anchoveta!K42</f>
        <v>210.464</v>
      </c>
      <c r="L25" s="1">
        <f>'Sardina comun'!K42</f>
        <v>-156.44199932861335</v>
      </c>
      <c r="M25" s="1">
        <f t="shared" si="2"/>
        <v>54.02200067138665</v>
      </c>
      <c r="N25" s="39">
        <f t="shared" si="3"/>
        <v>-156.44199932861335</v>
      </c>
      <c r="O25" s="124" t="s">
        <v>284</v>
      </c>
      <c r="P25" s="6">
        <f t="shared" si="4"/>
        <v>0.90667083481524613</v>
      </c>
      <c r="Q25" s="3">
        <f t="shared" si="5"/>
        <v>-0.27027138972486597</v>
      </c>
    </row>
    <row r="26" spans="1:17">
      <c r="A26" s="51">
        <v>21</v>
      </c>
      <c r="B26" s="544"/>
      <c r="C26" s="15" t="s">
        <v>61</v>
      </c>
      <c r="D26" s="25" t="s">
        <v>19</v>
      </c>
      <c r="E26" s="1">
        <f>Anchoveta!H43+'Sardina comun'!H43</f>
        <v>5384.7809999999999</v>
      </c>
      <c r="F26" s="2">
        <f t="shared" si="0"/>
        <v>2153.9124000000002</v>
      </c>
      <c r="G26" s="174">
        <f>Anchoveta!I43</f>
        <v>2141.5490064697265</v>
      </c>
      <c r="H26" s="174">
        <f>'Sardina comun'!I43</f>
        <v>31.919</v>
      </c>
      <c r="I26" s="174">
        <f t="shared" si="1"/>
        <v>2173.4680064697263</v>
      </c>
      <c r="J26" s="174">
        <f>Anchoveta!J43+'Sardina comun'!J43</f>
        <v>0.36399999999999999</v>
      </c>
      <c r="K26" s="1">
        <f>Anchoveta!K43</f>
        <v>158.90399353027351</v>
      </c>
      <c r="L26" s="1">
        <f>'Sardina comun'!K43</f>
        <v>3052.0450000000001</v>
      </c>
      <c r="M26" s="1">
        <f t="shared" si="2"/>
        <v>3210.9489935302736</v>
      </c>
      <c r="N26" s="39" t="str">
        <f t="shared" si="3"/>
        <v>0</v>
      </c>
      <c r="O26" s="175" t="s">
        <v>284</v>
      </c>
      <c r="P26" s="6">
        <f t="shared" si="4"/>
        <v>0.40369924170912919</v>
      </c>
      <c r="Q26" s="3">
        <f t="shared" si="5"/>
        <v>0</v>
      </c>
    </row>
    <row r="27" spans="1:17">
      <c r="A27" s="51">
        <v>22</v>
      </c>
      <c r="B27" s="544"/>
      <c r="C27" s="15" t="s">
        <v>62</v>
      </c>
      <c r="D27" s="25" t="s">
        <v>19</v>
      </c>
      <c r="E27" s="1">
        <f>Anchoveta!H44+'Sardina comun'!H44</f>
        <v>4663.2309999999998</v>
      </c>
      <c r="F27" s="2">
        <f t="shared" si="0"/>
        <v>1865.2924</v>
      </c>
      <c r="G27" s="174">
        <f>Anchoveta!I44</f>
        <v>1384.2739946289062</v>
      </c>
      <c r="H27" s="174">
        <f>'Sardina comun'!I44</f>
        <v>430.58699658203153</v>
      </c>
      <c r="I27" s="174">
        <f t="shared" si="1"/>
        <v>1814.8609912109378</v>
      </c>
      <c r="J27" s="174">
        <f>Anchoveta!J44+'Sardina comun'!J44</f>
        <v>0</v>
      </c>
      <c r="K27" s="2">
        <f>Anchoveta!K44</f>
        <v>396.16700537109386</v>
      </c>
      <c r="L27" s="2">
        <f>'Sardina comun'!K44</f>
        <v>2452.2030034179684</v>
      </c>
      <c r="M27" s="1">
        <f t="shared" si="2"/>
        <v>2848.370008789062</v>
      </c>
      <c r="N27" s="127" t="str">
        <f t="shared" si="3"/>
        <v>0</v>
      </c>
      <c r="O27" s="175" t="s">
        <v>284</v>
      </c>
      <c r="P27" s="6">
        <f t="shared" si="4"/>
        <v>0.38918530761417092</v>
      </c>
      <c r="Q27" s="3">
        <f t="shared" si="5"/>
        <v>0</v>
      </c>
    </row>
    <row r="28" spans="1:17">
      <c r="A28" s="51">
        <v>23</v>
      </c>
      <c r="B28" s="544"/>
      <c r="C28" s="15" t="s">
        <v>63</v>
      </c>
      <c r="D28" s="25" t="s">
        <v>19</v>
      </c>
      <c r="E28" s="1">
        <f>Anchoveta!H45+'Sardina comun'!H45</f>
        <v>4492.6469999999999</v>
      </c>
      <c r="F28" s="2">
        <f t="shared" si="0"/>
        <v>1797.0588</v>
      </c>
      <c r="G28" s="174">
        <f>Anchoveta!I45</f>
        <v>1493.3880015258792</v>
      </c>
      <c r="H28" s="174">
        <f>'Sardina comun'!I45</f>
        <v>51.911999999999992</v>
      </c>
      <c r="I28" s="174">
        <f t="shared" si="1"/>
        <v>1545.3000015258792</v>
      </c>
      <c r="J28" s="174">
        <f>Anchoveta!J45+'Sardina comun'!J45</f>
        <v>0</v>
      </c>
      <c r="K28" s="1">
        <f>Anchoveta!K45</f>
        <v>148.55599847412077</v>
      </c>
      <c r="L28" s="1">
        <f>'Sardina comun'!K45</f>
        <v>2798.7910000000002</v>
      </c>
      <c r="M28" s="1">
        <f t="shared" si="2"/>
        <v>2947.3469984741209</v>
      </c>
      <c r="N28" s="39" t="str">
        <f t="shared" si="3"/>
        <v>0</v>
      </c>
      <c r="O28" s="175" t="s">
        <v>284</v>
      </c>
      <c r="P28" s="6">
        <f t="shared" si="4"/>
        <v>0.3439620343031356</v>
      </c>
      <c r="Q28" s="3">
        <f t="shared" si="5"/>
        <v>0</v>
      </c>
    </row>
    <row r="29" spans="1:17">
      <c r="A29" s="51">
        <v>24</v>
      </c>
      <c r="B29" s="544"/>
      <c r="C29" s="15" t="s">
        <v>181</v>
      </c>
      <c r="D29" s="25" t="s">
        <v>19</v>
      </c>
      <c r="E29" s="1">
        <f>Anchoveta!H46+'Sardina comun'!H46</f>
        <v>9487.0689999999995</v>
      </c>
      <c r="F29" s="2">
        <f t="shared" si="0"/>
        <v>3794.8276000000001</v>
      </c>
      <c r="G29" s="174">
        <f>Anchoveta!I46</f>
        <v>2396.5039785156259</v>
      </c>
      <c r="H29" s="174">
        <f>'Sardina comun'!I46</f>
        <v>1972.8229965515136</v>
      </c>
      <c r="I29" s="174">
        <f t="shared" si="1"/>
        <v>4369.3269750671398</v>
      </c>
      <c r="J29" s="174">
        <f>Anchoveta!J46+'Sardina comun'!J46</f>
        <v>0</v>
      </c>
      <c r="K29" s="1">
        <f>Anchoveta!K46</f>
        <v>1349.170021484374</v>
      </c>
      <c r="L29" s="1">
        <f>'Sardina comun'!K46</f>
        <v>3768.5720034484866</v>
      </c>
      <c r="M29" s="1">
        <f t="shared" si="2"/>
        <v>5117.7420249328607</v>
      </c>
      <c r="N29" s="39" t="str">
        <f t="shared" si="3"/>
        <v>0</v>
      </c>
      <c r="O29" s="175" t="s">
        <v>284</v>
      </c>
      <c r="P29" s="6">
        <f t="shared" si="4"/>
        <v>0.46055604476652801</v>
      </c>
      <c r="Q29" s="3">
        <f t="shared" si="5"/>
        <v>0</v>
      </c>
    </row>
    <row r="30" spans="1:17">
      <c r="A30" s="51">
        <v>25</v>
      </c>
      <c r="B30" s="544"/>
      <c r="C30" s="15" t="s">
        <v>64</v>
      </c>
      <c r="D30" s="25" t="s">
        <v>19</v>
      </c>
      <c r="E30" s="1">
        <f>Anchoveta!H47+'Sardina comun'!H47</f>
        <v>4584.2070000000003</v>
      </c>
      <c r="F30" s="2">
        <f t="shared" si="0"/>
        <v>1833.6828000000003</v>
      </c>
      <c r="G30" s="174">
        <f>Anchoveta!I47</f>
        <v>3214.5390114746115</v>
      </c>
      <c r="H30" s="174">
        <f>'Sardina comun'!I47</f>
        <v>105.203</v>
      </c>
      <c r="I30" s="174">
        <f t="shared" si="1"/>
        <v>3319.7420114746114</v>
      </c>
      <c r="J30" s="174">
        <f>Anchoveta!J47+'Sardina comun'!J47</f>
        <v>0</v>
      </c>
      <c r="K30" s="1">
        <f>Anchoveta!K47</f>
        <v>303.02398852538863</v>
      </c>
      <c r="L30" s="1">
        <f>'Sardina comun'!K47</f>
        <v>961.44100000000026</v>
      </c>
      <c r="M30" s="1">
        <f t="shared" si="2"/>
        <v>1264.4649885253889</v>
      </c>
      <c r="N30" s="39" t="str">
        <f t="shared" si="3"/>
        <v>0</v>
      </c>
      <c r="O30" s="175" t="s">
        <v>284</v>
      </c>
      <c r="P30" s="6">
        <f t="shared" si="4"/>
        <v>0.72416930812125435</v>
      </c>
      <c r="Q30" s="3">
        <f t="shared" si="5"/>
        <v>0</v>
      </c>
    </row>
    <row r="31" spans="1:17">
      <c r="A31" s="51">
        <v>26</v>
      </c>
      <c r="B31" s="544"/>
      <c r="C31" s="15" t="s">
        <v>65</v>
      </c>
      <c r="D31" s="25" t="s">
        <v>19</v>
      </c>
      <c r="E31" s="1">
        <f>Anchoveta!H48+'Sardina comun'!H48</f>
        <v>2072.0149999999999</v>
      </c>
      <c r="F31" s="2">
        <f t="shared" si="0"/>
        <v>828.80600000000004</v>
      </c>
      <c r="G31" s="174">
        <f>Anchoveta!I48</f>
        <v>56.448999999463567</v>
      </c>
      <c r="H31" s="174">
        <f>'Sardina comun'!I48</f>
        <v>496.97200045776367</v>
      </c>
      <c r="I31" s="174">
        <f t="shared" si="1"/>
        <v>553.42100045722725</v>
      </c>
      <c r="J31" s="174">
        <f>Anchoveta!J48+'Sardina comun'!J48</f>
        <v>0</v>
      </c>
      <c r="K31" s="1">
        <f>Anchoveta!K48</f>
        <v>410.88500000053642</v>
      </c>
      <c r="L31" s="1">
        <f>'Sardina comun'!K48</f>
        <v>1107.7089995422364</v>
      </c>
      <c r="M31" s="1">
        <f t="shared" si="2"/>
        <v>1518.5939995427727</v>
      </c>
      <c r="N31" s="39" t="str">
        <f t="shared" si="3"/>
        <v>0</v>
      </c>
      <c r="O31" s="124" t="str">
        <f>Anchoveta!M48</f>
        <v>-</v>
      </c>
      <c r="P31" s="6">
        <f t="shared" si="4"/>
        <v>0.26709314385138488</v>
      </c>
      <c r="Q31" s="3">
        <f t="shared" si="5"/>
        <v>0</v>
      </c>
    </row>
    <row r="32" spans="1:17">
      <c r="A32" s="51">
        <v>27</v>
      </c>
      <c r="B32" s="544"/>
      <c r="C32" s="15" t="s">
        <v>66</v>
      </c>
      <c r="D32" s="25" t="s">
        <v>19</v>
      </c>
      <c r="E32" s="1">
        <f>Anchoveta!H49+'Sardina comun'!H49</f>
        <v>5602.1580000000004</v>
      </c>
      <c r="F32" s="2">
        <f t="shared" si="0"/>
        <v>2240.8632000000002</v>
      </c>
      <c r="G32" s="174">
        <f>Anchoveta!I49</f>
        <v>3002.6420075759893</v>
      </c>
      <c r="H32" s="174">
        <f>'Sardina comun'!I49</f>
        <v>1832.954</v>
      </c>
      <c r="I32" s="174">
        <f t="shared" si="1"/>
        <v>4835.5960075759895</v>
      </c>
      <c r="J32" s="174">
        <f>Anchoveta!J49+'Sardina comun'!J49</f>
        <v>0</v>
      </c>
      <c r="K32" s="1">
        <f>Anchoveta!K49</f>
        <v>-755.0920075759891</v>
      </c>
      <c r="L32" s="1">
        <f>'Sardina comun'!K49</f>
        <v>1521.6540000000002</v>
      </c>
      <c r="M32" s="1">
        <f t="shared" si="2"/>
        <v>766.56199242401112</v>
      </c>
      <c r="N32" s="39">
        <f t="shared" si="3"/>
        <v>-755.0920075759891</v>
      </c>
      <c r="O32" s="175" t="s">
        <v>284</v>
      </c>
      <c r="P32" s="6">
        <f t="shared" si="4"/>
        <v>0.86316665962937655</v>
      </c>
      <c r="Q32" s="3">
        <f t="shared" si="5"/>
        <v>-0.13478591777953944</v>
      </c>
    </row>
    <row r="33" spans="1:17">
      <c r="A33" s="51">
        <v>28</v>
      </c>
      <c r="B33" s="544"/>
      <c r="C33" s="15" t="s">
        <v>67</v>
      </c>
      <c r="D33" s="25" t="s">
        <v>19</v>
      </c>
      <c r="E33" s="1">
        <f>Anchoveta!H50+'Sardina comun'!H50</f>
        <v>4371.7750000000005</v>
      </c>
      <c r="F33" s="2">
        <f t="shared" si="0"/>
        <v>1748.7100000000003</v>
      </c>
      <c r="G33" s="174">
        <f>Anchoveta!I50</f>
        <v>1242.45</v>
      </c>
      <c r="H33" s="174">
        <f>'Sardina comun'!I50</f>
        <v>322.26701574707022</v>
      </c>
      <c r="I33" s="174">
        <f t="shared" si="1"/>
        <v>1564.7170157470703</v>
      </c>
      <c r="J33" s="174">
        <f>Anchoveta!J50+'Sardina comun'!J50</f>
        <v>0</v>
      </c>
      <c r="K33" s="1">
        <f>Anchoveta!K50</f>
        <v>511.47800000000007</v>
      </c>
      <c r="L33" s="1">
        <f>'Sardina comun'!K50</f>
        <v>2295.57998425293</v>
      </c>
      <c r="M33" s="1">
        <f t="shared" si="2"/>
        <v>2807.0579842529301</v>
      </c>
      <c r="N33" s="39" t="str">
        <f t="shared" si="3"/>
        <v>0</v>
      </c>
      <c r="O33" s="175" t="s">
        <v>284</v>
      </c>
      <c r="P33" s="6">
        <f t="shared" si="4"/>
        <v>0.35791343693284078</v>
      </c>
      <c r="Q33" s="3">
        <f t="shared" si="5"/>
        <v>0</v>
      </c>
    </row>
    <row r="34" spans="1:17">
      <c r="A34" s="51">
        <v>29</v>
      </c>
      <c r="B34" s="544"/>
      <c r="C34" s="15" t="s">
        <v>68</v>
      </c>
      <c r="D34" s="25" t="s">
        <v>19</v>
      </c>
      <c r="E34" s="1">
        <f>Anchoveta!H51+'Sardina comun'!H51</f>
        <v>30.088999999999999</v>
      </c>
      <c r="F34" s="2">
        <f t="shared" si="0"/>
        <v>12.035600000000001</v>
      </c>
      <c r="G34" s="174">
        <f>Anchoveta!I51</f>
        <v>0</v>
      </c>
      <c r="H34" s="174">
        <f>'Sardina comun'!I51</f>
        <v>0</v>
      </c>
      <c r="I34" s="174">
        <f t="shared" si="1"/>
        <v>0</v>
      </c>
      <c r="J34" s="174">
        <f>Anchoveta!J51+'Sardina comun'!J51</f>
        <v>0</v>
      </c>
      <c r="K34" s="1">
        <f>Anchoveta!K51</f>
        <v>19.417999999999992</v>
      </c>
      <c r="L34" s="1">
        <f>'Sardina comun'!K51</f>
        <v>10.671000000000006</v>
      </c>
      <c r="M34" s="1">
        <f t="shared" si="2"/>
        <v>30.088999999999999</v>
      </c>
      <c r="N34" s="39" t="str">
        <f t="shared" si="3"/>
        <v>0</v>
      </c>
      <c r="O34" s="124" t="str">
        <f>Anchoveta!M51</f>
        <v>-</v>
      </c>
      <c r="P34" s="6">
        <f t="shared" si="4"/>
        <v>0</v>
      </c>
      <c r="Q34" s="3">
        <f t="shared" si="5"/>
        <v>0</v>
      </c>
    </row>
    <row r="35" spans="1:17">
      <c r="A35" s="51">
        <v>30</v>
      </c>
      <c r="B35" s="544"/>
      <c r="C35" s="15" t="s">
        <v>69</v>
      </c>
      <c r="D35" s="25" t="s">
        <v>19</v>
      </c>
      <c r="E35" s="1">
        <f>Anchoveta!H52+'Sardina comun'!H52</f>
        <v>4920.2430000000004</v>
      </c>
      <c r="F35" s="2">
        <f t="shared" si="0"/>
        <v>1968.0972000000002</v>
      </c>
      <c r="G35" s="174">
        <f>Anchoveta!I52</f>
        <v>2905.8290141601565</v>
      </c>
      <c r="H35" s="174">
        <f>'Sardina comun'!I52</f>
        <v>104.96199999999999</v>
      </c>
      <c r="I35" s="174">
        <f t="shared" si="1"/>
        <v>3010.7910141601565</v>
      </c>
      <c r="J35" s="174">
        <f>Anchoveta!J52+'Sardina comun'!J52</f>
        <v>0</v>
      </c>
      <c r="K35" s="1">
        <f>Anchoveta!K52</f>
        <v>29.267985839843732</v>
      </c>
      <c r="L35" s="1">
        <f>'Sardina comun'!K52</f>
        <v>1880.1839999999997</v>
      </c>
      <c r="M35" s="1">
        <f t="shared" si="2"/>
        <v>1909.4519858398435</v>
      </c>
      <c r="N35" s="39" t="str">
        <f t="shared" si="3"/>
        <v>0</v>
      </c>
      <c r="O35" s="175" t="s">
        <v>284</v>
      </c>
      <c r="P35" s="6">
        <f t="shared" si="4"/>
        <v>0.61191917028491405</v>
      </c>
      <c r="Q35" s="3">
        <f t="shared" si="5"/>
        <v>0</v>
      </c>
    </row>
    <row r="36" spans="1:17">
      <c r="A36" s="51">
        <v>31</v>
      </c>
      <c r="B36" s="544"/>
      <c r="C36" s="15" t="s">
        <v>70</v>
      </c>
      <c r="D36" s="25" t="s">
        <v>19</v>
      </c>
      <c r="E36" s="1">
        <f>Anchoveta!H53+'Sardina comun'!H53</f>
        <v>6666.34</v>
      </c>
      <c r="F36" s="2">
        <f t="shared" si="0"/>
        <v>2666.5360000000001</v>
      </c>
      <c r="G36" s="174">
        <f>Anchoveta!I53</f>
        <v>2871.5939956054681</v>
      </c>
      <c r="H36" s="174">
        <f>'Sardina comun'!I53</f>
        <v>65.116</v>
      </c>
      <c r="I36" s="174">
        <f t="shared" si="1"/>
        <v>2936.7099956054681</v>
      </c>
      <c r="J36" s="174">
        <f>Anchoveta!J53+'Sardina comun'!J53</f>
        <v>0</v>
      </c>
      <c r="K36" s="1">
        <f>Anchoveta!K53</f>
        <v>-348.78199560546818</v>
      </c>
      <c r="L36" s="1">
        <f>'Sardina comun'!K53</f>
        <v>4078.4120000000003</v>
      </c>
      <c r="M36" s="1">
        <f t="shared" si="2"/>
        <v>3729.6300043945321</v>
      </c>
      <c r="N36" s="39">
        <f t="shared" si="3"/>
        <v>-348.78199560546818</v>
      </c>
      <c r="O36" s="175" t="s">
        <v>284</v>
      </c>
      <c r="P36" s="6">
        <f t="shared" si="4"/>
        <v>0.44052808521699582</v>
      </c>
      <c r="Q36" s="3">
        <f t="shared" si="5"/>
        <v>-5.2319863014107917E-2</v>
      </c>
    </row>
    <row r="37" spans="1:17" s="11" customFormat="1">
      <c r="A37" s="51">
        <v>32</v>
      </c>
      <c r="B37" s="544"/>
      <c r="C37" s="15" t="s">
        <v>324</v>
      </c>
      <c r="D37" s="25" t="s">
        <v>19</v>
      </c>
      <c r="E37" s="1">
        <f>Anchoveta!H54+'Sardina comun'!H54</f>
        <v>556.23500000000001</v>
      </c>
      <c r="F37" s="2">
        <f t="shared" si="0"/>
        <v>222.49400000000003</v>
      </c>
      <c r="G37" s="174">
        <f>Anchoveta!I54</f>
        <v>195.65600000250342</v>
      </c>
      <c r="H37" s="174">
        <f>'Sardina comun'!I54</f>
        <v>304.14700000000011</v>
      </c>
      <c r="I37" s="174">
        <f t="shared" ref="I37" si="6">G37+H37</f>
        <v>499.8030000025035</v>
      </c>
      <c r="J37" s="174">
        <f>Anchoveta!J54+'Sardina comun'!J54</f>
        <v>0</v>
      </c>
      <c r="K37" s="1">
        <f>Anchoveta!K54</f>
        <v>35.991999997496606</v>
      </c>
      <c r="L37" s="1">
        <f>'Sardina comun'!K54</f>
        <v>20.439999999999884</v>
      </c>
      <c r="M37" s="1">
        <f t="shared" ref="M37" si="7">K37+L37</f>
        <v>56.43199999749649</v>
      </c>
      <c r="N37" s="39" t="str">
        <f t="shared" ref="N37" si="8">IF(K37&lt;0,K37,IF(K37&lt;0,L37,IF(L37&lt;0,L37,IF(L37&gt;0,"0","0"))))</f>
        <v>0</v>
      </c>
      <c r="O37" s="175" t="s">
        <v>284</v>
      </c>
      <c r="P37" s="6">
        <f t="shared" ref="P37" si="9">(I37+J37)/E37</f>
        <v>0.8985464776623252</v>
      </c>
      <c r="Q37" s="3">
        <f t="shared" ref="Q37" si="10">N37/E37</f>
        <v>0</v>
      </c>
    </row>
    <row r="38" spans="1:17">
      <c r="A38" s="51">
        <v>33</v>
      </c>
      <c r="B38" s="544"/>
      <c r="C38" s="15" t="s">
        <v>71</v>
      </c>
      <c r="D38" s="25" t="s">
        <v>19</v>
      </c>
      <c r="E38" s="1">
        <f>Anchoveta!H55+'Sardina comun'!H55</f>
        <v>3.3000000000000002E-2</v>
      </c>
      <c r="F38" s="2">
        <f t="shared" si="0"/>
        <v>1.3200000000000002E-2</v>
      </c>
      <c r="G38" s="174">
        <f>Anchoveta!I55</f>
        <v>0</v>
      </c>
      <c r="H38" s="174">
        <f>'Sardina comun'!I55</f>
        <v>0</v>
      </c>
      <c r="I38" s="174">
        <f t="shared" si="1"/>
        <v>0</v>
      </c>
      <c r="J38" s="174">
        <f>Anchoveta!J55+'Sardina comun'!J55</f>
        <v>0</v>
      </c>
      <c r="K38" s="1">
        <f>Anchoveta!K55</f>
        <v>1.2999999999999999E-2</v>
      </c>
      <c r="L38" s="1">
        <f>'Sardina comun'!K55</f>
        <v>0.02</v>
      </c>
      <c r="M38" s="1">
        <f t="shared" si="2"/>
        <v>3.3000000000000002E-2</v>
      </c>
      <c r="N38" s="39" t="str">
        <f t="shared" si="3"/>
        <v>0</v>
      </c>
      <c r="O38" s="124" t="str">
        <f>Anchoveta!M55</f>
        <v>-</v>
      </c>
      <c r="P38" s="6">
        <f t="shared" si="4"/>
        <v>0</v>
      </c>
      <c r="Q38" s="3">
        <f t="shared" si="5"/>
        <v>0</v>
      </c>
    </row>
    <row r="39" spans="1:17">
      <c r="A39" s="51">
        <v>34</v>
      </c>
      <c r="B39" s="544"/>
      <c r="C39" s="15" t="s">
        <v>72</v>
      </c>
      <c r="D39" s="25" t="s">
        <v>19</v>
      </c>
      <c r="E39" s="1">
        <f>Anchoveta!H56+'Sardina comun'!H56</f>
        <v>1044.5160000000001</v>
      </c>
      <c r="F39" s="2">
        <f t="shared" si="0"/>
        <v>417.80640000000005</v>
      </c>
      <c r="G39" s="174">
        <f>Anchoveta!I56</f>
        <v>-2.9802293965985882E-9</v>
      </c>
      <c r="H39" s="174">
        <f>'Sardina comun'!I56</f>
        <v>0</v>
      </c>
      <c r="I39" s="174">
        <f t="shared" si="1"/>
        <v>-2.9802293965985882E-9</v>
      </c>
      <c r="J39" s="174">
        <f>Anchoveta!J56+'Sardina comun'!J56</f>
        <v>0</v>
      </c>
      <c r="K39" s="1">
        <f>Anchoveta!K56</f>
        <v>330.06700000298025</v>
      </c>
      <c r="L39" s="1">
        <f>'Sardina comun'!K56</f>
        <v>714.44900000000007</v>
      </c>
      <c r="M39" s="1">
        <f t="shared" si="2"/>
        <v>1044.5160000029803</v>
      </c>
      <c r="N39" s="39" t="str">
        <f t="shared" si="3"/>
        <v>0</v>
      </c>
      <c r="O39" s="175" t="s">
        <v>284</v>
      </c>
      <c r="P39" s="6">
        <f t="shared" si="4"/>
        <v>-2.8532156487776041E-12</v>
      </c>
      <c r="Q39" s="3">
        <f t="shared" si="5"/>
        <v>0</v>
      </c>
    </row>
    <row r="40" spans="1:17">
      <c r="A40" s="51">
        <v>35</v>
      </c>
      <c r="B40" s="544"/>
      <c r="C40" s="15" t="s">
        <v>73</v>
      </c>
      <c r="D40" s="25" t="s">
        <v>19</v>
      </c>
      <c r="E40" s="1">
        <f>Anchoveta!H57+'Sardina comun'!H57</f>
        <v>2380.424</v>
      </c>
      <c r="F40" s="2">
        <f t="shared" si="0"/>
        <v>952.16960000000006</v>
      </c>
      <c r="G40" s="174">
        <f>Anchoveta!I57</f>
        <v>1190.6779993896487</v>
      </c>
      <c r="H40" s="174">
        <f>'Sardina comun'!I57</f>
        <v>666.85000091552752</v>
      </c>
      <c r="I40" s="174">
        <f t="shared" si="1"/>
        <v>1857.5280003051762</v>
      </c>
      <c r="J40" s="174">
        <f>Anchoveta!J57+'Sardina comun'!J57</f>
        <v>0</v>
      </c>
      <c r="K40" s="1">
        <f>Anchoveta!K57</f>
        <v>125.40700061035136</v>
      </c>
      <c r="L40" s="1">
        <f>'Sardina comun'!K57</f>
        <v>397.48899908447243</v>
      </c>
      <c r="M40" s="1">
        <f t="shared" si="2"/>
        <v>522.89599969482379</v>
      </c>
      <c r="N40" s="39" t="str">
        <f t="shared" si="3"/>
        <v>0</v>
      </c>
      <c r="O40" s="175" t="s">
        <v>284</v>
      </c>
      <c r="P40" s="6">
        <f t="shared" si="4"/>
        <v>0.78033493205629589</v>
      </c>
      <c r="Q40" s="3">
        <f t="shared" si="5"/>
        <v>0</v>
      </c>
    </row>
    <row r="41" spans="1:17">
      <c r="A41" s="51">
        <v>36</v>
      </c>
      <c r="B41" s="544"/>
      <c r="C41" s="15" t="s">
        <v>74</v>
      </c>
      <c r="D41" s="25" t="s">
        <v>19</v>
      </c>
      <c r="E41" s="1">
        <f>Anchoveta!H58+'Sardina comun'!H58</f>
        <v>707.68000000000006</v>
      </c>
      <c r="F41" s="2">
        <f t="shared" si="0"/>
        <v>283.07200000000006</v>
      </c>
      <c r="G41" s="174">
        <f>Anchoveta!I58</f>
        <v>250.851</v>
      </c>
      <c r="H41" s="174">
        <f>'Sardina comun'!I58</f>
        <v>35.827000000000005</v>
      </c>
      <c r="I41" s="174">
        <f t="shared" si="1"/>
        <v>286.678</v>
      </c>
      <c r="J41" s="174">
        <f>Anchoveta!J58+'Sardina comun'!J58</f>
        <v>0</v>
      </c>
      <c r="K41" s="1">
        <f>Anchoveta!K58</f>
        <v>33.19</v>
      </c>
      <c r="L41" s="1">
        <f>'Sardina comun'!K58</f>
        <v>387.81200000000001</v>
      </c>
      <c r="M41" s="1">
        <f t="shared" si="2"/>
        <v>421.00200000000001</v>
      </c>
      <c r="N41" s="39" t="str">
        <f t="shared" si="3"/>
        <v>0</v>
      </c>
      <c r="O41" s="124" t="str">
        <f>Anchoveta!M58</f>
        <v>-</v>
      </c>
      <c r="P41" s="6">
        <f t="shared" si="4"/>
        <v>0.40509552340040694</v>
      </c>
      <c r="Q41" s="3">
        <f t="shared" si="5"/>
        <v>0</v>
      </c>
    </row>
    <row r="42" spans="1:17">
      <c r="A42" s="51">
        <v>37</v>
      </c>
      <c r="B42" s="544"/>
      <c r="C42" s="15" t="s">
        <v>75</v>
      </c>
      <c r="D42" s="25" t="s">
        <v>19</v>
      </c>
      <c r="E42" s="1">
        <f>Anchoveta!H59+'Sardina comun'!H59</f>
        <v>7973.8869999999988</v>
      </c>
      <c r="F42" s="2">
        <f t="shared" si="0"/>
        <v>3189.5547999999999</v>
      </c>
      <c r="G42" s="174">
        <f>Anchoveta!I59</f>
        <v>1758.8630039062496</v>
      </c>
      <c r="H42" s="174">
        <f>'Sardina comun'!I59</f>
        <v>296.20099999999996</v>
      </c>
      <c r="I42" s="174">
        <f t="shared" si="1"/>
        <v>2055.0640039062496</v>
      </c>
      <c r="J42" s="174">
        <f>Anchoveta!J59+'Sardina comun'!J59</f>
        <v>0</v>
      </c>
      <c r="K42" s="1">
        <f>Anchoveta!K59</f>
        <v>1308.7769960937503</v>
      </c>
      <c r="L42" s="1">
        <f>'Sardina comun'!K59</f>
        <v>4610.0459999999994</v>
      </c>
      <c r="M42" s="1">
        <f t="shared" si="2"/>
        <v>5918.8229960937497</v>
      </c>
      <c r="N42" s="39" t="str">
        <f t="shared" si="3"/>
        <v>0</v>
      </c>
      <c r="O42" s="175" t="s">
        <v>284</v>
      </c>
      <c r="P42" s="6">
        <f t="shared" si="4"/>
        <v>0.25772424463831128</v>
      </c>
      <c r="Q42" s="3">
        <f t="shared" si="5"/>
        <v>0</v>
      </c>
    </row>
    <row r="43" spans="1:17">
      <c r="A43" s="51">
        <v>38</v>
      </c>
      <c r="B43" s="544"/>
      <c r="C43" s="15" t="s">
        <v>76</v>
      </c>
      <c r="D43" s="25" t="s">
        <v>19</v>
      </c>
      <c r="E43" s="1">
        <f>Anchoveta!H60+'Sardina comun'!H60</f>
        <v>2036.2800000000002</v>
      </c>
      <c r="F43" s="2">
        <f t="shared" si="0"/>
        <v>814.51200000000017</v>
      </c>
      <c r="G43" s="174">
        <f>Anchoveta!I60</f>
        <v>256.37000000033527</v>
      </c>
      <c r="H43" s="174">
        <f>'Sardina comun'!I60</f>
        <v>1330.7969999988079</v>
      </c>
      <c r="I43" s="174">
        <f t="shared" si="1"/>
        <v>1587.1669999991432</v>
      </c>
      <c r="J43" s="174">
        <f>Anchoveta!J60+'Sardina comun'!J60</f>
        <v>0</v>
      </c>
      <c r="K43" s="1">
        <f>Anchoveta!K60</f>
        <v>429.84699999966472</v>
      </c>
      <c r="L43" s="1">
        <f>'Sardina comun'!K60</f>
        <v>19.266000001192197</v>
      </c>
      <c r="M43" s="1">
        <f t="shared" si="2"/>
        <v>449.11300000085691</v>
      </c>
      <c r="N43" s="39" t="str">
        <f t="shared" si="3"/>
        <v>0</v>
      </c>
      <c r="O43" s="124" t="s">
        <v>284</v>
      </c>
      <c r="P43" s="6">
        <f t="shared" si="4"/>
        <v>0.77944437896514385</v>
      </c>
      <c r="Q43" s="3">
        <f t="shared" si="5"/>
        <v>0</v>
      </c>
    </row>
    <row r="44" spans="1:17">
      <c r="A44" s="51">
        <v>39</v>
      </c>
      <c r="B44" s="544"/>
      <c r="C44" s="15" t="s">
        <v>77</v>
      </c>
      <c r="D44" s="25" t="s">
        <v>19</v>
      </c>
      <c r="E44" s="1">
        <f>Anchoveta!H61+'Sardina comun'!H61</f>
        <v>1766.7919999999999</v>
      </c>
      <c r="F44" s="2">
        <f t="shared" si="0"/>
        <v>706.71680000000003</v>
      </c>
      <c r="G44" s="174">
        <f>Anchoveta!I61</f>
        <v>432.84099584007254</v>
      </c>
      <c r="H44" s="174">
        <f>'Sardina comun'!I61</f>
        <v>806.88599748516083</v>
      </c>
      <c r="I44" s="174">
        <f t="shared" si="1"/>
        <v>1239.7269933252333</v>
      </c>
      <c r="J44" s="174">
        <f>Anchoveta!J61+'Sardina comun'!J61</f>
        <v>0</v>
      </c>
      <c r="K44" s="1">
        <f>Anchoveta!K61</f>
        <v>275.98500415992748</v>
      </c>
      <c r="L44" s="1">
        <f>'Sardina comun'!K61</f>
        <v>251.08000251483907</v>
      </c>
      <c r="M44" s="1">
        <f t="shared" si="2"/>
        <v>527.06500667476655</v>
      </c>
      <c r="N44" s="39" t="str">
        <f t="shared" si="3"/>
        <v>0</v>
      </c>
      <c r="O44" s="175" t="s">
        <v>284</v>
      </c>
      <c r="P44" s="6">
        <f t="shared" si="4"/>
        <v>0.70168248063452476</v>
      </c>
      <c r="Q44" s="3">
        <f t="shared" si="5"/>
        <v>0</v>
      </c>
    </row>
    <row r="45" spans="1:17">
      <c r="A45" s="51">
        <v>40</v>
      </c>
      <c r="B45" s="544"/>
      <c r="C45" s="15" t="s">
        <v>78</v>
      </c>
      <c r="D45" s="25" t="s">
        <v>19</v>
      </c>
      <c r="E45" s="1">
        <f>Anchoveta!H62+'Sardina comun'!H62</f>
        <v>1674.6729999999998</v>
      </c>
      <c r="F45" s="2">
        <f t="shared" si="0"/>
        <v>669.86919999999998</v>
      </c>
      <c r="G45" s="174">
        <f>Anchoveta!I62</f>
        <v>1616.8289946289067</v>
      </c>
      <c r="H45" s="174">
        <f>'Sardina comun'!I62</f>
        <v>32.280999999999999</v>
      </c>
      <c r="I45" s="174">
        <f t="shared" si="1"/>
        <v>1649.1099946289066</v>
      </c>
      <c r="J45" s="174">
        <f>Anchoveta!J62+'Sardina comun'!J62</f>
        <v>0</v>
      </c>
      <c r="K45" s="1">
        <f>Anchoveta!K62</f>
        <v>-167.15599462890691</v>
      </c>
      <c r="L45" s="1">
        <f>'Sardina comun'!K62</f>
        <v>192.71899999999999</v>
      </c>
      <c r="M45" s="1">
        <f t="shared" si="2"/>
        <v>25.563005371093084</v>
      </c>
      <c r="N45" s="39">
        <f t="shared" si="3"/>
        <v>-167.15599462890691</v>
      </c>
      <c r="O45" s="175" t="s">
        <v>284</v>
      </c>
      <c r="P45" s="6">
        <f t="shared" si="4"/>
        <v>0.98473552426587574</v>
      </c>
      <c r="Q45" s="3">
        <f t="shared" si="5"/>
        <v>-9.981410975689399E-2</v>
      </c>
    </row>
    <row r="46" spans="1:17">
      <c r="A46" s="51">
        <v>41</v>
      </c>
      <c r="B46" s="544"/>
      <c r="C46" s="15" t="s">
        <v>79</v>
      </c>
      <c r="D46" s="25" t="s">
        <v>19</v>
      </c>
      <c r="E46" s="1">
        <f>Anchoveta!H63+'Sardina comun'!H63</f>
        <v>4.1029999999999802</v>
      </c>
      <c r="F46" s="2">
        <f t="shared" si="0"/>
        <v>1.6411999999999922</v>
      </c>
      <c r="G46" s="174">
        <f>Anchoveta!I63</f>
        <v>0</v>
      </c>
      <c r="H46" s="174">
        <f>'Sardina comun'!I63</f>
        <v>0</v>
      </c>
      <c r="I46" s="174">
        <f t="shared" si="1"/>
        <v>0</v>
      </c>
      <c r="J46" s="174">
        <f>Anchoveta!J63+'Sardina comun'!J63</f>
        <v>0</v>
      </c>
      <c r="K46" s="1">
        <f>Anchoveta!K63</f>
        <v>3.5279999999999916</v>
      </c>
      <c r="L46" s="1">
        <f>'Sardina comun'!K63</f>
        <v>0.57499999999998863</v>
      </c>
      <c r="M46" s="1">
        <f t="shared" si="2"/>
        <v>4.1029999999999802</v>
      </c>
      <c r="N46" s="39" t="str">
        <f t="shared" si="3"/>
        <v>0</v>
      </c>
      <c r="O46" s="175" t="s">
        <v>284</v>
      </c>
      <c r="P46" s="6">
        <f t="shared" si="4"/>
        <v>0</v>
      </c>
      <c r="Q46" s="3">
        <f t="shared" si="5"/>
        <v>0</v>
      </c>
    </row>
    <row r="47" spans="1:17">
      <c r="A47" s="51">
        <v>42</v>
      </c>
      <c r="B47" s="544"/>
      <c r="C47" s="15" t="s">
        <v>80</v>
      </c>
      <c r="D47" s="25" t="s">
        <v>19</v>
      </c>
      <c r="E47" s="1">
        <f>Anchoveta!H64+'Sardina comun'!H64</f>
        <v>2548.1579999999999</v>
      </c>
      <c r="F47" s="2">
        <f t="shared" si="0"/>
        <v>1019.2632</v>
      </c>
      <c r="G47" s="174">
        <f>Anchoveta!I64</f>
        <v>678.07799999999997</v>
      </c>
      <c r="H47" s="174">
        <f>'Sardina comun'!I64</f>
        <v>0</v>
      </c>
      <c r="I47" s="174">
        <f t="shared" si="1"/>
        <v>678.07799999999997</v>
      </c>
      <c r="J47" s="174">
        <f>Anchoveta!J64+'Sardina comun'!J64</f>
        <v>0</v>
      </c>
      <c r="K47" s="1">
        <f>Anchoveta!K64</f>
        <v>344.22699999999998</v>
      </c>
      <c r="L47" s="1">
        <f>'Sardina comun'!K64</f>
        <v>1525.8530000000001</v>
      </c>
      <c r="M47" s="1">
        <f t="shared" si="2"/>
        <v>1870.08</v>
      </c>
      <c r="N47" s="39" t="str">
        <f t="shared" si="3"/>
        <v>0</v>
      </c>
      <c r="O47" s="175" t="s">
        <v>284</v>
      </c>
      <c r="P47" s="6">
        <f t="shared" si="4"/>
        <v>0.26610516302364295</v>
      </c>
      <c r="Q47" s="3">
        <f t="shared" si="5"/>
        <v>0</v>
      </c>
    </row>
    <row r="48" spans="1:17">
      <c r="A48" s="51">
        <v>43</v>
      </c>
      <c r="B48" s="544"/>
      <c r="C48" s="15" t="s">
        <v>81</v>
      </c>
      <c r="D48" s="25" t="s">
        <v>19</v>
      </c>
      <c r="E48" s="1">
        <f>Anchoveta!H65+'Sardina comun'!H65</f>
        <v>5393.3130000000001</v>
      </c>
      <c r="F48" s="2">
        <f t="shared" si="0"/>
        <v>2157.3252000000002</v>
      </c>
      <c r="G48" s="174">
        <f>Anchoveta!I65</f>
        <v>2569.6070001583093</v>
      </c>
      <c r="H48" s="174">
        <f>'Sardina comun'!I65</f>
        <v>88.2</v>
      </c>
      <c r="I48" s="174">
        <f t="shared" si="1"/>
        <v>2657.8070001583092</v>
      </c>
      <c r="J48" s="174">
        <f>Anchoveta!J65+'Sardina comun'!J65</f>
        <v>0</v>
      </c>
      <c r="K48" s="1">
        <f>Anchoveta!K65</f>
        <v>-405.84400015830943</v>
      </c>
      <c r="L48" s="1">
        <f>'Sardina comun'!K65</f>
        <v>3141.3500000000004</v>
      </c>
      <c r="M48" s="1">
        <f t="shared" si="2"/>
        <v>2735.5059998416909</v>
      </c>
      <c r="N48" s="39">
        <f t="shared" si="3"/>
        <v>-405.84400015830943</v>
      </c>
      <c r="O48" s="175" t="s">
        <v>284</v>
      </c>
      <c r="P48" s="6">
        <f t="shared" si="4"/>
        <v>0.49279672812579378</v>
      </c>
      <c r="Q48" s="3">
        <f t="shared" si="5"/>
        <v>-7.5249480265341437E-2</v>
      </c>
    </row>
    <row r="49" spans="1:17">
      <c r="A49" s="51">
        <v>44</v>
      </c>
      <c r="B49" s="544"/>
      <c r="C49" s="15" t="s">
        <v>82</v>
      </c>
      <c r="D49" s="25" t="s">
        <v>19</v>
      </c>
      <c r="E49" s="1">
        <f>Anchoveta!H66+'Sardina comun'!H66</f>
        <v>4495.3</v>
      </c>
      <c r="F49" s="2">
        <f t="shared" si="0"/>
        <v>1798.1200000000001</v>
      </c>
      <c r="G49" s="174">
        <f>Anchoveta!I66</f>
        <v>2978.1219907226568</v>
      </c>
      <c r="H49" s="174">
        <f>'Sardina comun'!I66</f>
        <v>548.77799243164122</v>
      </c>
      <c r="I49" s="174">
        <f t="shared" si="1"/>
        <v>3526.8999831542978</v>
      </c>
      <c r="J49" s="174">
        <f>Anchoveta!J66+'Sardina comun'!J66</f>
        <v>0.92900000000000005</v>
      </c>
      <c r="K49" s="1">
        <f>Anchoveta!K66</f>
        <v>-1158.1589907226569</v>
      </c>
      <c r="L49" s="1">
        <f>'Sardina comun'!K66</f>
        <v>2125.6300075683589</v>
      </c>
      <c r="M49" s="1">
        <f t="shared" si="2"/>
        <v>967.47101684570202</v>
      </c>
      <c r="N49" s="39">
        <f t="shared" si="3"/>
        <v>-1158.1589907226569</v>
      </c>
      <c r="O49" s="124" t="s">
        <v>284</v>
      </c>
      <c r="P49" s="6">
        <f t="shared" si="4"/>
        <v>0.78478165709836889</v>
      </c>
      <c r="Q49" s="3">
        <f t="shared" si="5"/>
        <v>-0.25763775292475627</v>
      </c>
    </row>
    <row r="50" spans="1:17">
      <c r="A50" s="51">
        <v>45</v>
      </c>
      <c r="B50" s="544"/>
      <c r="C50" s="15" t="s">
        <v>83</v>
      </c>
      <c r="D50" s="25" t="s">
        <v>19</v>
      </c>
      <c r="E50" s="1">
        <f>Anchoveta!H67+'Sardina comun'!H67</f>
        <v>21.654999999999745</v>
      </c>
      <c r="F50" s="2">
        <f t="shared" si="0"/>
        <v>8.6619999999998978</v>
      </c>
      <c r="G50" s="174">
        <f>Anchoveta!I67</f>
        <v>18.512000000953673</v>
      </c>
      <c r="H50" s="174">
        <f>'Sardina comun'!I67</f>
        <v>3.1259999747276304</v>
      </c>
      <c r="I50" s="174">
        <f t="shared" si="1"/>
        <v>21.637999975681304</v>
      </c>
      <c r="J50" s="174">
        <f>Anchoveta!J67+'Sardina comun'!J67</f>
        <v>0</v>
      </c>
      <c r="K50" s="1">
        <f>Anchoveta!K67</f>
        <v>2.4849999990461704</v>
      </c>
      <c r="L50" s="1">
        <f>'Sardina comun'!K67</f>
        <v>-2.4679999747277286</v>
      </c>
      <c r="M50" s="1">
        <f t="shared" si="2"/>
        <v>1.7000024318441831E-2</v>
      </c>
      <c r="N50" s="39">
        <f t="shared" si="3"/>
        <v>-2.4679999747277286</v>
      </c>
      <c r="O50" s="124">
        <f>Anchoveta!M67</f>
        <v>44797</v>
      </c>
      <c r="P50" s="6">
        <f t="shared" si="4"/>
        <v>0.99921496077956862</v>
      </c>
      <c r="Q50" s="3">
        <f t="shared" si="5"/>
        <v>-0.11396905909617906</v>
      </c>
    </row>
    <row r="51" spans="1:17">
      <c r="A51" s="51">
        <v>46</v>
      </c>
      <c r="B51" s="544"/>
      <c r="C51" s="15" t="s">
        <v>84</v>
      </c>
      <c r="D51" s="25" t="s">
        <v>19</v>
      </c>
      <c r="E51" s="1">
        <f>Anchoveta!H68+'Sardina comun'!H68</f>
        <v>7.3469999999999978</v>
      </c>
      <c r="F51" s="2">
        <f t="shared" si="0"/>
        <v>2.9387999999999992</v>
      </c>
      <c r="G51" s="174">
        <f>Anchoveta!I68</f>
        <v>0</v>
      </c>
      <c r="H51" s="174">
        <f>'Sardina comun'!I68</f>
        <v>0</v>
      </c>
      <c r="I51" s="174">
        <f t="shared" si="1"/>
        <v>0</v>
      </c>
      <c r="J51" s="174">
        <f>Anchoveta!J68+'Sardina comun'!J68</f>
        <v>0</v>
      </c>
      <c r="K51" s="1">
        <f>Anchoveta!K68</f>
        <v>4.7479999999999976</v>
      </c>
      <c r="L51" s="1">
        <f>'Sardina comun'!K68</f>
        <v>2.5990000000000002</v>
      </c>
      <c r="M51" s="1">
        <f t="shared" si="2"/>
        <v>7.3469999999999978</v>
      </c>
      <c r="N51" s="39" t="str">
        <f t="shared" si="3"/>
        <v>0</v>
      </c>
      <c r="O51" s="175" t="s">
        <v>284</v>
      </c>
      <c r="P51" s="6">
        <f t="shared" si="4"/>
        <v>0</v>
      </c>
      <c r="Q51" s="3">
        <f t="shared" si="5"/>
        <v>0</v>
      </c>
    </row>
    <row r="52" spans="1:17">
      <c r="A52" s="51">
        <v>47</v>
      </c>
      <c r="B52" s="544"/>
      <c r="C52" s="15" t="s">
        <v>85</v>
      </c>
      <c r="D52" s="25" t="s">
        <v>19</v>
      </c>
      <c r="E52" s="1">
        <f>Anchoveta!H69+'Sardina comun'!H69</f>
        <v>7342.3429999999998</v>
      </c>
      <c r="F52" s="2">
        <f t="shared" si="0"/>
        <v>2936.9372000000003</v>
      </c>
      <c r="G52" s="174">
        <f>Anchoveta!I69</f>
        <v>4307.3889999999992</v>
      </c>
      <c r="H52" s="174">
        <f>'Sardina comun'!I69</f>
        <v>450.77199999999971</v>
      </c>
      <c r="I52" s="174">
        <f t="shared" si="1"/>
        <v>4758.1609999999991</v>
      </c>
      <c r="J52" s="174">
        <f>Anchoveta!J69+'Sardina comun'!J69</f>
        <v>0</v>
      </c>
      <c r="K52" s="1">
        <f>Anchoveta!K69</f>
        <v>-1332.2319999999991</v>
      </c>
      <c r="L52" s="1">
        <f>'Sardina comun'!K69</f>
        <v>3916.4139999999998</v>
      </c>
      <c r="M52" s="1">
        <f t="shared" si="2"/>
        <v>2584.1820000000007</v>
      </c>
      <c r="N52" s="39">
        <f t="shared" si="3"/>
        <v>-1332.2319999999991</v>
      </c>
      <c r="O52" s="175" t="s">
        <v>284</v>
      </c>
      <c r="P52" s="6">
        <f t="shared" si="4"/>
        <v>0.64804395545127746</v>
      </c>
      <c r="Q52" s="3">
        <f t="shared" si="5"/>
        <v>-0.18144507822639164</v>
      </c>
    </row>
    <row r="53" spans="1:17">
      <c r="A53" s="51">
        <v>48</v>
      </c>
      <c r="B53" s="544"/>
      <c r="C53" s="15" t="s">
        <v>279</v>
      </c>
      <c r="D53" s="25" t="s">
        <v>19</v>
      </c>
      <c r="E53" s="1">
        <f>Anchoveta!H70+'Sardina comun'!H70</f>
        <v>159.452</v>
      </c>
      <c r="F53" s="2">
        <f t="shared" si="0"/>
        <v>63.780799999999999</v>
      </c>
      <c r="G53" s="174">
        <f>Anchoveta!I70</f>
        <v>0</v>
      </c>
      <c r="H53" s="174">
        <f>'Sardina comun'!I70</f>
        <v>0</v>
      </c>
      <c r="I53" s="174">
        <f t="shared" si="1"/>
        <v>0</v>
      </c>
      <c r="J53" s="174">
        <f>Anchoveta!J70+'Sardina comun'!J70</f>
        <v>0</v>
      </c>
      <c r="K53" s="1">
        <f>Anchoveta!K70</f>
        <v>81.430000000000007</v>
      </c>
      <c r="L53" s="1">
        <f>'Sardina comun'!K70</f>
        <v>78.021999999999991</v>
      </c>
      <c r="M53" s="1">
        <f t="shared" si="2"/>
        <v>159.452</v>
      </c>
      <c r="N53" s="39" t="str">
        <f t="shared" si="3"/>
        <v>0</v>
      </c>
      <c r="O53" s="124" t="s">
        <v>284</v>
      </c>
      <c r="P53" s="6">
        <f t="shared" si="4"/>
        <v>0</v>
      </c>
      <c r="Q53" s="3">
        <f t="shared" si="5"/>
        <v>0</v>
      </c>
    </row>
    <row r="54" spans="1:17">
      <c r="A54" s="51">
        <v>49</v>
      </c>
      <c r="B54" s="544"/>
      <c r="C54" s="15" t="s">
        <v>86</v>
      </c>
      <c r="D54" s="25" t="s">
        <v>19</v>
      </c>
      <c r="E54" s="1">
        <f>Anchoveta!H71+'Sardina comun'!H71</f>
        <v>2736.7250000000004</v>
      </c>
      <c r="F54" s="2">
        <f t="shared" si="0"/>
        <v>1094.6900000000003</v>
      </c>
      <c r="G54" s="174">
        <f>Anchoveta!I71</f>
        <v>767.34500878906238</v>
      </c>
      <c r="H54" s="174">
        <f>'Sardina comun'!I71</f>
        <v>0</v>
      </c>
      <c r="I54" s="174">
        <f t="shared" si="1"/>
        <v>767.34500878906238</v>
      </c>
      <c r="J54" s="174">
        <f>Anchoveta!J71+'Sardina comun'!J71</f>
        <v>0</v>
      </c>
      <c r="K54" s="1">
        <f>Anchoveta!K71</f>
        <v>281.20799121093773</v>
      </c>
      <c r="L54" s="1">
        <f>'Sardina comun'!K71</f>
        <v>1688.172</v>
      </c>
      <c r="M54" s="1">
        <f t="shared" si="2"/>
        <v>1969.3799912109378</v>
      </c>
      <c r="N54" s="39" t="str">
        <f t="shared" si="3"/>
        <v>0</v>
      </c>
      <c r="O54" s="175" t="s">
        <v>284</v>
      </c>
      <c r="P54" s="6">
        <f t="shared" si="4"/>
        <v>0.28038805827734326</v>
      </c>
      <c r="Q54" s="3">
        <f t="shared" si="5"/>
        <v>0</v>
      </c>
    </row>
    <row r="55" spans="1:17">
      <c r="A55" s="51">
        <v>50</v>
      </c>
      <c r="B55" s="544"/>
      <c r="C55" s="15" t="s">
        <v>87</v>
      </c>
      <c r="D55" s="25" t="s">
        <v>19</v>
      </c>
      <c r="E55" s="1">
        <f>Anchoveta!H72+'Sardina comun'!H72</f>
        <v>9333.1610000000001</v>
      </c>
      <c r="F55" s="2">
        <f t="shared" si="0"/>
        <v>3733.2644</v>
      </c>
      <c r="G55" s="174">
        <f>Anchoveta!I72</f>
        <v>3779.2060000000006</v>
      </c>
      <c r="H55" s="174">
        <f>'Sardina comun'!I72</f>
        <v>20.027000000000001</v>
      </c>
      <c r="I55" s="174">
        <f t="shared" si="1"/>
        <v>3799.2330000000006</v>
      </c>
      <c r="J55" s="174">
        <f>Anchoveta!J72+'Sardina comun'!J72</f>
        <v>0</v>
      </c>
      <c r="K55" s="1">
        <f>Anchoveta!K72</f>
        <v>423.10799999999972</v>
      </c>
      <c r="L55" s="1">
        <f>'Sardina comun'!K72</f>
        <v>5110.82</v>
      </c>
      <c r="M55" s="1">
        <f t="shared" si="2"/>
        <v>5533.9279999999999</v>
      </c>
      <c r="N55" s="39" t="str">
        <f t="shared" si="3"/>
        <v>0</v>
      </c>
      <c r="O55" s="175" t="s">
        <v>284</v>
      </c>
      <c r="P55" s="6">
        <f t="shared" si="4"/>
        <v>0.40706819479488254</v>
      </c>
      <c r="Q55" s="3">
        <f t="shared" si="5"/>
        <v>0</v>
      </c>
    </row>
    <row r="56" spans="1:17">
      <c r="A56" s="51">
        <v>51</v>
      </c>
      <c r="B56" s="544"/>
      <c r="C56" s="15" t="s">
        <v>88</v>
      </c>
      <c r="D56" s="25" t="s">
        <v>19</v>
      </c>
      <c r="E56" s="1">
        <f>Anchoveta!H73+'Sardina comun'!H73</f>
        <v>766.5300000000002</v>
      </c>
      <c r="F56" s="2">
        <f t="shared" si="0"/>
        <v>306.61200000000008</v>
      </c>
      <c r="G56" s="174">
        <f>Anchoveta!I73</f>
        <v>406.19999707031252</v>
      </c>
      <c r="H56" s="174">
        <f>'Sardina comun'!I73</f>
        <v>22.489000000000001</v>
      </c>
      <c r="I56" s="174">
        <f t="shared" si="1"/>
        <v>428.6889970703125</v>
      </c>
      <c r="J56" s="174">
        <f>Anchoveta!J73+'Sardina comun'!J73</f>
        <v>0</v>
      </c>
      <c r="K56" s="1">
        <f>Anchoveta!K73</f>
        <v>8.2090029296875855</v>
      </c>
      <c r="L56" s="1">
        <f>'Sardina comun'!K73</f>
        <v>329.63200000000012</v>
      </c>
      <c r="M56" s="1">
        <f t="shared" si="2"/>
        <v>337.8410029296877</v>
      </c>
      <c r="N56" s="39" t="str">
        <f t="shared" si="3"/>
        <v>0</v>
      </c>
      <c r="O56" s="124" t="s">
        <v>284</v>
      </c>
      <c r="P56" s="6">
        <f t="shared" si="4"/>
        <v>0.55925925543724631</v>
      </c>
      <c r="Q56" s="3">
        <f t="shared" si="5"/>
        <v>0</v>
      </c>
    </row>
    <row r="57" spans="1:17">
      <c r="A57" s="51">
        <v>52</v>
      </c>
      <c r="B57" s="544"/>
      <c r="C57" s="15" t="s">
        <v>89</v>
      </c>
      <c r="D57" s="25" t="s">
        <v>19</v>
      </c>
      <c r="E57" s="1">
        <f>Anchoveta!H74+'Sardina comun'!H74</f>
        <v>5728.9130000000005</v>
      </c>
      <c r="F57" s="2">
        <f t="shared" si="0"/>
        <v>2291.5652000000005</v>
      </c>
      <c r="G57" s="174">
        <f>Anchoveta!I74</f>
        <v>2593.395</v>
      </c>
      <c r="H57" s="174">
        <f>'Sardina comun'!I74</f>
        <v>25.413999999999998</v>
      </c>
      <c r="I57" s="174">
        <f t="shared" si="1"/>
        <v>2618.8090000000002</v>
      </c>
      <c r="J57" s="174">
        <f>Anchoveta!J74+'Sardina comun'!J74</f>
        <v>0.13200000000000001</v>
      </c>
      <c r="K57" s="1">
        <f>Anchoveta!K74</f>
        <v>-385.42200000000003</v>
      </c>
      <c r="L57" s="1">
        <f>'Sardina comun'!K74</f>
        <v>3495.3939999999998</v>
      </c>
      <c r="M57" s="1">
        <f t="shared" si="2"/>
        <v>3109.9719999999998</v>
      </c>
      <c r="N57" s="39">
        <f t="shared" si="3"/>
        <v>-385.42200000000003</v>
      </c>
      <c r="O57" s="175" t="s">
        <v>284</v>
      </c>
      <c r="P57" s="6">
        <f t="shared" si="4"/>
        <v>0.45714448796831092</v>
      </c>
      <c r="Q57" s="3">
        <f t="shared" si="5"/>
        <v>-6.7276636946659862E-2</v>
      </c>
    </row>
    <row r="58" spans="1:17">
      <c r="A58" s="51">
        <v>53</v>
      </c>
      <c r="B58" s="544"/>
      <c r="C58" s="15" t="s">
        <v>173</v>
      </c>
      <c r="D58" s="25" t="s">
        <v>19</v>
      </c>
      <c r="E58" s="1">
        <f>Anchoveta!H75+'Sardina comun'!H75</f>
        <v>13866.038</v>
      </c>
      <c r="F58" s="2">
        <f t="shared" si="0"/>
        <v>5546.4152000000004</v>
      </c>
      <c r="G58" s="174">
        <f>Anchoveta!I75</f>
        <v>6265.0280398407031</v>
      </c>
      <c r="H58" s="174">
        <f>'Sardina comun'!I75</f>
        <v>2715.7999924492842</v>
      </c>
      <c r="I58" s="174">
        <f t="shared" si="1"/>
        <v>8980.8280322899882</v>
      </c>
      <c r="J58" s="174">
        <f>Anchoveta!J75+'Sardina comun'!J75</f>
        <v>0.19700000000000001</v>
      </c>
      <c r="K58" s="1">
        <f>Anchoveta!K75</f>
        <v>-823.34903984070297</v>
      </c>
      <c r="L58" s="1">
        <f>'Sardina comun'!K75</f>
        <v>5708.362007550716</v>
      </c>
      <c r="M58" s="1">
        <f t="shared" si="2"/>
        <v>4885.0129677100131</v>
      </c>
      <c r="N58" s="39">
        <f t="shared" si="3"/>
        <v>-823.34903984070297</v>
      </c>
      <c r="O58" s="124" t="s">
        <v>284</v>
      </c>
      <c r="P58" s="6">
        <f t="shared" si="4"/>
        <v>0.64769943889451242</v>
      </c>
      <c r="Q58" s="3">
        <f t="shared" si="5"/>
        <v>-5.9378824711190242E-2</v>
      </c>
    </row>
    <row r="59" spans="1:17">
      <c r="A59" s="51">
        <v>54</v>
      </c>
      <c r="B59" s="544"/>
      <c r="C59" s="15" t="s">
        <v>90</v>
      </c>
      <c r="D59" s="25" t="s">
        <v>19</v>
      </c>
      <c r="E59" s="1">
        <f>Anchoveta!H76+'Sardina comun'!H76</f>
        <v>5.382000000000005</v>
      </c>
      <c r="F59" s="2">
        <f t="shared" si="0"/>
        <v>2.1528000000000023</v>
      </c>
      <c r="G59" s="174">
        <f>Anchoveta!I76</f>
        <v>0</v>
      </c>
      <c r="H59" s="174">
        <f>'Sardina comun'!I76</f>
        <v>0</v>
      </c>
      <c r="I59" s="174">
        <f t="shared" si="1"/>
        <v>0</v>
      </c>
      <c r="J59" s="174">
        <f>Anchoveta!J76+'Sardina comun'!J76</f>
        <v>0</v>
      </c>
      <c r="K59" s="1">
        <f>Anchoveta!K76</f>
        <v>5.3170000000000073</v>
      </c>
      <c r="L59" s="1">
        <f>'Sardina comun'!K76</f>
        <v>6.4999999999997726E-2</v>
      </c>
      <c r="M59" s="1">
        <f t="shared" si="2"/>
        <v>5.382000000000005</v>
      </c>
      <c r="N59" s="39" t="str">
        <f t="shared" si="3"/>
        <v>0</v>
      </c>
      <c r="O59" s="124" t="str">
        <f>Anchoveta!M76</f>
        <v>-</v>
      </c>
      <c r="P59" s="6">
        <f t="shared" si="4"/>
        <v>0</v>
      </c>
      <c r="Q59" s="3">
        <f t="shared" si="5"/>
        <v>0</v>
      </c>
    </row>
    <row r="60" spans="1:17">
      <c r="A60" s="51">
        <v>55</v>
      </c>
      <c r="B60" s="544"/>
      <c r="C60" s="15" t="s">
        <v>91</v>
      </c>
      <c r="D60" s="25" t="s">
        <v>19</v>
      </c>
      <c r="E60" s="1">
        <f>Anchoveta!H77+'Sardina comun'!H77</f>
        <v>22553.048000000003</v>
      </c>
      <c r="F60" s="2">
        <f t="shared" si="0"/>
        <v>9021.2192000000014</v>
      </c>
      <c r="G60" s="174">
        <f>Anchoveta!I77</f>
        <v>4726.2368936762814</v>
      </c>
      <c r="H60" s="174">
        <f>'Sardina comun'!I77</f>
        <v>6817.7659535446164</v>
      </c>
      <c r="I60" s="174">
        <f t="shared" si="1"/>
        <v>11544.002847220898</v>
      </c>
      <c r="J60" s="174">
        <f>Anchoveta!J77+'Sardina comun'!J77</f>
        <v>1.635</v>
      </c>
      <c r="K60" s="1">
        <f>Anchoveta!K77</f>
        <v>4453.0631063237179</v>
      </c>
      <c r="L60" s="1">
        <f>'Sardina comun'!K77</f>
        <v>6554.3470464553848</v>
      </c>
      <c r="M60" s="1">
        <f t="shared" si="2"/>
        <v>11007.410152779103</v>
      </c>
      <c r="N60" s="39" t="str">
        <f t="shared" si="3"/>
        <v>0</v>
      </c>
      <c r="O60" s="175" t="s">
        <v>284</v>
      </c>
      <c r="P60" s="6">
        <f t="shared" si="4"/>
        <v>0.5119324823509841</v>
      </c>
      <c r="Q60" s="3">
        <f t="shared" si="5"/>
        <v>0</v>
      </c>
    </row>
    <row r="61" spans="1:17">
      <c r="A61" s="51">
        <v>56</v>
      </c>
      <c r="B61" s="544"/>
      <c r="C61" s="15" t="s">
        <v>174</v>
      </c>
      <c r="D61" s="25" t="s">
        <v>19</v>
      </c>
      <c r="E61" s="1">
        <f>Anchoveta!H78+'Sardina comun'!H78</f>
        <v>115.08</v>
      </c>
      <c r="F61" s="2">
        <f t="shared" si="0"/>
        <v>46.032000000000004</v>
      </c>
      <c r="G61" s="174">
        <f>Anchoveta!I78</f>
        <v>15.278999999783933</v>
      </c>
      <c r="H61" s="174">
        <f>'Sardina comun'!I78</f>
        <v>55.536999999999999</v>
      </c>
      <c r="I61" s="174">
        <f t="shared" si="1"/>
        <v>70.815999999783926</v>
      </c>
      <c r="J61" s="174">
        <f>Anchoveta!J78+'Sardina comun'!J78</f>
        <v>0</v>
      </c>
      <c r="K61" s="1">
        <f>Anchoveta!K78</f>
        <v>31.543000000216068</v>
      </c>
      <c r="L61" s="1">
        <f>'Sardina comun'!K78</f>
        <v>12.720999999999997</v>
      </c>
      <c r="M61" s="1">
        <f t="shared" si="2"/>
        <v>44.264000000216065</v>
      </c>
      <c r="N61" s="39" t="str">
        <f t="shared" si="3"/>
        <v>0</v>
      </c>
      <c r="O61" s="124" t="str">
        <f>Anchoveta!M78</f>
        <v>-</v>
      </c>
      <c r="P61" s="6">
        <f t="shared" si="4"/>
        <v>0.61536322558032608</v>
      </c>
      <c r="Q61" s="3">
        <f t="shared" si="5"/>
        <v>0</v>
      </c>
    </row>
    <row r="62" spans="1:17">
      <c r="A62" s="51">
        <v>57</v>
      </c>
      <c r="B62" s="544"/>
      <c r="C62" s="15" t="s">
        <v>92</v>
      </c>
      <c r="D62" s="25" t="s">
        <v>19</v>
      </c>
      <c r="E62" s="1">
        <f>Anchoveta!H79+'Sardina comun'!H79</f>
        <v>0.97799999999999998</v>
      </c>
      <c r="F62" s="2">
        <f t="shared" si="0"/>
        <v>0.39119999999999999</v>
      </c>
      <c r="G62" s="174">
        <f>Anchoveta!I79</f>
        <v>0</v>
      </c>
      <c r="H62" s="174">
        <f>'Sardina comun'!I79</f>
        <v>0</v>
      </c>
      <c r="I62" s="174">
        <f t="shared" si="1"/>
        <v>0</v>
      </c>
      <c r="J62" s="174">
        <f>Anchoveta!J79+'Sardina comun'!J79</f>
        <v>0</v>
      </c>
      <c r="K62" s="1">
        <f>Anchoveta!K79</f>
        <v>0.5970000000000002</v>
      </c>
      <c r="L62" s="1">
        <f>'Sardina comun'!K79</f>
        <v>0.38099999999999978</v>
      </c>
      <c r="M62" s="1">
        <f t="shared" si="2"/>
        <v>0.97799999999999998</v>
      </c>
      <c r="N62" s="39" t="str">
        <f t="shared" si="3"/>
        <v>0</v>
      </c>
      <c r="O62" s="124" t="str">
        <f>Anchoveta!M79</f>
        <v>-</v>
      </c>
      <c r="P62" s="6">
        <f t="shared" si="4"/>
        <v>0</v>
      </c>
      <c r="Q62" s="3">
        <f t="shared" si="5"/>
        <v>0</v>
      </c>
    </row>
    <row r="63" spans="1:17">
      <c r="A63" s="51">
        <v>58</v>
      </c>
      <c r="B63" s="544"/>
      <c r="C63" s="15" t="s">
        <v>175</v>
      </c>
      <c r="D63" s="25" t="s">
        <v>19</v>
      </c>
      <c r="E63" s="1">
        <f>Anchoveta!H80+'Sardina comun'!H80</f>
        <v>14029.134999999998</v>
      </c>
      <c r="F63" s="2">
        <f t="shared" si="0"/>
        <v>5611.6539999999995</v>
      </c>
      <c r="G63" s="174">
        <f>Anchoveta!I80</f>
        <v>9825.7539806547156</v>
      </c>
      <c r="H63" s="174">
        <f>'Sardina comun'!I80</f>
        <v>238.87999999999997</v>
      </c>
      <c r="I63" s="174">
        <f t="shared" si="1"/>
        <v>10064.633980654715</v>
      </c>
      <c r="J63" s="174">
        <f>Anchoveta!J80+'Sardina comun'!J80</f>
        <v>0</v>
      </c>
      <c r="K63" s="1">
        <f>Anchoveta!K80</f>
        <v>-3282.2319806547157</v>
      </c>
      <c r="L63" s="1">
        <f>'Sardina comun'!K80</f>
        <v>7246.7329999999993</v>
      </c>
      <c r="M63" s="1">
        <f t="shared" si="2"/>
        <v>3964.5010193452836</v>
      </c>
      <c r="N63" s="39">
        <f t="shared" si="3"/>
        <v>-3282.2319806547157</v>
      </c>
      <c r="O63" s="175" t="s">
        <v>284</v>
      </c>
      <c r="P63" s="6">
        <f t="shared" si="4"/>
        <v>0.71740944688711861</v>
      </c>
      <c r="Q63" s="3">
        <f t="shared" si="5"/>
        <v>-0.23395825762990491</v>
      </c>
    </row>
    <row r="64" spans="1:17">
      <c r="A64" s="51">
        <v>59</v>
      </c>
      <c r="B64" s="544"/>
      <c r="C64" s="15" t="s">
        <v>176</v>
      </c>
      <c r="D64" s="25" t="s">
        <v>19</v>
      </c>
      <c r="E64" s="1">
        <f>Anchoveta!H81+'Sardina comun'!H81</f>
        <v>1280.165</v>
      </c>
      <c r="F64" s="2">
        <f t="shared" si="0"/>
        <v>512.06600000000003</v>
      </c>
      <c r="G64" s="174">
        <f>Anchoveta!I81</f>
        <v>419.49200012207029</v>
      </c>
      <c r="H64" s="174">
        <f>'Sardina comun'!I81</f>
        <v>112.75800054931642</v>
      </c>
      <c r="I64" s="174">
        <f t="shared" si="1"/>
        <v>532.25000067138672</v>
      </c>
      <c r="J64" s="174">
        <f>Anchoveta!J81+'Sardina comun'!J81</f>
        <v>0</v>
      </c>
      <c r="K64" s="1">
        <f>Anchoveta!K81</f>
        <v>24.257999877929706</v>
      </c>
      <c r="L64" s="1">
        <f>'Sardina comun'!K81</f>
        <v>723.65699945068354</v>
      </c>
      <c r="M64" s="1">
        <f t="shared" si="2"/>
        <v>747.91499932861325</v>
      </c>
      <c r="N64" s="39" t="str">
        <f t="shared" si="3"/>
        <v>0</v>
      </c>
      <c r="O64" s="124" t="s">
        <v>284</v>
      </c>
      <c r="P64" s="6">
        <f t="shared" si="4"/>
        <v>0.41576671809601634</v>
      </c>
      <c r="Q64" s="3">
        <f t="shared" si="5"/>
        <v>0</v>
      </c>
    </row>
    <row r="65" spans="1:17">
      <c r="A65" s="51">
        <v>60</v>
      </c>
      <c r="B65" s="544"/>
      <c r="C65" s="15" t="s">
        <v>177</v>
      </c>
      <c r="D65" s="25" t="s">
        <v>19</v>
      </c>
      <c r="E65" s="1">
        <f>Anchoveta!H82+'Sardina comun'!H82</f>
        <v>1118.9290000000001</v>
      </c>
      <c r="F65" s="2">
        <f t="shared" si="0"/>
        <v>447.57160000000005</v>
      </c>
      <c r="G65" s="174">
        <f>Anchoveta!I82</f>
        <v>102.25400646967429</v>
      </c>
      <c r="H65" s="174">
        <f>'Sardina comun'!I82</f>
        <v>822.05800000000022</v>
      </c>
      <c r="I65" s="174">
        <f t="shared" si="1"/>
        <v>924.31200646967454</v>
      </c>
      <c r="J65" s="174">
        <f>Anchoveta!J82+'Sardina comun'!J82</f>
        <v>0</v>
      </c>
      <c r="K65" s="1">
        <f>Anchoveta!K82</f>
        <v>256.83199353032569</v>
      </c>
      <c r="L65" s="1">
        <f>'Sardina comun'!K82</f>
        <v>-62.215000000000259</v>
      </c>
      <c r="M65" s="1">
        <f t="shared" si="2"/>
        <v>194.61699353032543</v>
      </c>
      <c r="N65" s="39">
        <f t="shared" si="3"/>
        <v>-62.215000000000259</v>
      </c>
      <c r="O65" s="175" t="s">
        <v>284</v>
      </c>
      <c r="P65" s="6">
        <f t="shared" si="4"/>
        <v>0.82606850521317654</v>
      </c>
      <c r="Q65" s="3">
        <f t="shared" si="5"/>
        <v>-5.5602276820066555E-2</v>
      </c>
    </row>
    <row r="66" spans="1:17" s="11" customFormat="1">
      <c r="A66" s="51">
        <v>61</v>
      </c>
      <c r="B66" s="544"/>
      <c r="C66" s="15" t="s">
        <v>322</v>
      </c>
      <c r="D66" s="25" t="s">
        <v>19</v>
      </c>
      <c r="E66" s="1">
        <f>Anchoveta!H83+'Sardina comun'!H83</f>
        <v>2001.367</v>
      </c>
      <c r="F66" s="2">
        <f t="shared" si="0"/>
        <v>800.54680000000008</v>
      </c>
      <c r="G66" s="174">
        <f>Anchoveta!I83</f>
        <v>1111.941</v>
      </c>
      <c r="H66" s="174">
        <f>'Sardina comun'!I83</f>
        <v>575.21900000000005</v>
      </c>
      <c r="I66" s="174">
        <f t="shared" ref="I66" si="11">G66+H66</f>
        <v>1687.16</v>
      </c>
      <c r="J66" s="174">
        <f>Anchoveta!J83+'Sardina comun'!J83</f>
        <v>0</v>
      </c>
      <c r="K66" s="1">
        <f>Anchoveta!K83</f>
        <v>72.426999999999907</v>
      </c>
      <c r="L66" s="1">
        <f>'Sardina comun'!K83</f>
        <v>241.77999999999997</v>
      </c>
      <c r="M66" s="1">
        <f t="shared" ref="M66" si="12">K66+L66</f>
        <v>314.20699999999988</v>
      </c>
      <c r="N66" s="39" t="str">
        <f t="shared" ref="N66" si="13">IF(K66&lt;0,K66,IF(K66&lt;0,L66,IF(L66&lt;0,L66,IF(L66&gt;0,"0","0"))))</f>
        <v>0</v>
      </c>
      <c r="O66" s="175" t="s">
        <v>284</v>
      </c>
      <c r="P66" s="6">
        <f t="shared" ref="P66" si="14">(I66+J66)/E66</f>
        <v>0.84300380689798526</v>
      </c>
      <c r="Q66" s="3">
        <f t="shared" ref="Q66" si="15">N66/E66</f>
        <v>0</v>
      </c>
    </row>
    <row r="67" spans="1:17">
      <c r="A67" s="51">
        <v>62</v>
      </c>
      <c r="B67" s="544"/>
      <c r="C67" s="15" t="s">
        <v>178</v>
      </c>
      <c r="D67" s="25" t="s">
        <v>19</v>
      </c>
      <c r="E67" s="1">
        <f>Anchoveta!H84+'Sardina comun'!H84</f>
        <v>3628.605</v>
      </c>
      <c r="F67" s="2">
        <f t="shared" si="0"/>
        <v>1451.442</v>
      </c>
      <c r="G67" s="174">
        <f>Anchoveta!I84</f>
        <v>1943.500997558594</v>
      </c>
      <c r="H67" s="174">
        <f>'Sardina comun'!I84</f>
        <v>337.93201342824079</v>
      </c>
      <c r="I67" s="174">
        <f t="shared" si="1"/>
        <v>2281.4330109868347</v>
      </c>
      <c r="J67" s="174">
        <f>Anchoveta!J84+'Sardina comun'!J84</f>
        <v>0</v>
      </c>
      <c r="K67" s="1">
        <f>Anchoveta!K84</f>
        <v>-31.904997558593777</v>
      </c>
      <c r="L67" s="1">
        <f>'Sardina comun'!K84</f>
        <v>1379.0769865717589</v>
      </c>
      <c r="M67" s="1">
        <f t="shared" si="2"/>
        <v>1347.1719890131651</v>
      </c>
      <c r="N67" s="39">
        <f t="shared" si="3"/>
        <v>-31.904997558593777</v>
      </c>
      <c r="O67" s="175" t="s">
        <v>284</v>
      </c>
      <c r="P67" s="6">
        <f t="shared" si="4"/>
        <v>0.62873556393898888</v>
      </c>
      <c r="Q67" s="3">
        <f t="shared" si="5"/>
        <v>-8.7926345134269994E-3</v>
      </c>
    </row>
    <row r="68" spans="1:17">
      <c r="A68" s="51">
        <v>63</v>
      </c>
      <c r="B68" s="544"/>
      <c r="C68" s="15" t="s">
        <v>93</v>
      </c>
      <c r="D68" s="25" t="s">
        <v>19</v>
      </c>
      <c r="E68" s="1">
        <f>Anchoveta!H85+'Sardina comun'!H85</f>
        <v>6165.1399999999994</v>
      </c>
      <c r="F68" s="2">
        <f t="shared" si="0"/>
        <v>2466.056</v>
      </c>
      <c r="G68" s="174">
        <f>Anchoveta!I85</f>
        <v>2394.4619919433594</v>
      </c>
      <c r="H68" s="174">
        <f>'Sardina comun'!I85</f>
        <v>562.35002783203106</v>
      </c>
      <c r="I68" s="174">
        <f t="shared" si="1"/>
        <v>2956.8120197753906</v>
      </c>
      <c r="J68" s="174">
        <f>Anchoveta!J85+'Sardina comun'!J85</f>
        <v>0</v>
      </c>
      <c r="K68" s="1">
        <f>Anchoveta!K85</f>
        <v>219.7290080566404</v>
      </c>
      <c r="L68" s="1">
        <f>'Sardina comun'!K85</f>
        <v>2988.5989721679689</v>
      </c>
      <c r="M68" s="1">
        <f t="shared" si="2"/>
        <v>3208.3279802246093</v>
      </c>
      <c r="N68" s="39" t="str">
        <f t="shared" si="3"/>
        <v>0</v>
      </c>
      <c r="O68" s="124" t="s">
        <v>284</v>
      </c>
      <c r="P68" s="6">
        <f t="shared" si="4"/>
        <v>0.4796017640759806</v>
      </c>
      <c r="Q68" s="3">
        <f t="shared" si="5"/>
        <v>0</v>
      </c>
    </row>
    <row r="69" spans="1:17">
      <c r="A69" s="51">
        <v>64</v>
      </c>
      <c r="B69" s="544"/>
      <c r="C69" s="15" t="s">
        <v>94</v>
      </c>
      <c r="D69" s="25" t="s">
        <v>19</v>
      </c>
      <c r="E69" s="1">
        <f>Anchoveta!H86+'Sardina comun'!H86</f>
        <v>1896.671</v>
      </c>
      <c r="F69" s="2">
        <f t="shared" si="0"/>
        <v>758.66840000000002</v>
      </c>
      <c r="G69" s="174">
        <f>Anchoveta!I86</f>
        <v>631.28299751281747</v>
      </c>
      <c r="H69" s="174">
        <f>'Sardina comun'!I86</f>
        <v>946.57100390624998</v>
      </c>
      <c r="I69" s="174">
        <f t="shared" si="1"/>
        <v>1577.8540014190676</v>
      </c>
      <c r="J69" s="174">
        <f>Anchoveta!J86+'Sardina comun'!J86</f>
        <v>0</v>
      </c>
      <c r="K69" s="1">
        <f>Anchoveta!K86</f>
        <v>129.64900248718254</v>
      </c>
      <c r="L69" s="1">
        <f>'Sardina comun'!K86</f>
        <v>189.16799609375005</v>
      </c>
      <c r="M69" s="1">
        <f t="shared" si="2"/>
        <v>318.81699858093259</v>
      </c>
      <c r="N69" s="39" t="str">
        <f t="shared" si="3"/>
        <v>0</v>
      </c>
      <c r="O69" s="175" t="s">
        <v>284</v>
      </c>
      <c r="P69" s="6">
        <f t="shared" si="4"/>
        <v>0.83190706317493524</v>
      </c>
      <c r="Q69" s="3">
        <f t="shared" si="5"/>
        <v>0</v>
      </c>
    </row>
    <row r="70" spans="1:17">
      <c r="A70" s="51">
        <v>65</v>
      </c>
      <c r="B70" s="544"/>
      <c r="C70" s="15" t="s">
        <v>95</v>
      </c>
      <c r="D70" s="25" t="s">
        <v>19</v>
      </c>
      <c r="E70" s="1">
        <f>Anchoveta!H87+'Sardina comun'!H87</f>
        <v>2285.0280000000002</v>
      </c>
      <c r="F70" s="2">
        <f t="shared" si="0"/>
        <v>914.01120000000014</v>
      </c>
      <c r="G70" s="174">
        <f>Anchoveta!I87</f>
        <v>435.38200002577895</v>
      </c>
      <c r="H70" s="174">
        <f>'Sardina comun'!I87</f>
        <v>1177.915</v>
      </c>
      <c r="I70" s="174">
        <f t="shared" si="1"/>
        <v>1613.297000025779</v>
      </c>
      <c r="J70" s="174">
        <f>Anchoveta!J87+'Sardina comun'!J87</f>
        <v>0</v>
      </c>
      <c r="K70" s="1">
        <f>Anchoveta!K87</f>
        <v>468.62599997422109</v>
      </c>
      <c r="L70" s="1">
        <f>'Sardina comun'!K87</f>
        <v>203.10500000000002</v>
      </c>
      <c r="M70" s="1">
        <f t="shared" si="2"/>
        <v>671.73099997422105</v>
      </c>
      <c r="N70" s="39" t="str">
        <f t="shared" si="3"/>
        <v>0</v>
      </c>
      <c r="O70" s="124" t="str">
        <f>Anchoveta!M87</f>
        <v>-</v>
      </c>
      <c r="P70" s="6">
        <f t="shared" si="4"/>
        <v>0.70602942284548753</v>
      </c>
      <c r="Q70" s="3">
        <f t="shared" si="5"/>
        <v>0</v>
      </c>
    </row>
    <row r="71" spans="1:17">
      <c r="A71" s="51">
        <v>66</v>
      </c>
      <c r="B71" s="544"/>
      <c r="C71" s="15" t="s">
        <v>96</v>
      </c>
      <c r="D71" s="25" t="s">
        <v>19</v>
      </c>
      <c r="E71" s="1">
        <f>Anchoveta!H88+'Sardina comun'!H88</f>
        <v>156.13900000000001</v>
      </c>
      <c r="F71" s="2">
        <f t="shared" ref="F71:F85" si="16">E71*0.4</f>
        <v>62.455600000000004</v>
      </c>
      <c r="G71" s="174">
        <f>Anchoveta!I88</f>
        <v>0</v>
      </c>
      <c r="H71" s="174">
        <f>'Sardina comun'!I88</f>
        <v>0</v>
      </c>
      <c r="I71" s="174">
        <f t="shared" si="1"/>
        <v>0</v>
      </c>
      <c r="J71" s="174">
        <f>Anchoveta!J88+'Sardina comun'!J88</f>
        <v>0</v>
      </c>
      <c r="K71" s="1">
        <f>Anchoveta!K88</f>
        <v>62.642000000000003</v>
      </c>
      <c r="L71" s="1">
        <f>'Sardina comun'!K88</f>
        <v>93.497</v>
      </c>
      <c r="M71" s="1">
        <f t="shared" si="2"/>
        <v>156.13900000000001</v>
      </c>
      <c r="N71" s="39" t="str">
        <f t="shared" si="3"/>
        <v>0</v>
      </c>
      <c r="O71" s="124" t="s">
        <v>284</v>
      </c>
      <c r="P71" s="6">
        <f t="shared" si="4"/>
        <v>0</v>
      </c>
      <c r="Q71" s="3">
        <f t="shared" si="5"/>
        <v>0</v>
      </c>
    </row>
    <row r="72" spans="1:17">
      <c r="A72" s="51">
        <v>67</v>
      </c>
      <c r="B72" s="544"/>
      <c r="C72" s="15" t="s">
        <v>97</v>
      </c>
      <c r="D72" s="25" t="s">
        <v>19</v>
      </c>
      <c r="E72" s="1">
        <f>Anchoveta!H89+'Sardina comun'!H89</f>
        <v>1540.6570000000002</v>
      </c>
      <c r="F72" s="2">
        <f t="shared" si="16"/>
        <v>616.26280000000008</v>
      </c>
      <c r="G72" s="174">
        <f>Anchoveta!I89</f>
        <v>250.14899780273456</v>
      </c>
      <c r="H72" s="174">
        <f>'Sardina comun'!I89</f>
        <v>205.39000317382806</v>
      </c>
      <c r="I72" s="174">
        <f t="shared" ref="I72:I85" si="17">G72+H72</f>
        <v>455.53900097656265</v>
      </c>
      <c r="J72" s="174">
        <f>Anchoveta!J89+'Sardina comun'!J89</f>
        <v>0</v>
      </c>
      <c r="K72" s="1">
        <f>Anchoveta!K89</f>
        <v>420.34000219726545</v>
      </c>
      <c r="L72" s="1">
        <f>'Sardina comun'!K89</f>
        <v>664.77799682617206</v>
      </c>
      <c r="M72" s="1">
        <f t="shared" ref="M72:M85" si="18">K72+L72</f>
        <v>1085.1179990234375</v>
      </c>
      <c r="N72" s="39" t="str">
        <f t="shared" ref="N72:N85" si="19">IF(K72&lt;0,K72,IF(K72&lt;0,L72,IF(L72&lt;0,L72,IF(L72&gt;0,"0","0"))))</f>
        <v>0</v>
      </c>
      <c r="O72" s="124" t="s">
        <v>284</v>
      </c>
      <c r="P72" s="6">
        <f t="shared" ref="P72:P85" si="20">(I72+J72)/E72</f>
        <v>0.29567840277009261</v>
      </c>
      <c r="Q72" s="3">
        <f t="shared" ref="Q72:Q85" si="21">N72/E72</f>
        <v>0</v>
      </c>
    </row>
    <row r="73" spans="1:17">
      <c r="A73" s="51">
        <v>68</v>
      </c>
      <c r="B73" s="544"/>
      <c r="C73" s="15" t="s">
        <v>98</v>
      </c>
      <c r="D73" s="25" t="s">
        <v>19</v>
      </c>
      <c r="E73" s="1">
        <f>Anchoveta!H90+'Sardina comun'!H90</f>
        <v>4243.7160000000003</v>
      </c>
      <c r="F73" s="2">
        <f t="shared" si="16"/>
        <v>1697.4864000000002</v>
      </c>
      <c r="G73" s="174">
        <f>Anchoveta!I90</f>
        <v>2221.1499931917187</v>
      </c>
      <c r="H73" s="174">
        <f>'Sardina comun'!I90</f>
        <v>342.91799658203126</v>
      </c>
      <c r="I73" s="174">
        <f t="shared" si="17"/>
        <v>2564.06798977375</v>
      </c>
      <c r="J73" s="174">
        <f>Anchoveta!J90+'Sardina comun'!J90</f>
        <v>0</v>
      </c>
      <c r="K73" s="1">
        <f>Anchoveta!K90</f>
        <v>-66.807993191718651</v>
      </c>
      <c r="L73" s="1">
        <f>'Sardina comun'!K90</f>
        <v>1746.4560034179685</v>
      </c>
      <c r="M73" s="1">
        <f t="shared" si="18"/>
        <v>1679.6480102262499</v>
      </c>
      <c r="N73" s="39">
        <f t="shared" si="19"/>
        <v>-66.807993191718651</v>
      </c>
      <c r="O73" s="175" t="s">
        <v>284</v>
      </c>
      <c r="P73" s="6">
        <f t="shared" si="20"/>
        <v>0.60420348340316599</v>
      </c>
      <c r="Q73" s="3">
        <f t="shared" si="21"/>
        <v>-1.5742804935985028E-2</v>
      </c>
    </row>
    <row r="74" spans="1:17">
      <c r="A74" s="51">
        <v>69</v>
      </c>
      <c r="B74" s="544"/>
      <c r="C74" s="15" t="s">
        <v>99</v>
      </c>
      <c r="D74" s="25" t="s">
        <v>19</v>
      </c>
      <c r="E74" s="1">
        <f>Anchoveta!H91+'Sardina comun'!H91</f>
        <v>6530.6319999999996</v>
      </c>
      <c r="F74" s="2">
        <f t="shared" si="16"/>
        <v>2612.2528000000002</v>
      </c>
      <c r="G74" s="174">
        <f>Anchoveta!I91</f>
        <v>3567.2439999999997</v>
      </c>
      <c r="H74" s="174">
        <f>'Sardina comun'!I91</f>
        <v>205.34001519775387</v>
      </c>
      <c r="I74" s="174">
        <f t="shared" si="17"/>
        <v>3772.5840151977536</v>
      </c>
      <c r="J74" s="174">
        <f>Anchoveta!J91+'Sardina comun'!J91</f>
        <v>0</v>
      </c>
      <c r="K74" s="1">
        <f>Anchoveta!K91</f>
        <v>-945.57899999999972</v>
      </c>
      <c r="L74" s="1">
        <f>'Sardina comun'!K91</f>
        <v>3703.6269848022462</v>
      </c>
      <c r="M74" s="1">
        <f t="shared" si="18"/>
        <v>2758.0479848022464</v>
      </c>
      <c r="N74" s="39">
        <f t="shared" si="19"/>
        <v>-945.57899999999972</v>
      </c>
      <c r="O74" s="175" t="s">
        <v>284</v>
      </c>
      <c r="P74" s="6">
        <f t="shared" si="20"/>
        <v>0.57767517985973693</v>
      </c>
      <c r="Q74" s="3">
        <f t="shared" si="21"/>
        <v>-0.14479134638117716</v>
      </c>
    </row>
    <row r="75" spans="1:17">
      <c r="A75" s="51">
        <v>70</v>
      </c>
      <c r="B75" s="544"/>
      <c r="C75" s="15" t="s">
        <v>100</v>
      </c>
      <c r="D75" s="25" t="s">
        <v>19</v>
      </c>
      <c r="E75" s="1">
        <f>Anchoveta!H92+'Sardina comun'!H92</f>
        <v>8650.3340000000007</v>
      </c>
      <c r="F75" s="2">
        <f t="shared" si="16"/>
        <v>3460.1336000000006</v>
      </c>
      <c r="G75" s="174">
        <f>Anchoveta!I92</f>
        <v>3736.975006591797</v>
      </c>
      <c r="H75" s="174">
        <f>'Sardina comun'!I92</f>
        <v>1392.8299941406246</v>
      </c>
      <c r="I75" s="174">
        <f t="shared" si="17"/>
        <v>5129.8050007324218</v>
      </c>
      <c r="J75" s="174">
        <f>Anchoveta!J92+'Sardina comun'!J92</f>
        <v>0</v>
      </c>
      <c r="K75" s="1">
        <f>Anchoveta!K92</f>
        <v>62.441993408202961</v>
      </c>
      <c r="L75" s="1">
        <f>'Sardina comun'!K92</f>
        <v>3458.0870058593755</v>
      </c>
      <c r="M75" s="1">
        <f t="shared" si="18"/>
        <v>3520.5289992675785</v>
      </c>
      <c r="N75" s="39" t="str">
        <f t="shared" si="19"/>
        <v>0</v>
      </c>
      <c r="O75" s="175" t="s">
        <v>284</v>
      </c>
      <c r="P75" s="6">
        <f t="shared" si="20"/>
        <v>0.59301814250552887</v>
      </c>
      <c r="Q75" s="3">
        <f t="shared" si="21"/>
        <v>0</v>
      </c>
    </row>
    <row r="76" spans="1:17">
      <c r="A76" s="51">
        <v>71</v>
      </c>
      <c r="B76" s="544"/>
      <c r="C76" s="15" t="s">
        <v>179</v>
      </c>
      <c r="D76" s="25" t="s">
        <v>19</v>
      </c>
      <c r="E76" s="1">
        <f>Anchoveta!H93+'Sardina comun'!H93</f>
        <v>1212.1030000000001</v>
      </c>
      <c r="F76" s="2">
        <f t="shared" si="16"/>
        <v>484.84120000000007</v>
      </c>
      <c r="G76" s="174">
        <f>Anchoveta!I93</f>
        <v>226.47299999999998</v>
      </c>
      <c r="H76" s="174">
        <f>'Sardina comun'!I93</f>
        <v>45.686999999999998</v>
      </c>
      <c r="I76" s="174">
        <f t="shared" si="17"/>
        <v>272.15999999999997</v>
      </c>
      <c r="J76" s="174">
        <f>Anchoveta!J93+'Sardina comun'!J93</f>
        <v>0</v>
      </c>
      <c r="K76" s="1">
        <f>Anchoveta!K93</f>
        <v>600.63200000000006</v>
      </c>
      <c r="L76" s="1">
        <f>'Sardina comun'!K93</f>
        <v>339.31100000000004</v>
      </c>
      <c r="M76" s="1">
        <f t="shared" si="18"/>
        <v>939.9430000000001</v>
      </c>
      <c r="N76" s="39" t="str">
        <f t="shared" si="19"/>
        <v>0</v>
      </c>
      <c r="O76" s="124" t="s">
        <v>284</v>
      </c>
      <c r="P76" s="6">
        <f t="shared" si="20"/>
        <v>0.22453537364398896</v>
      </c>
      <c r="Q76" s="3">
        <f t="shared" si="21"/>
        <v>0</v>
      </c>
    </row>
    <row r="77" spans="1:17">
      <c r="A77" s="51">
        <v>72</v>
      </c>
      <c r="B77" s="544"/>
      <c r="C77" s="15" t="s">
        <v>180</v>
      </c>
      <c r="D77" s="25" t="s">
        <v>19</v>
      </c>
      <c r="E77" s="1">
        <f>Anchoveta!H94+'Sardina comun'!H94</f>
        <v>30.7</v>
      </c>
      <c r="F77" s="2">
        <f t="shared" si="16"/>
        <v>12.280000000000001</v>
      </c>
      <c r="G77" s="174">
        <f>Anchoveta!I94</f>
        <v>14.439000001132486</v>
      </c>
      <c r="H77" s="174">
        <f>'Sardina comun'!I94</f>
        <v>0</v>
      </c>
      <c r="I77" s="174">
        <f t="shared" si="17"/>
        <v>14.439000001132486</v>
      </c>
      <c r="J77" s="174">
        <f>Anchoveta!J94+'Sardina comun'!J94</f>
        <v>0</v>
      </c>
      <c r="K77" s="1">
        <f>Anchoveta!K94</f>
        <v>-2.122000001132486</v>
      </c>
      <c r="L77" s="1">
        <f>'Sardina comun'!K94</f>
        <v>18.382999999999999</v>
      </c>
      <c r="M77" s="1">
        <f t="shared" si="18"/>
        <v>16.260999998867511</v>
      </c>
      <c r="N77" s="39">
        <f t="shared" si="19"/>
        <v>-2.122000001132486</v>
      </c>
      <c r="O77" s="124" t="str">
        <f>Anchoveta!M94</f>
        <v>-</v>
      </c>
      <c r="P77" s="6">
        <f t="shared" si="20"/>
        <v>0.47032573293591162</v>
      </c>
      <c r="Q77" s="3">
        <f t="shared" si="21"/>
        <v>-6.9120521209527233E-2</v>
      </c>
    </row>
    <row r="78" spans="1:17">
      <c r="A78" s="51">
        <v>73</v>
      </c>
      <c r="B78" s="544"/>
      <c r="C78" s="15" t="s">
        <v>101</v>
      </c>
      <c r="D78" s="25" t="s">
        <v>19</v>
      </c>
      <c r="E78" s="1">
        <f>Anchoveta!H95+'Sardina comun'!H95</f>
        <v>644.12400000000002</v>
      </c>
      <c r="F78" s="2">
        <f t="shared" si="16"/>
        <v>257.64960000000002</v>
      </c>
      <c r="G78" s="174">
        <f>Anchoveta!I95</f>
        <v>205.14599729919433</v>
      </c>
      <c r="H78" s="174">
        <f>'Sardina comun'!I95</f>
        <v>353.31200378417975</v>
      </c>
      <c r="I78" s="174">
        <f t="shared" si="17"/>
        <v>558.45800108337403</v>
      </c>
      <c r="J78" s="174">
        <f>Anchoveta!J95+'Sardina comun'!J95</f>
        <v>0</v>
      </c>
      <c r="K78" s="1">
        <f>Anchoveta!K95</f>
        <v>61.595002700805651</v>
      </c>
      <c r="L78" s="1">
        <f>'Sardina comun'!K95</f>
        <v>24.070996215820287</v>
      </c>
      <c r="M78" s="1">
        <f t="shared" si="18"/>
        <v>85.665998916625938</v>
      </c>
      <c r="N78" s="39" t="str">
        <f t="shared" si="19"/>
        <v>0</v>
      </c>
      <c r="O78" s="124" t="s">
        <v>284</v>
      </c>
      <c r="P78" s="6">
        <f t="shared" si="20"/>
        <v>0.86700387050222316</v>
      </c>
      <c r="Q78" s="3">
        <f t="shared" si="21"/>
        <v>0</v>
      </c>
    </row>
    <row r="79" spans="1:17">
      <c r="A79" s="51">
        <v>74</v>
      </c>
      <c r="B79" s="544"/>
      <c r="C79" s="15" t="s">
        <v>102</v>
      </c>
      <c r="D79" s="25" t="s">
        <v>19</v>
      </c>
      <c r="E79" s="1">
        <f>Anchoveta!H96+'Sardina comun'!H96</f>
        <v>2852.6610000000001</v>
      </c>
      <c r="F79" s="2">
        <f t="shared" si="16"/>
        <v>1141.0644</v>
      </c>
      <c r="G79" s="174">
        <f>Anchoveta!I96</f>
        <v>1402.8029992675788</v>
      </c>
      <c r="H79" s="174">
        <f>'Sardina comun'!I96</f>
        <v>291.70499426269544</v>
      </c>
      <c r="I79" s="174">
        <f t="shared" si="17"/>
        <v>1694.5079935302742</v>
      </c>
      <c r="J79" s="174">
        <f>Anchoveta!J96+'Sardina comun'!J96</f>
        <v>2.3730000000000002</v>
      </c>
      <c r="K79" s="1">
        <f>Anchoveta!K96</f>
        <v>-28.290999267578854</v>
      </c>
      <c r="L79" s="1">
        <f>'Sardina comun'!K96</f>
        <v>1184.0710057373046</v>
      </c>
      <c r="M79" s="1">
        <f t="shared" si="18"/>
        <v>1155.7800064697258</v>
      </c>
      <c r="N79" s="39">
        <f t="shared" si="19"/>
        <v>-28.290999267578854</v>
      </c>
      <c r="O79" s="124" t="str">
        <f>Anchoveta!M96</f>
        <v>-</v>
      </c>
      <c r="P79" s="6">
        <f t="shared" si="20"/>
        <v>0.59484144576950226</v>
      </c>
      <c r="Q79" s="3">
        <f t="shared" si="21"/>
        <v>-9.9174066836469014E-3</v>
      </c>
    </row>
    <row r="80" spans="1:17">
      <c r="A80" s="51">
        <v>75</v>
      </c>
      <c r="B80" s="544"/>
      <c r="C80" s="15" t="s">
        <v>103</v>
      </c>
      <c r="D80" s="25" t="s">
        <v>19</v>
      </c>
      <c r="E80" s="1">
        <f>Anchoveta!H97+'Sardina comun'!H97</f>
        <v>13163.248</v>
      </c>
      <c r="F80" s="2">
        <f t="shared" si="16"/>
        <v>5265.2992000000004</v>
      </c>
      <c r="G80" s="174">
        <f>Anchoveta!I97</f>
        <v>6690.2100029067988</v>
      </c>
      <c r="H80" s="174">
        <f>'Sardina comun'!I97</f>
        <v>457.63099999999929</v>
      </c>
      <c r="I80" s="174">
        <f t="shared" si="17"/>
        <v>7147.8410029067982</v>
      </c>
      <c r="J80" s="174">
        <f>Anchoveta!J97+'Sardina comun'!J97</f>
        <v>67.89</v>
      </c>
      <c r="K80" s="1">
        <f>Anchoveta!K97</f>
        <v>276.27599709320111</v>
      </c>
      <c r="L80" s="1">
        <f>'Sardina comun'!K97</f>
        <v>5671.241</v>
      </c>
      <c r="M80" s="1">
        <f t="shared" si="18"/>
        <v>5947.5169970932011</v>
      </c>
      <c r="N80" s="39" t="str">
        <f t="shared" si="19"/>
        <v>0</v>
      </c>
      <c r="O80" s="124" t="s">
        <v>284</v>
      </c>
      <c r="P80" s="6">
        <f t="shared" si="20"/>
        <v>0.54817253332207971</v>
      </c>
      <c r="Q80" s="3">
        <f t="shared" si="21"/>
        <v>0</v>
      </c>
    </row>
    <row r="81" spans="1:17" s="11" customFormat="1">
      <c r="A81" s="51">
        <v>76</v>
      </c>
      <c r="B81" s="544"/>
      <c r="C81" s="15" t="s">
        <v>320</v>
      </c>
      <c r="D81" s="25" t="s">
        <v>19</v>
      </c>
      <c r="E81" s="1">
        <f>Anchoveta!H98+'Sardina comun'!H98</f>
        <v>92.123000000000005</v>
      </c>
      <c r="F81" s="2">
        <f t="shared" si="16"/>
        <v>36.849200000000003</v>
      </c>
      <c r="G81" s="174">
        <f>Anchoveta!I98</f>
        <v>0.88600000000000001</v>
      </c>
      <c r="H81" s="174">
        <f>'Sardina comun'!I98</f>
        <v>41.248999999999995</v>
      </c>
      <c r="I81" s="174">
        <f t="shared" ref="I81:I82" si="22">G81+H81</f>
        <v>42.134999999999998</v>
      </c>
      <c r="J81" s="174">
        <f>Anchoveta!J98+'Sardina comun'!J98</f>
        <v>0</v>
      </c>
      <c r="K81" s="1">
        <f>Anchoveta!K98</f>
        <v>37.157000000000004</v>
      </c>
      <c r="L81" s="1">
        <f>'Sardina comun'!K98</f>
        <v>12.831000000000003</v>
      </c>
      <c r="M81" s="1">
        <f t="shared" ref="M81:M82" si="23">K81+L81</f>
        <v>49.988000000000007</v>
      </c>
      <c r="N81" s="39" t="str">
        <f t="shared" ref="N81:N82" si="24">IF(K81&lt;0,K81,IF(K81&lt;0,L81,IF(L81&lt;0,L81,IF(L81&gt;0,"0","0"))))</f>
        <v>0</v>
      </c>
      <c r="O81" s="124" t="s">
        <v>284</v>
      </c>
      <c r="P81" s="6">
        <f t="shared" ref="P81:P82" si="25">(I81+J81)/E81</f>
        <v>0.45737763642087204</v>
      </c>
      <c r="Q81" s="3">
        <f t="shared" ref="Q81:Q82" si="26">N81/E81</f>
        <v>0</v>
      </c>
    </row>
    <row r="82" spans="1:17" s="11" customFormat="1">
      <c r="A82" s="51">
        <v>77</v>
      </c>
      <c r="B82" s="544"/>
      <c r="C82" s="15" t="s">
        <v>321</v>
      </c>
      <c r="D82" s="25" t="s">
        <v>19</v>
      </c>
      <c r="E82" s="1">
        <f>Anchoveta!H99+'Sardina comun'!H99</f>
        <v>43.004000000000005</v>
      </c>
      <c r="F82" s="2">
        <f t="shared" si="16"/>
        <v>17.201600000000003</v>
      </c>
      <c r="G82" s="174">
        <f>Anchoveta!I99</f>
        <v>0</v>
      </c>
      <c r="H82" s="174">
        <f>'Sardina comun'!I99</f>
        <v>0</v>
      </c>
      <c r="I82" s="174">
        <f t="shared" si="22"/>
        <v>0</v>
      </c>
      <c r="J82" s="174">
        <f>Anchoveta!J99+'Sardina comun'!J99</f>
        <v>0</v>
      </c>
      <c r="K82" s="1">
        <f>Anchoveta!K99</f>
        <v>17.253</v>
      </c>
      <c r="L82" s="1">
        <f>'Sardina comun'!K99</f>
        <v>25.751000000000001</v>
      </c>
      <c r="M82" s="1">
        <f t="shared" si="23"/>
        <v>43.004000000000005</v>
      </c>
      <c r="N82" s="39" t="str">
        <f t="shared" si="24"/>
        <v>0</v>
      </c>
      <c r="O82" s="124" t="s">
        <v>284</v>
      </c>
      <c r="P82" s="6">
        <f t="shared" si="25"/>
        <v>0</v>
      </c>
      <c r="Q82" s="3">
        <f t="shared" si="26"/>
        <v>0</v>
      </c>
    </row>
    <row r="83" spans="1:17" s="11" customFormat="1">
      <c r="A83" s="51">
        <v>78</v>
      </c>
      <c r="B83" s="544"/>
      <c r="C83" s="15" t="s">
        <v>261</v>
      </c>
      <c r="D83" s="25" t="s">
        <v>19</v>
      </c>
      <c r="E83" s="1">
        <f>Anchoveta!H100+'Sardina comun'!H100</f>
        <v>345.89499999999998</v>
      </c>
      <c r="F83" s="2">
        <f t="shared" si="16"/>
        <v>138.358</v>
      </c>
      <c r="G83" s="174">
        <f>Anchoveta!I100</f>
        <v>0</v>
      </c>
      <c r="H83" s="174">
        <f>'Sardina comun'!I100</f>
        <v>148.64199997329715</v>
      </c>
      <c r="I83" s="174">
        <f>G83+H83</f>
        <v>148.64199997329715</v>
      </c>
      <c r="J83" s="174">
        <f>Anchoveta!J100+'Sardina comun'!J100</f>
        <v>0</v>
      </c>
      <c r="K83" s="1">
        <f>Anchoveta!K100</f>
        <v>132.517</v>
      </c>
      <c r="L83" s="1">
        <f>'Sardina comun'!K100</f>
        <v>64.736000026702868</v>
      </c>
      <c r="M83" s="1">
        <f>K83+L83</f>
        <v>197.25300002670286</v>
      </c>
      <c r="N83" s="39" t="str">
        <f>IF(K83&lt;0,K83,IF(K83&lt;0,L83,IF(L83&lt;0,L83,IF(L83&gt;0,"0","0"))))</f>
        <v>0</v>
      </c>
      <c r="O83" s="124" t="s">
        <v>284</v>
      </c>
      <c r="P83" s="6">
        <f>(I83+J83)/E83</f>
        <v>0.42973156586044076</v>
      </c>
      <c r="Q83" s="3">
        <f>N83/E83</f>
        <v>0</v>
      </c>
    </row>
    <row r="84" spans="1:17">
      <c r="A84" s="51">
        <v>79</v>
      </c>
      <c r="B84" s="544"/>
      <c r="C84" s="15" t="s">
        <v>104</v>
      </c>
      <c r="D84" s="25" t="s">
        <v>19</v>
      </c>
      <c r="E84" s="1">
        <f>Anchoveta!H101+'Sardina comun'!H101</f>
        <v>2773.665</v>
      </c>
      <c r="F84" s="2">
        <f t="shared" si="16"/>
        <v>1109.4660000000001</v>
      </c>
      <c r="G84" s="174">
        <f>Anchoveta!I101</f>
        <v>1012.253989990234</v>
      </c>
      <c r="H84" s="174">
        <f>'Sardina comun'!I101</f>
        <v>1090.9199863281251</v>
      </c>
      <c r="I84" s="174">
        <f t="shared" si="17"/>
        <v>2103.1739763183591</v>
      </c>
      <c r="J84" s="174">
        <f>Anchoveta!J101+'Sardina comun'!J101</f>
        <v>0</v>
      </c>
      <c r="K84" s="1">
        <f>Anchoveta!K101</f>
        <v>201.71601000976602</v>
      </c>
      <c r="L84" s="1">
        <f>'Sardina comun'!K101</f>
        <v>468.77501367187506</v>
      </c>
      <c r="M84" s="1">
        <f t="shared" si="18"/>
        <v>670.49102368164108</v>
      </c>
      <c r="N84" s="39" t="str">
        <f t="shared" si="19"/>
        <v>0</v>
      </c>
      <c r="O84" s="124" t="s">
        <v>284</v>
      </c>
      <c r="P84" s="6">
        <f t="shared" si="20"/>
        <v>0.75826531910607775</v>
      </c>
      <c r="Q84" s="3">
        <f t="shared" si="21"/>
        <v>0</v>
      </c>
    </row>
    <row r="85" spans="1:17">
      <c r="A85" s="51">
        <v>80</v>
      </c>
      <c r="B85" s="544"/>
      <c r="C85" s="15" t="s">
        <v>105</v>
      </c>
      <c r="D85" s="25" t="s">
        <v>19</v>
      </c>
      <c r="E85" s="1">
        <f>Anchoveta!H102+'Sardina comun'!H102</f>
        <v>157.01400000000001</v>
      </c>
      <c r="F85" s="2">
        <f t="shared" si="16"/>
        <v>62.805600000000005</v>
      </c>
      <c r="G85" s="174">
        <f>Anchoveta!I102</f>
        <v>44.106000000000002</v>
      </c>
      <c r="H85" s="174">
        <f>'Sardina comun'!I102</f>
        <v>174.917</v>
      </c>
      <c r="I85" s="174">
        <f t="shared" si="17"/>
        <v>219.023</v>
      </c>
      <c r="J85" s="174">
        <f>Anchoveta!J102+'Sardina comun'!J102</f>
        <v>0</v>
      </c>
      <c r="K85" s="1">
        <f>Anchoveta!K102</f>
        <v>18.887</v>
      </c>
      <c r="L85" s="1">
        <f>'Sardina comun'!K102</f>
        <v>-80.896000000000001</v>
      </c>
      <c r="M85" s="1">
        <f t="shared" si="18"/>
        <v>-62.009</v>
      </c>
      <c r="N85" s="39">
        <f t="shared" si="19"/>
        <v>-80.896000000000001</v>
      </c>
      <c r="O85" s="124">
        <f>Anchoveta!M102</f>
        <v>44621</v>
      </c>
      <c r="P85" s="6">
        <f t="shared" si="20"/>
        <v>1.3949265670577145</v>
      </c>
      <c r="Q85" s="3">
        <f t="shared" si="21"/>
        <v>-0.5152152037397939</v>
      </c>
    </row>
  </sheetData>
  <mergeCells count="3">
    <mergeCell ref="B6:B85"/>
    <mergeCell ref="B2:Q2"/>
    <mergeCell ref="B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1:I12"/>
  <sheetViews>
    <sheetView workbookViewId="0">
      <selection activeCell="E10" activeCellId="2" sqref="E6 E8 E10"/>
    </sheetView>
  </sheetViews>
  <sheetFormatPr baseColWidth="10" defaultRowHeight="15"/>
  <cols>
    <col min="2" max="2" width="25.85546875" customWidth="1"/>
    <col min="3" max="3" width="14.7109375" customWidth="1"/>
    <col min="4" max="4" width="14.7109375" style="11" customWidth="1"/>
    <col min="5" max="5" width="14.140625" customWidth="1"/>
    <col min="6" max="6" width="12.42578125" customWidth="1"/>
    <col min="7" max="7" width="12.7109375" customWidth="1"/>
  </cols>
  <sheetData>
    <row r="1" spans="2:9" ht="24.75" customHeight="1"/>
    <row r="2" spans="2:9" s="11" customFormat="1">
      <c r="C2" s="551" t="s">
        <v>310</v>
      </c>
      <c r="D2" s="551"/>
      <c r="E2" s="551"/>
      <c r="F2" s="551"/>
      <c r="G2" s="551"/>
      <c r="H2" s="551"/>
    </row>
    <row r="3" spans="2:9">
      <c r="C3" s="552"/>
      <c r="D3" s="553"/>
      <c r="E3" s="553"/>
      <c r="F3" s="553"/>
      <c r="G3" s="553"/>
      <c r="H3" s="553"/>
    </row>
    <row r="5" spans="2:9" ht="31.5" customHeight="1">
      <c r="C5" s="64" t="s">
        <v>185</v>
      </c>
      <c r="D5" s="64" t="s">
        <v>190</v>
      </c>
      <c r="E5" s="65" t="s">
        <v>188</v>
      </c>
      <c r="F5" s="65" t="s">
        <v>189</v>
      </c>
      <c r="G5" s="66" t="s">
        <v>193</v>
      </c>
      <c r="H5" s="67" t="s">
        <v>194</v>
      </c>
      <c r="I5" s="64" t="s">
        <v>37</v>
      </c>
    </row>
    <row r="6" spans="2:9">
      <c r="C6" s="550" t="s">
        <v>186</v>
      </c>
      <c r="D6" s="63" t="s">
        <v>191</v>
      </c>
      <c r="E6" s="1">
        <v>472.4</v>
      </c>
      <c r="F6" s="43">
        <v>330.83199999999999</v>
      </c>
      <c r="G6" s="1">
        <f t="shared" ref="G6:G12" si="0">E6-F6</f>
        <v>141.56799999999998</v>
      </c>
      <c r="H6" s="554">
        <f>G6+G7</f>
        <v>945.41</v>
      </c>
      <c r="I6" s="548"/>
    </row>
    <row r="7" spans="2:9">
      <c r="B7" s="11"/>
      <c r="C7" s="550"/>
      <c r="D7" s="63" t="s">
        <v>192</v>
      </c>
      <c r="E7" s="1">
        <v>1081.5</v>
      </c>
      <c r="F7" s="83">
        <v>277.65800000000002</v>
      </c>
      <c r="G7" s="1">
        <f t="shared" si="0"/>
        <v>803.84199999999998</v>
      </c>
      <c r="H7" s="555"/>
      <c r="I7" s="549"/>
    </row>
    <row r="8" spans="2:9">
      <c r="C8" s="550" t="s">
        <v>187</v>
      </c>
      <c r="D8" s="63" t="s">
        <v>191</v>
      </c>
      <c r="E8" s="1">
        <v>944.8</v>
      </c>
      <c r="F8" s="83">
        <v>646.399</v>
      </c>
      <c r="G8" s="1">
        <f t="shared" si="0"/>
        <v>298.40099999999995</v>
      </c>
      <c r="H8" s="554">
        <f>G8+G9</f>
        <v>1495.9270000000001</v>
      </c>
      <c r="I8" s="548"/>
    </row>
    <row r="9" spans="2:9">
      <c r="C9" s="550"/>
      <c r="D9" s="63" t="s">
        <v>192</v>
      </c>
      <c r="E9" s="1">
        <v>1442</v>
      </c>
      <c r="F9" s="83">
        <v>244.47399999999999</v>
      </c>
      <c r="G9" s="1">
        <f t="shared" si="0"/>
        <v>1197.5260000000001</v>
      </c>
      <c r="H9" s="555"/>
      <c r="I9" s="549"/>
    </row>
    <row r="10" spans="2:9">
      <c r="C10" s="550" t="s">
        <v>268</v>
      </c>
      <c r="D10" s="63" t="s">
        <v>191</v>
      </c>
      <c r="E10" s="1">
        <v>944.8</v>
      </c>
      <c r="F10" s="83">
        <v>29.472999999999999</v>
      </c>
      <c r="G10" s="1">
        <f t="shared" si="0"/>
        <v>915.327</v>
      </c>
      <c r="H10" s="554">
        <f>G10+G11</f>
        <v>1624.7370000000001</v>
      </c>
      <c r="I10" s="546"/>
    </row>
    <row r="11" spans="2:9">
      <c r="C11" s="550"/>
      <c r="D11" s="63" t="s">
        <v>192</v>
      </c>
      <c r="E11" s="1">
        <v>721</v>
      </c>
      <c r="F11" s="83">
        <v>11.59</v>
      </c>
      <c r="G11" s="1">
        <f t="shared" si="0"/>
        <v>709.41</v>
      </c>
      <c r="H11" s="555"/>
      <c r="I11" s="547"/>
    </row>
    <row r="12" spans="2:9">
      <c r="C12" s="120" t="s">
        <v>281</v>
      </c>
      <c r="D12" s="63" t="s">
        <v>192</v>
      </c>
      <c r="E12" s="25">
        <v>360.5</v>
      </c>
      <c r="F12" s="83">
        <v>48.982999999999997</v>
      </c>
      <c r="G12" s="1">
        <f t="shared" si="0"/>
        <v>311.517</v>
      </c>
      <c r="H12" s="1"/>
      <c r="I12" s="141"/>
    </row>
  </sheetData>
  <mergeCells count="11">
    <mergeCell ref="C2:H2"/>
    <mergeCell ref="C3:H3"/>
    <mergeCell ref="C10:C11"/>
    <mergeCell ref="H6:H7"/>
    <mergeCell ref="H8:H9"/>
    <mergeCell ref="H10:H11"/>
    <mergeCell ref="I10:I11"/>
    <mergeCell ref="I6:I7"/>
    <mergeCell ref="I8:I9"/>
    <mergeCell ref="C6:C7"/>
    <mergeCell ref="C8:C9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D11" sqref="D11"/>
    </sheetView>
  </sheetViews>
  <sheetFormatPr baseColWidth="10" defaultRowHeight="15"/>
  <cols>
    <col min="2" max="2" width="13" customWidth="1"/>
    <col min="3" max="3" width="15.28515625" bestFit="1" customWidth="1"/>
    <col min="6" max="6" width="14.85546875" customWidth="1"/>
  </cols>
  <sheetData>
    <row r="2" spans="2:9">
      <c r="B2" s="556" t="s">
        <v>311</v>
      </c>
      <c r="C2" s="556"/>
      <c r="D2" s="556"/>
      <c r="E2" s="556"/>
      <c r="F2" s="556"/>
      <c r="G2" s="556"/>
      <c r="H2" s="95"/>
    </row>
    <row r="3" spans="2:9">
      <c r="B3" s="557"/>
      <c r="C3" s="558"/>
      <c r="D3" s="558"/>
      <c r="E3" s="558"/>
      <c r="F3" s="558"/>
      <c r="G3" s="558"/>
      <c r="H3" s="95"/>
    </row>
    <row r="4" spans="2:9">
      <c r="B4" s="95"/>
      <c r="C4" s="95"/>
      <c r="D4" s="95"/>
      <c r="E4" s="95"/>
      <c r="F4" s="95"/>
      <c r="G4" s="95"/>
      <c r="H4" s="95"/>
    </row>
    <row r="5" spans="2:9">
      <c r="B5" s="94" t="s">
        <v>257</v>
      </c>
      <c r="C5" s="94" t="s">
        <v>258</v>
      </c>
      <c r="D5" s="94" t="s">
        <v>201</v>
      </c>
      <c r="E5" s="94" t="s">
        <v>46</v>
      </c>
      <c r="F5" s="94" t="s">
        <v>190</v>
      </c>
      <c r="G5" s="94" t="s">
        <v>259</v>
      </c>
      <c r="H5" s="94" t="s">
        <v>141</v>
      </c>
      <c r="I5" s="94" t="s">
        <v>142</v>
      </c>
    </row>
    <row r="6" spans="2:9">
      <c r="B6" s="410">
        <v>1962</v>
      </c>
      <c r="C6" s="410" t="s">
        <v>596</v>
      </c>
      <c r="D6" s="410">
        <v>968700</v>
      </c>
      <c r="E6" s="410" t="s">
        <v>250</v>
      </c>
      <c r="F6" s="410" t="s">
        <v>192</v>
      </c>
      <c r="G6" s="559">
        <v>721</v>
      </c>
      <c r="H6" s="82"/>
      <c r="I6" s="559">
        <f>G6-(H6+H7+H8+H9)</f>
        <v>721</v>
      </c>
    </row>
    <row r="7" spans="2:9">
      <c r="B7" s="410">
        <v>1962</v>
      </c>
      <c r="C7" s="410" t="s">
        <v>635</v>
      </c>
      <c r="D7" s="410">
        <v>699098</v>
      </c>
      <c r="E7" s="410" t="s">
        <v>250</v>
      </c>
      <c r="F7" s="410" t="s">
        <v>192</v>
      </c>
      <c r="G7" s="559"/>
      <c r="H7" s="410"/>
      <c r="I7" s="559"/>
    </row>
    <row r="8" spans="2:9">
      <c r="B8" s="410">
        <v>1962</v>
      </c>
      <c r="C8" s="410" t="s">
        <v>779</v>
      </c>
      <c r="D8" s="410">
        <v>966328</v>
      </c>
      <c r="E8" s="410" t="s">
        <v>250</v>
      </c>
      <c r="F8" s="410" t="s">
        <v>192</v>
      </c>
      <c r="G8" s="559"/>
      <c r="H8" s="410"/>
      <c r="I8" s="559"/>
    </row>
    <row r="9" spans="2:9">
      <c r="B9" s="410">
        <v>1962</v>
      </c>
      <c r="C9" s="412" t="s">
        <v>780</v>
      </c>
      <c r="D9" s="412">
        <v>967684</v>
      </c>
      <c r="E9" s="410" t="s">
        <v>250</v>
      </c>
      <c r="F9" s="410" t="s">
        <v>192</v>
      </c>
      <c r="G9" s="559"/>
      <c r="H9" s="1"/>
      <c r="I9" s="559"/>
    </row>
  </sheetData>
  <mergeCells count="4">
    <mergeCell ref="B2:G2"/>
    <mergeCell ref="B3:G3"/>
    <mergeCell ref="G6:G9"/>
    <mergeCell ref="I6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Anchov y SardC LTP</vt:lpstr>
      <vt:lpstr>Anchoveta</vt:lpstr>
      <vt:lpstr>Sardina comun</vt:lpstr>
      <vt:lpstr>Remanente Anchoveta y Sardina</vt:lpstr>
      <vt:lpstr>IC Anch-SardC V-VII y IX-X</vt:lpstr>
      <vt:lpstr>IC Anch y SardC VIII</vt:lpstr>
      <vt:lpstr>Consumo humano</vt:lpstr>
      <vt:lpstr>Cuota Imprevistos</vt:lpstr>
      <vt:lpstr>Cesiones Indiv y Colecti VIII</vt:lpstr>
      <vt:lpstr>Cesiones Ind IX-XIV</vt:lpstr>
      <vt:lpstr>Remanente Cesiones</vt:lpstr>
      <vt:lpstr>Pescas de Investigacion</vt:lpstr>
      <vt:lpstr>Compilado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GALAY BARRIENTOS, ARISTOTELES</cp:lastModifiedBy>
  <dcterms:created xsi:type="dcterms:W3CDTF">2019-10-14T15:00:49Z</dcterms:created>
  <dcterms:modified xsi:type="dcterms:W3CDTF">2024-04-18T17:26:48Z</dcterms:modified>
</cp:coreProperties>
</file>