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2.- Pelagicos\Anchoveta y Sardina 2023\"/>
    </mc:Choice>
  </mc:AlternateContent>
  <bookViews>
    <workbookView xWindow="-120" yWindow="-120" windowWidth="20730" windowHeight="11160" tabRatio="831"/>
  </bookViews>
  <sheets>
    <sheet name="Resumen" sheetId="1" r:id="rId1"/>
    <sheet name="Artesanal Anchoveta XV-IV" sheetId="2" r:id="rId2"/>
    <sheet name="Remanente Anchoveta" sheetId="9" r:id="rId3"/>
    <sheet name="Remanente Ces. Ind. Anchoveta " sheetId="13" r:id="rId4"/>
    <sheet name="Artesanal S.española XV-IV" sheetId="7" r:id="rId5"/>
    <sheet name="Industrial" sheetId="3" r:id="rId6"/>
    <sheet name="Cesiones ind y colec" sheetId="5" r:id="rId7"/>
    <sheet name="P. Investigación" sheetId="4" r:id="rId8"/>
    <sheet name="Consumo humano" sheetId="8" r:id="rId9"/>
    <sheet name="Publicacion web" sheetId="6" r:id="rId10"/>
  </sheets>
  <definedNames>
    <definedName name="_xlnm._FilterDatabase" localSheetId="6" hidden="1">'Cesiones ind y colec'!$B$4:$O$207</definedName>
    <definedName name="_xlnm._FilterDatabase" localSheetId="9" hidden="1">'Publicacion web'!$A$1:$Q$61</definedName>
  </definedNames>
  <calcPr calcId="162913"/>
</workbook>
</file>

<file path=xl/calcChain.xml><?xml version="1.0" encoding="utf-8"?>
<calcChain xmlns="http://schemas.openxmlformats.org/spreadsheetml/2006/main">
  <c r="F13" i="3" l="1"/>
  <c r="U11" i="5" l="1"/>
  <c r="U10" i="5"/>
  <c r="U9" i="5"/>
  <c r="U6" i="5"/>
  <c r="T11" i="5"/>
  <c r="T10" i="5"/>
  <c r="T9" i="5"/>
  <c r="T8" i="5"/>
  <c r="I95" i="5" l="1"/>
  <c r="U8" i="5" s="1"/>
  <c r="U8" i="2"/>
  <c r="K206" i="5" l="1"/>
  <c r="J206" i="5"/>
  <c r="F28" i="3"/>
  <c r="K205" i="5"/>
  <c r="J205" i="5"/>
  <c r="G7" i="2" l="1"/>
  <c r="F27" i="1"/>
  <c r="E29" i="3" l="1"/>
  <c r="O158" i="5" l="1"/>
  <c r="N158" i="5"/>
  <c r="K203" i="5" l="1"/>
  <c r="J203" i="5"/>
  <c r="F14" i="3"/>
  <c r="K195" i="5"/>
  <c r="J195" i="5"/>
  <c r="K193" i="5"/>
  <c r="J193" i="5"/>
  <c r="F15" i="3"/>
  <c r="G15" i="3" s="1"/>
  <c r="H21" i="6" l="1"/>
  <c r="I21" i="6"/>
  <c r="K21" i="6"/>
  <c r="O21" i="6"/>
  <c r="E21" i="6"/>
  <c r="O37" i="6"/>
  <c r="H37" i="6"/>
  <c r="I37" i="6"/>
  <c r="K37" i="6"/>
  <c r="E37" i="6"/>
  <c r="G31" i="3"/>
  <c r="J31" i="3" s="1"/>
  <c r="M21" i="6" s="1"/>
  <c r="K31" i="3"/>
  <c r="L31" i="3"/>
  <c r="M31" i="3"/>
  <c r="O31" i="3" s="1"/>
  <c r="N31" i="3"/>
  <c r="P31" i="3" s="1"/>
  <c r="G47" i="3"/>
  <c r="J47" i="3" s="1"/>
  <c r="M37" i="6" s="1"/>
  <c r="K47" i="3"/>
  <c r="L47" i="3"/>
  <c r="M47" i="3"/>
  <c r="N47" i="3"/>
  <c r="P47" i="3" s="1"/>
  <c r="O47" i="3"/>
  <c r="J21" i="6" l="1"/>
  <c r="J37" i="6"/>
  <c r="I47" i="3"/>
  <c r="L37" i="6" s="1"/>
  <c r="I31" i="3"/>
  <c r="L21" i="6" s="1"/>
  <c r="K173" i="5" l="1"/>
  <c r="J173" i="5"/>
  <c r="K163" i="5"/>
  <c r="J163" i="5"/>
  <c r="T6" i="5"/>
  <c r="F39" i="3"/>
  <c r="F20" i="3"/>
  <c r="J147" i="5" l="1"/>
  <c r="K157" i="5"/>
  <c r="J157" i="5"/>
  <c r="K147" i="5"/>
  <c r="K146" i="5" l="1"/>
  <c r="J146" i="5"/>
  <c r="K132" i="5"/>
  <c r="J132" i="5"/>
  <c r="E36" i="6" l="1"/>
  <c r="H36" i="6"/>
  <c r="K36" i="6"/>
  <c r="O36" i="6"/>
  <c r="K46" i="3"/>
  <c r="N46" i="3"/>
  <c r="F46" i="3"/>
  <c r="I36" i="6" s="1"/>
  <c r="F48" i="3"/>
  <c r="E20" i="6"/>
  <c r="H20" i="6"/>
  <c r="K20" i="6"/>
  <c r="O20" i="6"/>
  <c r="F30" i="3"/>
  <c r="L30" i="3" s="1"/>
  <c r="G30" i="3"/>
  <c r="J30" i="3" s="1"/>
  <c r="M20" i="6" s="1"/>
  <c r="K30" i="3"/>
  <c r="N30" i="3"/>
  <c r="F27" i="3"/>
  <c r="G46" i="3" l="1"/>
  <c r="I46" i="3" s="1"/>
  <c r="L36" i="6" s="1"/>
  <c r="I20" i="6"/>
  <c r="J36" i="6"/>
  <c r="L46" i="3"/>
  <c r="M30" i="3"/>
  <c r="O30" i="3" s="1"/>
  <c r="J20" i="6"/>
  <c r="M46" i="3"/>
  <c r="O46" i="3" s="1"/>
  <c r="J46" i="3"/>
  <c r="M36" i="6" s="1"/>
  <c r="I30" i="3"/>
  <c r="L20" i="6" s="1"/>
  <c r="J89" i="5"/>
  <c r="K89" i="5"/>
  <c r="P46" i="3" l="1"/>
  <c r="P30" i="3"/>
  <c r="N54" i="6"/>
  <c r="K86" i="5" l="1"/>
  <c r="J86" i="5"/>
  <c r="F32" i="3"/>
  <c r="J66" i="5" l="1"/>
  <c r="K66" i="5"/>
  <c r="K51" i="5"/>
  <c r="J51" i="5"/>
  <c r="K48" i="5"/>
  <c r="J48" i="5"/>
  <c r="F29" i="3"/>
  <c r="K45" i="5"/>
  <c r="J45" i="5"/>
  <c r="F17" i="3"/>
  <c r="K37" i="5" l="1"/>
  <c r="J37" i="5"/>
  <c r="K31" i="5" l="1"/>
  <c r="J31" i="5"/>
  <c r="F18" i="3"/>
  <c r="G18" i="3" s="1"/>
  <c r="I18" i="3" s="1"/>
  <c r="K18" i="3"/>
  <c r="N18" i="3"/>
  <c r="L18" i="3" l="1"/>
  <c r="M18" i="3" s="1"/>
  <c r="J18" i="3"/>
  <c r="O18" i="3" l="1"/>
  <c r="P18" i="3"/>
  <c r="K23" i="5"/>
  <c r="J23" i="5"/>
  <c r="F22" i="3"/>
  <c r="K22" i="5" l="1"/>
  <c r="J22" i="5"/>
  <c r="H48" i="6" l="1"/>
  <c r="I48" i="6"/>
  <c r="K48" i="6"/>
  <c r="O48" i="6"/>
  <c r="E48" i="6"/>
  <c r="N12" i="2"/>
  <c r="O12" i="2"/>
  <c r="Q12" i="2"/>
  <c r="H12" i="2"/>
  <c r="J48" i="6" s="1"/>
  <c r="K12" i="2" l="1"/>
  <c r="L48" i="6" s="1"/>
  <c r="L12" i="2"/>
  <c r="M48" i="6" s="1"/>
  <c r="P12" i="2"/>
  <c r="S12" i="2" s="1"/>
  <c r="I88" i="13"/>
  <c r="H88" i="13"/>
  <c r="I104" i="13"/>
  <c r="H104" i="13"/>
  <c r="R12" i="2" l="1"/>
  <c r="U5" i="5"/>
  <c r="T5" i="5"/>
  <c r="K5" i="5" l="1"/>
  <c r="J5" i="5"/>
  <c r="I185" i="13" l="1"/>
  <c r="H185" i="13"/>
  <c r="I147" i="13"/>
  <c r="H147" i="13"/>
  <c r="I180" i="13"/>
  <c r="H180" i="13"/>
  <c r="I170" i="13"/>
  <c r="H170" i="13"/>
  <c r="F164" i="13"/>
  <c r="I146" i="13"/>
  <c r="H146" i="13"/>
  <c r="I137" i="13"/>
  <c r="H137" i="13"/>
  <c r="I142" i="13"/>
  <c r="H142" i="13"/>
  <c r="I133" i="13"/>
  <c r="H133" i="13"/>
  <c r="I129" i="13"/>
  <c r="H129" i="13"/>
  <c r="I119" i="13"/>
  <c r="H119" i="13"/>
  <c r="I118" i="13"/>
  <c r="H118" i="13"/>
  <c r="I164" i="13" l="1"/>
  <c r="H164" i="13"/>
  <c r="H82" i="13"/>
  <c r="I82" i="13"/>
  <c r="H84" i="13"/>
  <c r="I84" i="13"/>
  <c r="H85" i="13"/>
  <c r="I85" i="13"/>
  <c r="H87" i="13"/>
  <c r="I87" i="13"/>
  <c r="I80" i="13"/>
  <c r="H80" i="13"/>
  <c r="I57" i="13"/>
  <c r="H57" i="13"/>
  <c r="I3" i="13"/>
  <c r="H3" i="13"/>
  <c r="F86" i="13"/>
  <c r="I86" i="13" s="1"/>
  <c r="F83" i="13"/>
  <c r="I83" i="13" s="1"/>
  <c r="F81" i="13"/>
  <c r="H81" i="13" s="1"/>
  <c r="F71" i="13"/>
  <c r="H71" i="13" s="1"/>
  <c r="F64" i="13"/>
  <c r="H64" i="13" s="1"/>
  <c r="F47" i="13"/>
  <c r="H47" i="13" s="1"/>
  <c r="H86" i="13" l="1"/>
  <c r="I47" i="13"/>
  <c r="H83" i="13"/>
  <c r="I71" i="13"/>
  <c r="I64" i="13"/>
  <c r="I81" i="13"/>
  <c r="K4" i="6"/>
  <c r="O4" i="6"/>
  <c r="K5" i="6"/>
  <c r="O5" i="6"/>
  <c r="K6" i="6"/>
  <c r="O6" i="6"/>
  <c r="I4" i="6"/>
  <c r="I5" i="6"/>
  <c r="H4" i="6"/>
  <c r="H5" i="6"/>
  <c r="E4" i="6"/>
  <c r="E5" i="6"/>
  <c r="K13" i="3"/>
  <c r="L13" i="3"/>
  <c r="N13" i="3"/>
  <c r="K14" i="3"/>
  <c r="L14" i="3"/>
  <c r="N14" i="3"/>
  <c r="G13" i="3"/>
  <c r="J13" i="3" s="1"/>
  <c r="M4" i="6" s="1"/>
  <c r="G14" i="3"/>
  <c r="J14" i="3" s="1"/>
  <c r="M5" i="6" s="1"/>
  <c r="E16" i="3"/>
  <c r="H25" i="1"/>
  <c r="E2" i="6"/>
  <c r="E3" i="6"/>
  <c r="E6" i="6"/>
  <c r="M14" i="3" l="1"/>
  <c r="P14" i="3" s="1"/>
  <c r="I13" i="3"/>
  <c r="L4" i="6" s="1"/>
  <c r="J4" i="6"/>
  <c r="I14" i="3"/>
  <c r="L5" i="6" s="1"/>
  <c r="J5" i="6"/>
  <c r="M13" i="3"/>
  <c r="P13" i="3" s="1"/>
  <c r="G36" i="1"/>
  <c r="F36" i="1"/>
  <c r="H60" i="6"/>
  <c r="I60" i="6"/>
  <c r="K60" i="6"/>
  <c r="O60" i="6"/>
  <c r="K56" i="6"/>
  <c r="I56" i="6"/>
  <c r="H56" i="6"/>
  <c r="O56" i="6"/>
  <c r="H50" i="6"/>
  <c r="I50" i="6"/>
  <c r="K50" i="6"/>
  <c r="O50" i="6"/>
  <c r="O14" i="3" l="1"/>
  <c r="O13" i="3"/>
  <c r="O44" i="6"/>
  <c r="N44" i="6"/>
  <c r="K44" i="6"/>
  <c r="I44" i="6"/>
  <c r="H44" i="6"/>
  <c r="H38" i="6" l="1"/>
  <c r="I38" i="6"/>
  <c r="K38" i="6"/>
  <c r="E38" i="6"/>
  <c r="N48" i="3"/>
  <c r="L48" i="3"/>
  <c r="G48" i="3"/>
  <c r="J38" i="6" s="1"/>
  <c r="E22" i="6"/>
  <c r="J48" i="3" l="1"/>
  <c r="M38" i="6" s="1"/>
  <c r="I48" i="3"/>
  <c r="L38" i="6" s="1"/>
  <c r="K48" i="3"/>
  <c r="M48" i="3" s="1"/>
  <c r="V11" i="5"/>
  <c r="V10" i="5"/>
  <c r="I14" i="1" s="1"/>
  <c r="V8" i="5"/>
  <c r="O48" i="3" l="1"/>
  <c r="P48" i="3"/>
  <c r="N8" i="2" l="1"/>
  <c r="G16" i="1" l="1"/>
  <c r="G14" i="1"/>
  <c r="G12" i="1"/>
  <c r="G10" i="1"/>
  <c r="H16" i="1"/>
  <c r="H14" i="1"/>
  <c r="W8" i="5"/>
  <c r="J10" i="1" s="1"/>
  <c r="H12" i="1" l="1"/>
  <c r="V9" i="5"/>
  <c r="W9" i="5"/>
  <c r="J12" i="1" s="1"/>
  <c r="W10" i="5"/>
  <c r="J14" i="1" s="1"/>
  <c r="W11" i="5"/>
  <c r="J16" i="1" s="1"/>
  <c r="H10" i="1"/>
  <c r="I16" i="1" l="1"/>
  <c r="I12" i="1" l="1"/>
  <c r="I10" i="1" l="1"/>
  <c r="O49" i="6"/>
  <c r="K49" i="6"/>
  <c r="I49" i="6"/>
  <c r="H49" i="6"/>
  <c r="E49" i="6"/>
  <c r="O13" i="2"/>
  <c r="Q13" i="2"/>
  <c r="H13" i="2"/>
  <c r="N13" i="2"/>
  <c r="L13" i="2" l="1"/>
  <c r="M49" i="6" s="1"/>
  <c r="K13" i="2"/>
  <c r="J49" i="6"/>
  <c r="P13" i="2"/>
  <c r="R13" i="2" s="1"/>
  <c r="L49" i="6"/>
  <c r="K35" i="3"/>
  <c r="L35" i="3"/>
  <c r="N35" i="3"/>
  <c r="K36" i="3"/>
  <c r="L36" i="3"/>
  <c r="N36" i="3"/>
  <c r="N34" i="3"/>
  <c r="L34" i="3"/>
  <c r="K34" i="3"/>
  <c r="H9" i="2"/>
  <c r="J44" i="6" s="1"/>
  <c r="L12" i="3"/>
  <c r="N12" i="3"/>
  <c r="L15" i="3"/>
  <c r="N15" i="3"/>
  <c r="N11" i="3"/>
  <c r="L11" i="3"/>
  <c r="K12" i="3"/>
  <c r="K15" i="3"/>
  <c r="K11" i="3"/>
  <c r="B4" i="2"/>
  <c r="M35" i="3" l="1"/>
  <c r="P35" i="3" s="1"/>
  <c r="S13" i="2"/>
  <c r="M12" i="3"/>
  <c r="O12" i="3" s="1"/>
  <c r="M15" i="3"/>
  <c r="O15" i="3" s="1"/>
  <c r="M36" i="3"/>
  <c r="O36" i="3" s="1"/>
  <c r="E31" i="1"/>
  <c r="F35" i="1"/>
  <c r="O35" i="3" l="1"/>
  <c r="P36" i="3"/>
  <c r="P12" i="3"/>
  <c r="P15" i="3"/>
  <c r="P8" i="7" l="1"/>
  <c r="N8" i="7"/>
  <c r="M8" i="7"/>
  <c r="P7" i="7"/>
  <c r="N7" i="7"/>
  <c r="M7" i="7"/>
  <c r="E19" i="1" s="1"/>
  <c r="Q8" i="2"/>
  <c r="O8" i="2"/>
  <c r="Q7" i="2"/>
  <c r="O7" i="2"/>
  <c r="N7" i="2"/>
  <c r="P7" i="2" l="1"/>
  <c r="G6" i="9" l="1"/>
  <c r="H6" i="9"/>
  <c r="G7" i="9"/>
  <c r="H7" i="9"/>
  <c r="B3" i="9" l="1"/>
  <c r="N42" i="6" l="1"/>
  <c r="E9" i="1" l="1"/>
  <c r="F9" i="1"/>
  <c r="H9" i="1"/>
  <c r="H41" i="6" l="1"/>
  <c r="I41" i="6"/>
  <c r="K41" i="6"/>
  <c r="G9" i="1"/>
  <c r="R7" i="2" l="1"/>
  <c r="I9" i="1" s="1"/>
  <c r="J41" i="6"/>
  <c r="S7" i="2"/>
  <c r="J9" i="1" s="1"/>
  <c r="C4" i="4" l="1"/>
  <c r="D4" i="8" l="1"/>
  <c r="G29" i="1"/>
  <c r="G26" i="1"/>
  <c r="I26" i="1" l="1"/>
  <c r="I29" i="1"/>
  <c r="I6" i="6"/>
  <c r="H6" i="6"/>
  <c r="O22" i="6"/>
  <c r="I22" i="6"/>
  <c r="K22" i="6"/>
  <c r="L32" i="3"/>
  <c r="N32" i="3"/>
  <c r="H22" i="6"/>
  <c r="G32" i="3" l="1"/>
  <c r="J22" i="6" s="1"/>
  <c r="E33" i="3"/>
  <c r="K32" i="3"/>
  <c r="M32" i="3" s="1"/>
  <c r="P32" i="3" s="1"/>
  <c r="I15" i="3" l="1"/>
  <c r="L6" i="6" s="1"/>
  <c r="J6" i="6"/>
  <c r="J15" i="3"/>
  <c r="M6" i="6" s="1"/>
  <c r="J32" i="3"/>
  <c r="M22" i="6" s="1"/>
  <c r="I32" i="3"/>
  <c r="L22" i="6" s="1"/>
  <c r="O32" i="3"/>
  <c r="E49" i="3" l="1"/>
  <c r="E37" i="3"/>
  <c r="H28" i="1"/>
  <c r="G30" i="1"/>
  <c r="G28" i="1"/>
  <c r="G27" i="1"/>
  <c r="F24" i="1"/>
  <c r="H24" i="1"/>
  <c r="F23" i="1"/>
  <c r="H23" i="1"/>
  <c r="E24" i="1"/>
  <c r="E23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H21" i="1" s="1"/>
  <c r="M12" i="7"/>
  <c r="N12" i="7"/>
  <c r="P12" i="7"/>
  <c r="H12" i="7"/>
  <c r="H9" i="7"/>
  <c r="O14" i="2"/>
  <c r="Q14" i="2"/>
  <c r="N14" i="2"/>
  <c r="O9" i="2"/>
  <c r="Q9" i="2"/>
  <c r="N9" i="2"/>
  <c r="H14" i="2"/>
  <c r="G17" i="1"/>
  <c r="H36" i="1"/>
  <c r="H35" i="1"/>
  <c r="E59" i="6"/>
  <c r="I59" i="6"/>
  <c r="K59" i="6"/>
  <c r="H59" i="6"/>
  <c r="I57" i="6"/>
  <c r="K57" i="6"/>
  <c r="E57" i="6"/>
  <c r="H57" i="6"/>
  <c r="I54" i="6"/>
  <c r="K54" i="6"/>
  <c r="H54" i="6"/>
  <c r="E54" i="6"/>
  <c r="E52" i="6"/>
  <c r="I52" i="6"/>
  <c r="K52" i="6"/>
  <c r="H52" i="6"/>
  <c r="P11" i="7"/>
  <c r="H22" i="1" s="1"/>
  <c r="N11" i="7"/>
  <c r="F22" i="1" s="1"/>
  <c r="M11" i="7"/>
  <c r="E22" i="1" s="1"/>
  <c r="H11" i="7"/>
  <c r="H10" i="7"/>
  <c r="J57" i="6" s="1"/>
  <c r="H20" i="1"/>
  <c r="F20" i="1"/>
  <c r="H8" i="7"/>
  <c r="J8" i="7" s="1"/>
  <c r="H19" i="1"/>
  <c r="F19" i="1"/>
  <c r="H7" i="7"/>
  <c r="J7" i="7" s="1"/>
  <c r="B4" i="7"/>
  <c r="G23" i="1" l="1"/>
  <c r="J56" i="6"/>
  <c r="P14" i="2"/>
  <c r="S14" i="2" s="1"/>
  <c r="J50" i="6"/>
  <c r="K12" i="7"/>
  <c r="M60" i="6" s="1"/>
  <c r="J60" i="6"/>
  <c r="K11" i="7"/>
  <c r="M59" i="6" s="1"/>
  <c r="E33" i="1"/>
  <c r="H27" i="6"/>
  <c r="O7" i="7"/>
  <c r="G19" i="1" s="1"/>
  <c r="I19" i="1" s="1"/>
  <c r="O8" i="7"/>
  <c r="G20" i="1" s="1"/>
  <c r="I20" i="1" s="1"/>
  <c r="I55" i="6"/>
  <c r="I61" i="6"/>
  <c r="G24" i="1"/>
  <c r="J24" i="1" s="1"/>
  <c r="P5" i="4"/>
  <c r="J10" i="7"/>
  <c r="L57" i="6" s="1"/>
  <c r="L54" i="6"/>
  <c r="J54" i="6"/>
  <c r="L9" i="2"/>
  <c r="M44" i="6" s="1"/>
  <c r="O11" i="7"/>
  <c r="R11" i="7" s="1"/>
  <c r="M61" i="6" s="1"/>
  <c r="H53" i="6"/>
  <c r="H55" i="6"/>
  <c r="J59" i="6"/>
  <c r="H61" i="6"/>
  <c r="E20" i="1"/>
  <c r="L14" i="2"/>
  <c r="M50" i="6" s="1"/>
  <c r="J9" i="7"/>
  <c r="L56" i="6" s="1"/>
  <c r="K9" i="7"/>
  <c r="O9" i="7"/>
  <c r="Q9" i="7" s="1"/>
  <c r="G18" i="1"/>
  <c r="J18" i="1" s="1"/>
  <c r="K10" i="7"/>
  <c r="J11" i="7"/>
  <c r="L59" i="6" s="1"/>
  <c r="L52" i="6"/>
  <c r="J52" i="6"/>
  <c r="K53" i="6"/>
  <c r="I53" i="6"/>
  <c r="I58" i="6"/>
  <c r="K9" i="2"/>
  <c r="L44" i="6" s="1"/>
  <c r="K14" i="2"/>
  <c r="L50" i="6" s="1"/>
  <c r="P9" i="2"/>
  <c r="R9" i="2" s="1"/>
  <c r="J12" i="7"/>
  <c r="L60" i="6" s="1"/>
  <c r="O12" i="7"/>
  <c r="R12" i="7" s="1"/>
  <c r="O10" i="7"/>
  <c r="R10" i="7" s="1"/>
  <c r="K61" i="6"/>
  <c r="I17" i="1"/>
  <c r="I23" i="1"/>
  <c r="J17" i="1"/>
  <c r="J23" i="1"/>
  <c r="I28" i="1"/>
  <c r="J28" i="1"/>
  <c r="W6" i="5"/>
  <c r="J36" i="1" s="1"/>
  <c r="U7" i="5"/>
  <c r="V6" i="5"/>
  <c r="I36" i="1" s="1"/>
  <c r="K58" i="6"/>
  <c r="K55" i="6"/>
  <c r="H58" i="6"/>
  <c r="E21" i="1"/>
  <c r="K7" i="7"/>
  <c r="M52" i="6" s="1"/>
  <c r="K8" i="7"/>
  <c r="M54" i="6" s="1"/>
  <c r="I33" i="6"/>
  <c r="I10" i="6"/>
  <c r="B7" i="3"/>
  <c r="G25" i="1"/>
  <c r="I47" i="6"/>
  <c r="K47" i="6"/>
  <c r="H47" i="6"/>
  <c r="H45" i="6"/>
  <c r="I45" i="6"/>
  <c r="K45" i="6"/>
  <c r="I42" i="6"/>
  <c r="K42" i="6"/>
  <c r="H42" i="6"/>
  <c r="I40" i="6"/>
  <c r="K40" i="6"/>
  <c r="H40" i="6"/>
  <c r="I28" i="6"/>
  <c r="K28" i="6"/>
  <c r="I29" i="6"/>
  <c r="K29" i="6"/>
  <c r="I30" i="6"/>
  <c r="K30" i="6"/>
  <c r="I31" i="6"/>
  <c r="K31" i="6"/>
  <c r="I32" i="6"/>
  <c r="K32" i="6"/>
  <c r="K33" i="6"/>
  <c r="I34" i="6"/>
  <c r="K34" i="6"/>
  <c r="I35" i="6"/>
  <c r="K35" i="6"/>
  <c r="H29" i="6"/>
  <c r="H30" i="6"/>
  <c r="H31" i="6"/>
  <c r="H32" i="6"/>
  <c r="H33" i="6"/>
  <c r="H34" i="6"/>
  <c r="H35" i="6"/>
  <c r="H28" i="6"/>
  <c r="I26" i="6"/>
  <c r="K26" i="6"/>
  <c r="H26" i="6"/>
  <c r="I25" i="6"/>
  <c r="K25" i="6"/>
  <c r="H25" i="6"/>
  <c r="I24" i="6"/>
  <c r="K24" i="6"/>
  <c r="H24" i="6"/>
  <c r="I8" i="6"/>
  <c r="K8" i="6"/>
  <c r="I9" i="6"/>
  <c r="K9" i="6"/>
  <c r="K10" i="6"/>
  <c r="I11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H9" i="6"/>
  <c r="H10" i="6"/>
  <c r="H11" i="6"/>
  <c r="H12" i="6"/>
  <c r="H13" i="6"/>
  <c r="H14" i="6"/>
  <c r="H15" i="6"/>
  <c r="H16" i="6"/>
  <c r="H17" i="6"/>
  <c r="H18" i="6"/>
  <c r="H19" i="6"/>
  <c r="H8" i="6"/>
  <c r="I3" i="6"/>
  <c r="K3" i="6"/>
  <c r="H3" i="6"/>
  <c r="I2" i="6"/>
  <c r="K2" i="6"/>
  <c r="H2" i="6"/>
  <c r="O3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8" i="6"/>
  <c r="O39" i="6"/>
  <c r="O40" i="6"/>
  <c r="O41" i="6"/>
  <c r="O42" i="6"/>
  <c r="O43" i="6"/>
  <c r="O45" i="6"/>
  <c r="O46" i="6"/>
  <c r="O47" i="6"/>
  <c r="O51" i="6"/>
  <c r="O52" i="6"/>
  <c r="O53" i="6"/>
  <c r="O54" i="6"/>
  <c r="O55" i="6"/>
  <c r="O57" i="6"/>
  <c r="O58" i="6"/>
  <c r="O59" i="6"/>
  <c r="O61" i="6"/>
  <c r="O2" i="6"/>
  <c r="E47" i="6"/>
  <c r="E45" i="6"/>
  <c r="E42" i="6"/>
  <c r="E40" i="6"/>
  <c r="E29" i="6"/>
  <c r="E30" i="6"/>
  <c r="E31" i="6"/>
  <c r="E32" i="6"/>
  <c r="E33" i="6"/>
  <c r="E34" i="6"/>
  <c r="E35" i="6"/>
  <c r="E28" i="6"/>
  <c r="E26" i="6"/>
  <c r="E25" i="6"/>
  <c r="E24" i="6"/>
  <c r="E17" i="6"/>
  <c r="E18" i="6"/>
  <c r="E19" i="6"/>
  <c r="E9" i="6"/>
  <c r="E10" i="6"/>
  <c r="E11" i="6"/>
  <c r="E12" i="6"/>
  <c r="E13" i="6"/>
  <c r="E14" i="6"/>
  <c r="E15" i="6"/>
  <c r="E16" i="6"/>
  <c r="E8" i="6"/>
  <c r="N40" i="3"/>
  <c r="N39" i="3"/>
  <c r="N38" i="3"/>
  <c r="N41" i="3"/>
  <c r="N42" i="3"/>
  <c r="N43" i="3"/>
  <c r="N44" i="3"/>
  <c r="N45" i="3"/>
  <c r="L40" i="3"/>
  <c r="L41" i="3"/>
  <c r="L42" i="3"/>
  <c r="L43" i="3"/>
  <c r="L44" i="3"/>
  <c r="L45" i="3"/>
  <c r="L39" i="3"/>
  <c r="L38" i="3"/>
  <c r="K39" i="3"/>
  <c r="K40" i="3"/>
  <c r="K41" i="3"/>
  <c r="K42" i="3"/>
  <c r="K43" i="3"/>
  <c r="K44" i="3"/>
  <c r="K45" i="3"/>
  <c r="K38" i="3"/>
  <c r="N17" i="3"/>
  <c r="K19" i="3"/>
  <c r="L19" i="3"/>
  <c r="N19" i="3"/>
  <c r="K20" i="3"/>
  <c r="N20" i="3"/>
  <c r="K21" i="3"/>
  <c r="L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7" i="3"/>
  <c r="K17" i="3"/>
  <c r="G39" i="3"/>
  <c r="J29" i="6" s="1"/>
  <c r="G40" i="3"/>
  <c r="I40" i="3" s="1"/>
  <c r="L30" i="6" s="1"/>
  <c r="G41" i="3"/>
  <c r="J31" i="6" s="1"/>
  <c r="G42" i="3"/>
  <c r="I42" i="3" s="1"/>
  <c r="L32" i="6" s="1"/>
  <c r="G43" i="3"/>
  <c r="J33" i="6" s="1"/>
  <c r="G44" i="3"/>
  <c r="I44" i="3" s="1"/>
  <c r="L34" i="6" s="1"/>
  <c r="G45" i="3"/>
  <c r="J35" i="6" s="1"/>
  <c r="G38" i="3"/>
  <c r="I38" i="3" s="1"/>
  <c r="L28" i="6" s="1"/>
  <c r="G36" i="3"/>
  <c r="J36" i="3" s="1"/>
  <c r="M26" i="6" s="1"/>
  <c r="G35" i="3"/>
  <c r="J25" i="6" s="1"/>
  <c r="G34" i="3"/>
  <c r="J24" i="6" s="1"/>
  <c r="G19" i="3"/>
  <c r="J19" i="3" s="1"/>
  <c r="M9" i="6" s="1"/>
  <c r="G21" i="3"/>
  <c r="I21" i="3" s="1"/>
  <c r="L11" i="6" s="1"/>
  <c r="G22" i="3"/>
  <c r="I22" i="3" s="1"/>
  <c r="L12" i="6" s="1"/>
  <c r="G23" i="3"/>
  <c r="J23" i="3" s="1"/>
  <c r="M13" i="6" s="1"/>
  <c r="G24" i="3"/>
  <c r="I24" i="3" s="1"/>
  <c r="L14" i="6" s="1"/>
  <c r="G25" i="3"/>
  <c r="I25" i="3" s="1"/>
  <c r="L15" i="6" s="1"/>
  <c r="G26" i="3"/>
  <c r="M16" i="6" s="1"/>
  <c r="G27" i="3"/>
  <c r="I27" i="3" s="1"/>
  <c r="L17" i="6" s="1"/>
  <c r="G28" i="3"/>
  <c r="I28" i="3" s="1"/>
  <c r="L18" i="6" s="1"/>
  <c r="G29" i="3"/>
  <c r="J29" i="3" s="1"/>
  <c r="M19" i="6" s="1"/>
  <c r="G17" i="3"/>
  <c r="I17" i="3" s="1"/>
  <c r="L8" i="6" s="1"/>
  <c r="G12" i="3"/>
  <c r="I12" i="3" s="1"/>
  <c r="G11" i="3"/>
  <c r="J11" i="3" s="1"/>
  <c r="M2" i="6" s="1"/>
  <c r="Q10" i="2"/>
  <c r="K46" i="6" s="1"/>
  <c r="O10" i="2"/>
  <c r="F13" i="1" s="1"/>
  <c r="Q11" i="2"/>
  <c r="H15" i="1" s="1"/>
  <c r="O11" i="2"/>
  <c r="N11" i="2"/>
  <c r="N10" i="2"/>
  <c r="H46" i="6" s="1"/>
  <c r="H11" i="1"/>
  <c r="I43" i="6"/>
  <c r="H43" i="6"/>
  <c r="H11" i="2"/>
  <c r="J47" i="6" s="1"/>
  <c r="H10" i="2"/>
  <c r="K10" i="2" s="1"/>
  <c r="L45" i="6" s="1"/>
  <c r="H8" i="2"/>
  <c r="L8" i="2" s="1"/>
  <c r="M42" i="6" s="1"/>
  <c r="H7" i="2"/>
  <c r="K7" i="2" s="1"/>
  <c r="E15" i="1" l="1"/>
  <c r="H51" i="6" s="1"/>
  <c r="R14" i="2"/>
  <c r="M56" i="6"/>
  <c r="M57" i="6"/>
  <c r="F15" i="1"/>
  <c r="I51" i="6" s="1"/>
  <c r="P11" i="2"/>
  <c r="G15" i="1" s="1"/>
  <c r="M42" i="3"/>
  <c r="O42" i="3" s="1"/>
  <c r="J41" i="3"/>
  <c r="M31" i="6" s="1"/>
  <c r="M45" i="3"/>
  <c r="O45" i="3" s="1"/>
  <c r="M34" i="3"/>
  <c r="O34" i="3" s="1"/>
  <c r="M44" i="3"/>
  <c r="P44" i="3" s="1"/>
  <c r="M40" i="3"/>
  <c r="O40" i="3" s="1"/>
  <c r="M41" i="3"/>
  <c r="P41" i="3" s="1"/>
  <c r="J58" i="6"/>
  <c r="J53" i="6"/>
  <c r="Q11" i="7"/>
  <c r="L61" i="6" s="1"/>
  <c r="Q7" i="7"/>
  <c r="L53" i="6" s="1"/>
  <c r="J19" i="1"/>
  <c r="J42" i="3"/>
  <c r="M32" i="6" s="1"/>
  <c r="J40" i="3"/>
  <c r="M30" i="6" s="1"/>
  <c r="J39" i="3"/>
  <c r="M29" i="6" s="1"/>
  <c r="R7" i="7"/>
  <c r="M53" i="6" s="1"/>
  <c r="J20" i="1"/>
  <c r="M27" i="3"/>
  <c r="P27" i="3" s="1"/>
  <c r="R8" i="7"/>
  <c r="M55" i="6" s="1"/>
  <c r="Q12" i="7"/>
  <c r="Q8" i="7"/>
  <c r="L55" i="6" s="1"/>
  <c r="J55" i="6"/>
  <c r="M23" i="3"/>
  <c r="P23" i="3" s="1"/>
  <c r="K16" i="3"/>
  <c r="H7" i="6" s="1"/>
  <c r="I24" i="1"/>
  <c r="Q10" i="7"/>
  <c r="L58" i="6" s="1"/>
  <c r="I18" i="1"/>
  <c r="J38" i="3"/>
  <c r="M28" i="6" s="1"/>
  <c r="J26" i="6"/>
  <c r="G21" i="1"/>
  <c r="I21" i="1" s="1"/>
  <c r="I34" i="3"/>
  <c r="J34" i="3"/>
  <c r="M24" i="6" s="1"/>
  <c r="K37" i="3"/>
  <c r="L37" i="3"/>
  <c r="F33" i="1" s="1"/>
  <c r="J32" i="6"/>
  <c r="S9" i="2"/>
  <c r="L7" i="2"/>
  <c r="M40" i="6" s="1"/>
  <c r="J44" i="3"/>
  <c r="M34" i="6" s="1"/>
  <c r="M28" i="3"/>
  <c r="M26" i="3"/>
  <c r="M21" i="3"/>
  <c r="M19" i="3"/>
  <c r="P19" i="3" s="1"/>
  <c r="N33" i="3"/>
  <c r="H32" i="1" s="1"/>
  <c r="N37" i="3"/>
  <c r="H33" i="1" s="1"/>
  <c r="L49" i="3"/>
  <c r="N49" i="3"/>
  <c r="H34" i="1" s="1"/>
  <c r="J3" i="6"/>
  <c r="J28" i="6"/>
  <c r="J40" i="6"/>
  <c r="F49" i="3"/>
  <c r="G22" i="1"/>
  <c r="J61" i="6"/>
  <c r="R9" i="7"/>
  <c r="M58" i="6" s="1"/>
  <c r="M11" i="3"/>
  <c r="I25" i="1"/>
  <c r="J25" i="1"/>
  <c r="M39" i="3"/>
  <c r="O39" i="3" s="1"/>
  <c r="M22" i="3"/>
  <c r="P22" i="3" s="1"/>
  <c r="J15" i="6"/>
  <c r="K51" i="6"/>
  <c r="L16" i="3"/>
  <c r="F31" i="1" s="1"/>
  <c r="M14" i="6"/>
  <c r="M24" i="3"/>
  <c r="J14" i="6"/>
  <c r="K11" i="2"/>
  <c r="L47" i="6" s="1"/>
  <c r="P10" i="2"/>
  <c r="J46" i="6" s="1"/>
  <c r="F11" i="1"/>
  <c r="I46" i="6"/>
  <c r="L40" i="6"/>
  <c r="L10" i="2"/>
  <c r="M45" i="6" s="1"/>
  <c r="E13" i="1"/>
  <c r="J45" i="6"/>
  <c r="L11" i="2"/>
  <c r="M17" i="3"/>
  <c r="P17" i="3" s="1"/>
  <c r="M43" i="3"/>
  <c r="O43" i="3" s="1"/>
  <c r="J43" i="3"/>
  <c r="M33" i="6" s="1"/>
  <c r="G20" i="3"/>
  <c r="I20" i="3" s="1"/>
  <c r="L10" i="6" s="1"/>
  <c r="L20" i="3"/>
  <c r="M20" i="3" s="1"/>
  <c r="P20" i="3" s="1"/>
  <c r="M29" i="3"/>
  <c r="J35" i="3"/>
  <c r="M25" i="6" s="1"/>
  <c r="I35" i="3"/>
  <c r="I36" i="3"/>
  <c r="J2" i="6"/>
  <c r="J13" i="6"/>
  <c r="J9" i="6"/>
  <c r="J19" i="6"/>
  <c r="I11" i="3"/>
  <c r="I39" i="3"/>
  <c r="L29" i="6" s="1"/>
  <c r="M25" i="3"/>
  <c r="P25" i="3" s="1"/>
  <c r="H13" i="1"/>
  <c r="K43" i="6"/>
  <c r="N16" i="3"/>
  <c r="L3" i="6"/>
  <c r="K49" i="3"/>
  <c r="H39" i="6" s="1"/>
  <c r="J45" i="3"/>
  <c r="M35" i="6" s="1"/>
  <c r="I45" i="3"/>
  <c r="L35" i="6" s="1"/>
  <c r="J34" i="6"/>
  <c r="I43" i="3"/>
  <c r="L33" i="6" s="1"/>
  <c r="I41" i="3"/>
  <c r="L31" i="6" s="1"/>
  <c r="J30" i="6"/>
  <c r="M38" i="3"/>
  <c r="J18" i="6"/>
  <c r="J17" i="6"/>
  <c r="J16" i="6"/>
  <c r="J12" i="6"/>
  <c r="J21" i="3"/>
  <c r="M11" i="6" s="1"/>
  <c r="J11" i="6"/>
  <c r="K33" i="3"/>
  <c r="J8" i="6"/>
  <c r="E11" i="1"/>
  <c r="J42" i="6"/>
  <c r="P8" i="2"/>
  <c r="J25" i="3"/>
  <c r="M15" i="6" s="1"/>
  <c r="J17" i="3"/>
  <c r="M8" i="6" s="1"/>
  <c r="J27" i="3"/>
  <c r="M17" i="6" s="1"/>
  <c r="J22" i="3"/>
  <c r="M12" i="6" s="1"/>
  <c r="J28" i="3"/>
  <c r="M18" i="6" s="1"/>
  <c r="I29" i="3"/>
  <c r="L19" i="6" s="1"/>
  <c r="I26" i="3"/>
  <c r="L16" i="6" s="1"/>
  <c r="I23" i="3"/>
  <c r="L13" i="6" s="1"/>
  <c r="I19" i="3"/>
  <c r="L9" i="6" s="1"/>
  <c r="J12" i="3"/>
  <c r="M3" i="6" s="1"/>
  <c r="K8" i="2"/>
  <c r="R11" i="2" l="1"/>
  <c r="S11" i="2"/>
  <c r="P45" i="3"/>
  <c r="P42" i="3"/>
  <c r="P34" i="3"/>
  <c r="I39" i="6"/>
  <c r="F34" i="1"/>
  <c r="O44" i="3"/>
  <c r="P40" i="3"/>
  <c r="O41" i="3"/>
  <c r="K39" i="6"/>
  <c r="O23" i="3"/>
  <c r="K23" i="6"/>
  <c r="O26" i="3"/>
  <c r="P26" i="3"/>
  <c r="O24" i="3"/>
  <c r="P24" i="3"/>
  <c r="E34" i="1"/>
  <c r="O27" i="3"/>
  <c r="O28" i="3"/>
  <c r="P28" i="3"/>
  <c r="O29" i="3"/>
  <c r="P29" i="3"/>
  <c r="O21" i="3"/>
  <c r="P21" i="3"/>
  <c r="P11" i="3"/>
  <c r="I27" i="6"/>
  <c r="K27" i="6"/>
  <c r="O22" i="3"/>
  <c r="J21" i="1"/>
  <c r="M16" i="3"/>
  <c r="P16" i="3" s="1"/>
  <c r="P43" i="3"/>
  <c r="M37" i="3"/>
  <c r="G33" i="1" s="1"/>
  <c r="I33" i="1" s="1"/>
  <c r="O19" i="3"/>
  <c r="L24" i="6"/>
  <c r="L41" i="6"/>
  <c r="J22" i="1"/>
  <c r="I22" i="1"/>
  <c r="G35" i="1"/>
  <c r="T7" i="5"/>
  <c r="W5" i="5"/>
  <c r="J35" i="1" s="1"/>
  <c r="V5" i="5"/>
  <c r="I35" i="1" s="1"/>
  <c r="P39" i="3"/>
  <c r="O11" i="3"/>
  <c r="H31" i="1"/>
  <c r="J20" i="3"/>
  <c r="M10" i="6" s="1"/>
  <c r="O25" i="3"/>
  <c r="J51" i="6"/>
  <c r="I15" i="1"/>
  <c r="L51" i="6" s="1"/>
  <c r="J15" i="1"/>
  <c r="M51" i="6" s="1"/>
  <c r="O17" i="3"/>
  <c r="J10" i="6"/>
  <c r="L33" i="3"/>
  <c r="F32" i="1" s="1"/>
  <c r="G13" i="1"/>
  <c r="I13" i="1" s="1"/>
  <c r="R10" i="2"/>
  <c r="S10" i="2"/>
  <c r="M47" i="6"/>
  <c r="M33" i="3"/>
  <c r="O20" i="3"/>
  <c r="I7" i="6"/>
  <c r="L25" i="6"/>
  <c r="L2" i="6"/>
  <c r="L26" i="6"/>
  <c r="K7" i="6"/>
  <c r="P38" i="3"/>
  <c r="M49" i="3"/>
  <c r="P49" i="3" s="1"/>
  <c r="O38" i="3"/>
  <c r="H23" i="6"/>
  <c r="E32" i="1"/>
  <c r="L42" i="6"/>
  <c r="S8" i="2"/>
  <c r="R8" i="2"/>
  <c r="J43" i="6"/>
  <c r="G11" i="1"/>
  <c r="O49" i="3" l="1"/>
  <c r="L39" i="6" s="1"/>
  <c r="P37" i="3"/>
  <c r="J7" i="6"/>
  <c r="M41" i="6"/>
  <c r="J27" i="6"/>
  <c r="E37" i="1"/>
  <c r="G31" i="1"/>
  <c r="J31" i="1" s="1"/>
  <c r="F37" i="1"/>
  <c r="V7" i="5"/>
  <c r="W7" i="5"/>
  <c r="J33" i="1"/>
  <c r="J23" i="6"/>
  <c r="P33" i="3"/>
  <c r="M23" i="6" s="1"/>
  <c r="I11" i="1"/>
  <c r="J11" i="1"/>
  <c r="J13" i="1"/>
  <c r="O33" i="3"/>
  <c r="L23" i="6" s="1"/>
  <c r="L46" i="6"/>
  <c r="M46" i="6"/>
  <c r="O16" i="3"/>
  <c r="L7" i="6" s="1"/>
  <c r="I23" i="6"/>
  <c r="G32" i="1"/>
  <c r="M7" i="6"/>
  <c r="O37" i="3"/>
  <c r="L27" i="6" s="1"/>
  <c r="M39" i="6"/>
  <c r="J39" i="6"/>
  <c r="G34" i="1"/>
  <c r="L43" i="6"/>
  <c r="M43" i="6"/>
  <c r="I31" i="1" l="1"/>
  <c r="I34" i="1"/>
  <c r="J34" i="1"/>
  <c r="J32" i="1"/>
  <c r="I32" i="1"/>
  <c r="M27" i="6"/>
</calcChain>
</file>

<file path=xl/comments1.xml><?xml version="1.0" encoding="utf-8"?>
<comments xmlns="http://schemas.openxmlformats.org/spreadsheetml/2006/main">
  <authors>
    <author>PEREZ SALGADO, NICOLAS RODRIGO</author>
  </authors>
  <commentList>
    <comment ref="F2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539-23 Cede cuota imprevistos a XV-I región.</t>
        </r>
      </text>
    </comment>
  </commentList>
</comments>
</file>

<file path=xl/comments2.xml><?xml version="1.0" encoding="utf-8"?>
<comments xmlns="http://schemas.openxmlformats.org/spreadsheetml/2006/main">
  <authors>
    <author>PEREZ SALGADO, NICOLAS RODRIGO</author>
    <author>nperez</author>
  </authors>
  <commentList>
    <comment ref="G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539-23 Incremento de 7497 ton desde cuota imprevistos.</t>
        </r>
      </text>
    </comment>
    <comment ref="M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191-23 Cierre cuota.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530-23 Modf Res 2571-22.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535-23 Modf Res 563-23.</t>
        </r>
      </text>
    </comment>
    <comment ref="M11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235-23 Cierre cuota.
Res 300-23 Apertura cuota.
Res 351-23 Cierre cuota.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222-23 Cierre cuota.
Res 301-23 Apertura cuota.
Res 327-23 Cierre cuota.</t>
        </r>
      </text>
    </comment>
  </commentList>
</comments>
</file>

<file path=xl/comments3.xml><?xml version="1.0" encoding="utf-8"?>
<comments xmlns="http://schemas.openxmlformats.org/spreadsheetml/2006/main">
  <authors>
    <author>PEREZ SALGADO, NICOLAS RODRIGO</author>
    <author>nperez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531-23 Modf Res 2753-22.</t>
        </r>
      </text>
    </comment>
    <comment ref="L8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65-23 Cierre cuota.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239-23 Cierre cuota.</t>
        </r>
      </text>
    </comment>
  </commentList>
</comments>
</file>

<file path=xl/comments4.xml><?xml version="1.0" encoding="utf-8"?>
<comments xmlns="http://schemas.openxmlformats.org/spreadsheetml/2006/main">
  <authors>
    <author>nperez</author>
    <author>PEREZ SALGADO, NICOLAS RODRIGO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356-23 Cede -3500 ton hacia Emb XV.
Res 704-23 Deja sin efecto Res 356-23.
Res 357-23 Cede -15000 ton hacia Emb I.
Res 679-23 Deja sin efecto Res 357-23.
Res 358-23 Cede -1000 ton hacia Emb XV.
Res 680-23 Deja sin efecto Res 358-23.
Res 613-23 Cede -2000 ton hacia Emb XV.
Res 641-23 Deja sin efecto Res 613-23.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296-23 Cede -30000 ton hacia Emb II.
Res 2102-23 Deja sin efecto Res 296-23.
Res 359-23 Cede -150000 ton hacia Emb XV-I.
Res 707-23 Modf Res 359-23 Cede -10000 ton.
Res 361-23 Cede -30000 ton hacia Emb II.
Res 708-23 Deja sin efecto Res 361-23.
Res 1294-23 Cede -2000 ton hacia Emb I.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422-23 Cede -17756,298 ton hacia Emb XV-I.
Res 424-23 Cede -1557,570 ton hacia Emb II.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421-23 Cede -3426,654 ton hacia Emb II.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937-23 Cede -181,713 ton hacia Emb IV.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792-23 Cede -968 ton hacia Emb IV.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939-23 Cede -7571 ton hacia Emb III.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732-23 Cede -460 ton hacia Emb IV.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15 Comodato, cede -0,174 ton hacia Thor Fisheries.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814-23 Cede -830 ton hacia Emb IV.
Res 956-23 Cede -6500 ton hacia Emb IV.
Res 1505-23 Cede -2720 ton hacia Emb IV.
Res 1592-23 Cede -700 ton hacia Emb IV.
Res 1595-23 Cede -2550 ton hacia Emb IV.
Res 676-23 Cede -130 ton hacia Emb IV. </t>
        </r>
      </text>
    </comment>
    <comment ref="E29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146-23 Deja sin efecto fideicomiso y otorga LTP A.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938-23 Cede -159,561 ton hacia Emb IV.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15 Comodato, incremento de 0,174 ton desde Landes.</t>
        </r>
      </text>
    </comment>
    <comment ref="E31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146-23 Deja sin efecto fideicomiso y otorga LTP A.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1001-23 Cede -199,019 ton hacia Emb IV.</t>
        </r>
      </text>
    </comment>
    <comment ref="F39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1591-23 Cede -890 ton hacia Emb III.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145-23 Deja sin efecto fideicomiso y otorga LTP A.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16 Comodato, incremento de 0,12 ton desde Landes.</t>
        </r>
      </text>
    </comment>
    <comment ref="E47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145-23 Deja sin efecto fideicomiso y otorga LTP A.</t>
        </r>
      </text>
    </comment>
    <comment ref="F48" authorId="1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Cert 16 Comodato, cede -0,12 ton hacia Thor Fisheries.</t>
        </r>
      </text>
    </comment>
  </commentList>
</comments>
</file>

<file path=xl/comments5.xml><?xml version="1.0" encoding="utf-8"?>
<comments xmlns="http://schemas.openxmlformats.org/spreadsheetml/2006/main">
  <authors>
    <author>PEREZ SALGADO, NICOLAS RODRIGO</author>
    <author>nperez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344-23 Modf Res 296-23.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2102-23 Deja sin efecto Res 296-23.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344-23 Modf Res 296-23.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1323-23 Modf Res 296-23.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1323-23 Modf Res 296-23.</t>
        </r>
      </text>
    </comment>
    <comment ref="D22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641-23 Deja sin efecto Res 613-23.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641-23 Deja sin efecto Res 613-23.</t>
        </r>
      </text>
    </comment>
    <comment ref="H89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707-23 Modf Res 359-23 Cede -10000 ton.</t>
        </r>
      </text>
    </comment>
    <comment ref="D122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2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2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23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3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3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2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F12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G124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1140-23 Modf Res 359-23.</t>
        </r>
      </text>
    </comment>
    <comment ref="D12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2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2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26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26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26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2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2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27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28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28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28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29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29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30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30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30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D13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F13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G13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513-23 Modf Res 359-23.</t>
        </r>
      </text>
    </comment>
    <comment ref="H132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708-23 Deja sin efecto Res 361-23.</t>
        </r>
      </text>
    </comment>
    <comment ref="D144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D145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</rPr>
          <t>PEREZ SALGADO, NICOLAS RODRIGO:</t>
        </r>
        <r>
          <rPr>
            <sz val="9"/>
            <color indexed="81"/>
            <rFont val="Tahoma"/>
            <family val="2"/>
          </rPr>
          <t xml:space="preserve">
Res 1276-23 Modf Res 361-23.</t>
        </r>
      </text>
    </comment>
    <comment ref="F161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480-23 Modf Res 1591-23.</t>
        </r>
      </text>
    </comment>
    <comment ref="F162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480-23 Modf Res 1591-23.</t>
        </r>
      </text>
    </comment>
    <comment ref="D20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704-23 Deja sin efecto Res 356-23.</t>
        </r>
      </text>
    </comment>
    <comment ref="H205" authorId="0" shapeId="0">
      <text>
        <r>
          <rPr>
            <b/>
            <sz val="9"/>
            <color indexed="81"/>
            <rFont val="Tahoma"/>
            <charset val="1"/>
          </rPr>
          <t>PEREZ SALGADO, NICOLAS RODRIGO:</t>
        </r>
        <r>
          <rPr>
            <sz val="9"/>
            <color indexed="81"/>
            <rFont val="Tahoma"/>
            <charset val="1"/>
          </rPr>
          <t xml:space="preserve">
Res 704-23 Deja sin efecto Res 356-23.</t>
        </r>
      </text>
    </comment>
  </commentList>
</comments>
</file>

<file path=xl/sharedStrings.xml><?xml version="1.0" encoding="utf-8"?>
<sst xmlns="http://schemas.openxmlformats.org/spreadsheetml/2006/main" count="1650" uniqueCount="350">
  <si>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</si>
  <si>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</si>
  <si>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</si>
  <si>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</si>
  <si>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</si>
  <si>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</si>
  <si>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</si>
  <si>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</si>
  <si>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</si>
  <si>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</si>
  <si>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</si>
  <si>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</si>
  <si>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</si>
  <si>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</si>
  <si>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</si>
  <si>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</si>
  <si>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</si>
  <si>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</si>
  <si>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</si>
  <si>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</si>
  <si>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</si>
  <si>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</si>
  <si>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</si>
  <si>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</si>
  <si>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</si>
  <si>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</si>
  <si>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</si>
  <si>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</si>
  <si>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</si>
  <si>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</si>
  <si>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</si>
  <si>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</si>
  <si>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</si>
  <si>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</si>
  <si>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</si>
  <si>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</si>
  <si>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</si>
  <si>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</si>
  <si>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</si>
  <si>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</si>
  <si>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</si>
  <si>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</si>
  <si>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</si>
  <si>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</si>
  <si>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</si>
  <si>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</si>
  <si>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</si>
  <si>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</si>
  <si>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</si>
  <si>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</si>
  <si>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</si>
  <si>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</si>
  <si>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</si>
  <si>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</si>
  <si>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</si>
  <si>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</si>
  <si>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</si>
  <si>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</si>
  <si>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</si>
  <si>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</si>
  <si>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</si>
  <si>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</si>
  <si>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</si>
  <si>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</si>
  <si>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</si>
  <si>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</si>
  <si>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</si>
  <si>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</si>
  <si>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</si>
  <si>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</si>
  <si>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</si>
  <si>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</si>
  <si>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</si>
  <si>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</si>
  <si>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</si>
  <si>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</si>
  <si>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</si>
  <si>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</si>
  <si>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</si>
  <si>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</si>
  <si>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</si>
  <si>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</si>
  <si>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</si>
  <si>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</si>
  <si>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</si>
  <si>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</si>
  <si>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</si>
  <si>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</si>
  <si>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</si>
  <si>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</si>
  <si>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</si>
  <si>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</si>
  <si>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</si>
  <si>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</si>
  <si>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</si>
  <si>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</si>
  <si>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</si>
  <si>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</si>
  <si>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</si>
  <si>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</si>
  <si>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</si>
  <si>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</si>
  <si>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</si>
  <si>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</si>
  <si>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</si>
  <si>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</si>
  <si>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</si>
  <si>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</si>
  <si>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</si>
  <si>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</si>
  <si>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</si>
  <si>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</si>
  <si>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</si>
  <si>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</si>
  <si>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</si>
  <si>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</si>
  <si>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</si>
  <si>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</si>
  <si>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</si>
  <si>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</si>
  <si>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</si>
  <si>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TOTAL</t>
  </si>
  <si>
    <t>Fraccionamiento</t>
  </si>
  <si>
    <t>Fauna acompañante</t>
  </si>
  <si>
    <t>Saldo (ton)</t>
  </si>
  <si>
    <t>Captura (ton)</t>
  </si>
  <si>
    <t>Total P. investigación</t>
  </si>
  <si>
    <t>Consumo Humano</t>
  </si>
  <si>
    <t xml:space="preserve">Adjudicatario </t>
  </si>
  <si>
    <t>Toneladas Asignadas</t>
  </si>
  <si>
    <t xml:space="preserve">Toneladas Capturadas </t>
  </si>
  <si>
    <t xml:space="preserve">Saldo por especie </t>
  </si>
  <si>
    <t>Resolución</t>
  </si>
  <si>
    <t>Cuota</t>
  </si>
  <si>
    <t>captura</t>
  </si>
  <si>
    <t xml:space="preserve">Región </t>
  </si>
  <si>
    <t>Cuota Remanente 2020 (T)</t>
  </si>
  <si>
    <t>Captura (T)</t>
  </si>
  <si>
    <t>Saldo (T)</t>
  </si>
  <si>
    <t xml:space="preserve">% Consumido </t>
  </si>
  <si>
    <t>Región de Atacama</t>
  </si>
  <si>
    <t>Cargos por excesos</t>
  </si>
  <si>
    <t>ASIGNATARIO</t>
  </si>
  <si>
    <t>PERIODO</t>
  </si>
  <si>
    <t>CERCOPESCA Rol 4276</t>
  </si>
  <si>
    <t>CUOTA RESIDUAL</t>
  </si>
  <si>
    <t>Anchoveta III</t>
  </si>
  <si>
    <t>Anchoveta XV-I</t>
  </si>
  <si>
    <t>Anchoveta II</t>
  </si>
  <si>
    <t>Anchoveta IV</t>
  </si>
  <si>
    <t>Cesiones Ind y Colec XV-I</t>
  </si>
  <si>
    <t>Cesiones Ind y Colec II</t>
  </si>
  <si>
    <t>Cesiones Ind y Colec III</t>
  </si>
  <si>
    <t>Cesiones Ind y Colec IV</t>
  </si>
  <si>
    <t>Cesiones</t>
  </si>
  <si>
    <t>CONTROL DE CUOTA REMANENTE ANCHOVETA ARTESANAL 2023</t>
  </si>
  <si>
    <t>RESUMEN CONSUMO ANUAL ANCHOVETA Y SARDINA ESPAÑOLA XV-IV AÑO 2023. Dato en toneladas</t>
  </si>
  <si>
    <t>TOTAL CESIONES 2023</t>
  </si>
  <si>
    <t>ANCHOVETA 2023</t>
  </si>
  <si>
    <t>SARDINA ESPAÑOLA 2023</t>
  </si>
  <si>
    <t>CONTROL DE CUOTAS PESCA DE INVESTIGACIÓN AÑO 2023</t>
  </si>
  <si>
    <t>CONTROL DE CUOTAS CONSUMO HUMANO AÑO 2023</t>
  </si>
  <si>
    <t>Fauna acompañante XV-III</t>
  </si>
  <si>
    <t>Fauna acompañante IV</t>
  </si>
  <si>
    <t>CONTROL CUOTA SARDINA ESPAÑOLA ARTESANAL XV - IV AÑO 2023</t>
  </si>
  <si>
    <t>CONTROL CUOTA ANCHOVETA Y SARDINA ESPAÑOLA INDUSTRIAL XV - IV AÑO 2023</t>
  </si>
  <si>
    <t>CONTROL CUOTA ANCHOVETA  XV - IV AÑO 2023</t>
  </si>
  <si>
    <t>CAMANCHACA S.A.</t>
  </si>
  <si>
    <t>NOVAMAR SPA.</t>
  </si>
  <si>
    <t>DEL NORTE PESQUERA</t>
  </si>
  <si>
    <t>ESPACIO PESQUERO</t>
  </si>
  <si>
    <t>Arkhos IV</t>
  </si>
  <si>
    <t>Abel</t>
  </si>
  <si>
    <t>Coyi I</t>
  </si>
  <si>
    <t>Coyi II</t>
  </si>
  <si>
    <t>Santa Margarita I</t>
  </si>
  <si>
    <t>Karen Pamela</t>
  </si>
  <si>
    <t>Lobo de Afuera IV</t>
  </si>
  <si>
    <t>Lobo de Afuera V</t>
  </si>
  <si>
    <t>Don Jose I</t>
  </si>
  <si>
    <t>Arkhos III</t>
  </si>
  <si>
    <t>Guajache II</t>
  </si>
  <si>
    <t>Punta Verde</t>
  </si>
  <si>
    <t>Doña Florina</t>
  </si>
  <si>
    <t>Don German CSA</t>
  </si>
  <si>
    <t>Charly</t>
  </si>
  <si>
    <t>Tuareg I</t>
  </si>
  <si>
    <t>Amadeus</t>
  </si>
  <si>
    <t>Amadeus II</t>
  </si>
  <si>
    <t>Arkhos II</t>
  </si>
  <si>
    <t>Cesar Miguel</t>
  </si>
  <si>
    <t>Humboldt II</t>
  </si>
  <si>
    <t>Gringo Pablo II</t>
  </si>
  <si>
    <t>Don Lucho</t>
  </si>
  <si>
    <t>Shalom II</t>
  </si>
  <si>
    <t>Petrohue III</t>
  </si>
  <si>
    <t>Marcelo Rodolfo</t>
  </si>
  <si>
    <t>Kaweskar</t>
  </si>
  <si>
    <t xml:space="preserve">Petrohue II </t>
  </si>
  <si>
    <t>Rina F Y M</t>
  </si>
  <si>
    <t>Kimba I</t>
  </si>
  <si>
    <t>Daniel</t>
  </si>
  <si>
    <t>Loreto V</t>
  </si>
  <si>
    <t>Petrohue I</t>
  </si>
  <si>
    <t>Pelicano</t>
  </si>
  <si>
    <t>Chango I</t>
  </si>
  <si>
    <t>Ike I</t>
  </si>
  <si>
    <t>Lobo de Afuera VII</t>
  </si>
  <si>
    <t>Odiseo II</t>
  </si>
  <si>
    <t>Brenda Esmeralda</t>
  </si>
  <si>
    <t>Amadeus IV</t>
  </si>
  <si>
    <t>Elva S</t>
  </si>
  <si>
    <t>Lobo de Afuera VI</t>
  </si>
  <si>
    <t>Consuelito I</t>
  </si>
  <si>
    <t>Gracias a Dios I</t>
  </si>
  <si>
    <t>Niña Ximena</t>
  </si>
  <si>
    <t>Valentina</t>
  </si>
  <si>
    <t>Josue</t>
  </si>
  <si>
    <t>Isidora I</t>
  </si>
  <si>
    <t>Gianpiero I</t>
  </si>
  <si>
    <t>Aries I</t>
  </si>
  <si>
    <t>Renata</t>
  </si>
  <si>
    <t>Fernanda I</t>
  </si>
  <si>
    <t>Abraham</t>
  </si>
  <si>
    <t>Liliana</t>
  </si>
  <si>
    <t>Petrohue II</t>
  </si>
  <si>
    <t>Ruth M</t>
  </si>
  <si>
    <t>Don Sebastian</t>
  </si>
  <si>
    <t>Carolina I</t>
  </si>
  <si>
    <t>Mar Tercero</t>
  </si>
  <si>
    <t>Cuota Remanente 2022 (T)</t>
  </si>
  <si>
    <t>Antofagasta</t>
  </si>
  <si>
    <t>Don Juaquin III</t>
  </si>
  <si>
    <t>Giovanna Priscilla IV</t>
  </si>
  <si>
    <t>Genesis C</t>
  </si>
  <si>
    <t>Maria Elena</t>
  </si>
  <si>
    <t>SGTO Moran</t>
  </si>
  <si>
    <t>Javiera Selmira</t>
  </si>
  <si>
    <t>La Angelita</t>
  </si>
  <si>
    <t>Moises</t>
  </si>
  <si>
    <t xml:space="preserve">El Tesoro </t>
  </si>
  <si>
    <t>Socoroma</t>
  </si>
  <si>
    <t>Socoroma I</t>
  </si>
  <si>
    <t>Don Luis</t>
  </si>
  <si>
    <t>Julieta Ignacia</t>
  </si>
  <si>
    <t>Sra Graciela</t>
  </si>
  <si>
    <t>Pionero</t>
  </si>
  <si>
    <t>Don Miguel</t>
  </si>
  <si>
    <t xml:space="preserve">Santa Marta </t>
  </si>
  <si>
    <t>Trinquete</t>
  </si>
  <si>
    <t>Garota I</t>
  </si>
  <si>
    <t>Don Nino I</t>
  </si>
  <si>
    <t>Don Andres II</t>
  </si>
  <si>
    <t>Mary Paz II</t>
  </si>
  <si>
    <t>Aldebaran II</t>
  </si>
  <si>
    <t>Don Rufino II</t>
  </si>
  <si>
    <t>Doña Mercedes</t>
  </si>
  <si>
    <t>Doña Edi</t>
  </si>
  <si>
    <t>Doña Sabina</t>
  </si>
  <si>
    <t>Josefa II</t>
  </si>
  <si>
    <t>Don Eleuterio</t>
  </si>
  <si>
    <t>Aylen</t>
  </si>
  <si>
    <t>El Cid</t>
  </si>
  <si>
    <t>Sea Quest</t>
  </si>
  <si>
    <t>Maimau I</t>
  </si>
  <si>
    <t>Don Pancracio</t>
  </si>
  <si>
    <t>Mar Primero</t>
  </si>
  <si>
    <t>Candelaria II</t>
  </si>
  <si>
    <t>Xolot</t>
  </si>
  <si>
    <t>Don Marcial</t>
  </si>
  <si>
    <t>Fortuna IV</t>
  </si>
  <si>
    <t>Fortuna V</t>
  </si>
  <si>
    <t>Tom Jerry</t>
  </si>
  <si>
    <t>Chubasco I</t>
  </si>
  <si>
    <t>Fortuna I</t>
  </si>
  <si>
    <t>Nataly</t>
  </si>
  <si>
    <t>Kali</t>
  </si>
  <si>
    <t>Don Atilio</t>
  </si>
  <si>
    <t>Atenea I</t>
  </si>
  <si>
    <t>Delfin 2000</t>
  </si>
  <si>
    <t>Trauwun I</t>
  </si>
  <si>
    <t>Santa Norma</t>
  </si>
  <si>
    <t>Doña Bernarda</t>
  </si>
  <si>
    <t>Don Victorino</t>
  </si>
  <si>
    <t>Garota III</t>
  </si>
  <si>
    <t>Niebla</t>
  </si>
  <si>
    <t>Doña Adriana</t>
  </si>
  <si>
    <t>Garota</t>
  </si>
  <si>
    <t>Garota V</t>
  </si>
  <si>
    <t>Garota II</t>
  </si>
  <si>
    <t>Garota IV</t>
  </si>
  <si>
    <t>Maria Pabla</t>
  </si>
  <si>
    <t>Don Perucho II</t>
  </si>
  <si>
    <t>Doña Olga I</t>
  </si>
  <si>
    <t>Maria Soledad II</t>
  </si>
  <si>
    <t>Don Milo</t>
  </si>
  <si>
    <t>Sebastian II</t>
  </si>
  <si>
    <t>El Bellaco I</t>
  </si>
  <si>
    <t>Centauro</t>
  </si>
  <si>
    <t>Kiwi</t>
  </si>
  <si>
    <t>El Reno</t>
  </si>
  <si>
    <t>El Lolito I</t>
  </si>
  <si>
    <t>Doña Katy</t>
  </si>
  <si>
    <t>Antonia Belen</t>
  </si>
  <si>
    <t>El Bellaco</t>
  </si>
  <si>
    <t>Ind-Art</t>
  </si>
  <si>
    <t>Don Joaquin III</t>
  </si>
  <si>
    <t>Arleth Antonia</t>
  </si>
  <si>
    <t>Sgto Moran</t>
  </si>
  <si>
    <t>El Tesoro</t>
  </si>
  <si>
    <t>AG de Coquimbo RAG 55-4</t>
  </si>
  <si>
    <t>XV</t>
  </si>
  <si>
    <t>Pa.Ke.Te Pikay</t>
  </si>
  <si>
    <t>Jepe I</t>
  </si>
  <si>
    <t>Daniela Andrea I</t>
  </si>
  <si>
    <t>Lonquimay 2</t>
  </si>
  <si>
    <t>Estrella III</t>
  </si>
  <si>
    <t>Sion</t>
  </si>
  <si>
    <t>Sofia Magdalena</t>
  </si>
  <si>
    <t>Atenea II</t>
  </si>
  <si>
    <t>Falcon</t>
  </si>
  <si>
    <t>Green Peace</t>
  </si>
  <si>
    <t>Atlantico III</t>
  </si>
  <si>
    <t>Sta Veronica II</t>
  </si>
  <si>
    <t>Gracias a Dios IV</t>
  </si>
  <si>
    <t>Sebastian Alejandro</t>
  </si>
  <si>
    <t>Pelicano II</t>
  </si>
  <si>
    <t>THOR FISHERIES CHILE SpA.</t>
  </si>
  <si>
    <t>Santa Marta</t>
  </si>
  <si>
    <t>Jose Albino</t>
  </si>
  <si>
    <t>Olguita I</t>
  </si>
  <si>
    <t>I</t>
  </si>
  <si>
    <t>Ragnar</t>
  </si>
  <si>
    <t>Sra Marioly 1</t>
  </si>
  <si>
    <t>Kalejo</t>
  </si>
  <si>
    <t>Venus</t>
  </si>
  <si>
    <t>Pancho Malo</t>
  </si>
  <si>
    <t>INVERSIONES PESQUERAS SpA.</t>
  </si>
  <si>
    <t>698967/701575</t>
  </si>
  <si>
    <t>969609/701486</t>
  </si>
  <si>
    <t>Catalina Q</t>
  </si>
  <si>
    <t>Santiago G</t>
  </si>
  <si>
    <t>Andreas</t>
  </si>
  <si>
    <t>Reymar I</t>
  </si>
  <si>
    <t>Fortuna VI</t>
  </si>
  <si>
    <t>Jorge Hernan M</t>
  </si>
  <si>
    <t>Don Mario 1</t>
  </si>
  <si>
    <t>Arkhos V</t>
  </si>
  <si>
    <t>16-02-023</t>
  </si>
  <si>
    <t>Rina F 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</si>
</sst>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4" fillId="0" borderId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169" fontId="0" fillId="0" borderId="1" xfId="0" applyNumberFormat="1" applyFont="1" applyFill="1" applyBorder="1"/>
    <xf numFmtId="9" fontId="0" fillId="0" borderId="0" xfId="1" applyFont="1"/>
    <xf numFmtId="169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9" fontId="0" fillId="0" borderId="3" xfId="0" applyNumberFormat="1" applyFont="1" applyFill="1" applyBorder="1"/>
    <xf numFmtId="0" fontId="0" fillId="0" borderId="5" xfId="0" applyFont="1" applyFill="1" applyBorder="1"/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169" fontId="0" fillId="0" borderId="5" xfId="0" applyNumberFormat="1" applyFont="1" applyFill="1" applyBorder="1"/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9" fontId="0" fillId="2" borderId="5" xfId="0" applyNumberFormat="1" applyFont="1" applyFill="1" applyBorder="1" applyAlignment="1">
      <alignment horizontal="right" vertical="center"/>
    </xf>
    <xf numFmtId="169" fontId="0" fillId="2" borderId="1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9" fontId="0" fillId="0" borderId="5" xfId="0" applyNumberFormat="1" applyFont="1" applyBorder="1"/>
    <xf numFmtId="169" fontId="0" fillId="0" borderId="1" xfId="0" applyNumberFormat="1" applyFont="1" applyBorder="1"/>
    <xf numFmtId="9" fontId="0" fillId="0" borderId="14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1" xfId="0" applyNumberFormat="1" applyBorder="1"/>
    <xf numFmtId="169" fontId="0" fillId="0" borderId="5" xfId="0" applyNumberFormat="1" applyBorder="1"/>
    <xf numFmtId="169" fontId="0" fillId="0" borderId="19" xfId="0" applyNumberFormat="1" applyBorder="1"/>
    <xf numFmtId="9" fontId="0" fillId="0" borderId="9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9" fontId="0" fillId="0" borderId="11" xfId="0" applyNumberFormat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169" fontId="0" fillId="0" borderId="10" xfId="0" applyNumberFormat="1" applyBorder="1" applyAlignment="1">
      <alignment vertical="center"/>
    </xf>
    <xf numFmtId="9" fontId="0" fillId="0" borderId="29" xfId="1" applyFont="1" applyBorder="1" applyAlignment="1">
      <alignment horizontal="center" vertical="center"/>
    </xf>
    <xf numFmtId="169" fontId="0" fillId="0" borderId="19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8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70" fontId="0" fillId="0" borderId="3" xfId="0" applyNumberFormat="1" applyBorder="1"/>
    <xf numFmtId="170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/>
    </xf>
    <xf numFmtId="169" fontId="0" fillId="0" borderId="3" xfId="0" applyNumberFormat="1" applyFill="1" applyBorder="1"/>
    <xf numFmtId="169" fontId="0" fillId="4" borderId="1" xfId="0" applyNumberFormat="1" applyFill="1" applyBorder="1" applyAlignment="1">
      <alignment horizontal="right" vertical="center"/>
    </xf>
    <xf numFmtId="169" fontId="2" fillId="4" borderId="1" xfId="0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2" fillId="39" borderId="5" xfId="0" applyFont="1" applyFill="1" applyBorder="1" applyAlignment="1">
      <alignment horizontal="center" vertical="center" wrapText="1"/>
    </xf>
    <xf numFmtId="0" fontId="2" fillId="39" borderId="12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2" fontId="0" fillId="0" borderId="3" xfId="1" applyNumberFormat="1" applyFont="1" applyBorder="1" applyAlignment="1">
      <alignment horizontal="center" vertical="center"/>
    </xf>
    <xf numFmtId="172" fontId="0" fillId="3" borderId="1" xfId="1" applyNumberFormat="1" applyFont="1" applyFill="1" applyBorder="1" applyAlignment="1">
      <alignment horizontal="center" vertical="center"/>
    </xf>
    <xf numFmtId="170" fontId="0" fillId="0" borderId="0" xfId="0" applyNumberFormat="1"/>
    <xf numFmtId="172" fontId="0" fillId="4" borderId="1" xfId="1" applyNumberFormat="1" applyFont="1" applyFill="1" applyBorder="1" applyAlignment="1">
      <alignment horizontal="center" vertical="center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6" borderId="11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40" borderId="13" xfId="0" applyFont="1" applyFill="1" applyBorder="1" applyAlignment="1">
      <alignment horizontal="center" vertical="center" wrapText="1"/>
    </xf>
    <xf numFmtId="0" fontId="2" fillId="40" borderId="15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 wrapText="1"/>
    </xf>
    <xf numFmtId="0" fontId="2" fillId="40" borderId="17" xfId="0" applyFont="1" applyFill="1" applyBorder="1" applyAlignment="1">
      <alignment horizontal="center" vertical="center"/>
    </xf>
    <xf numFmtId="0" fontId="2" fillId="40" borderId="15" xfId="0" applyFont="1" applyFill="1" applyBorder="1" applyAlignment="1">
      <alignment horizontal="center" vertical="center" wrapText="1"/>
    </xf>
    <xf numFmtId="0" fontId="0" fillId="37" borderId="4" xfId="0" applyFont="1" applyFill="1" applyBorder="1" applyAlignment="1">
      <alignment horizontal="left"/>
    </xf>
    <xf numFmtId="0" fontId="0" fillId="37" borderId="1" xfId="0" applyFont="1" applyFill="1" applyBorder="1" applyAlignment="1">
      <alignment horizontal="left"/>
    </xf>
    <xf numFmtId="169" fontId="0" fillId="37" borderId="1" xfId="0" applyNumberFormat="1" applyFont="1" applyFill="1" applyBorder="1" applyAlignment="1">
      <alignment horizontal="right" vertical="center"/>
    </xf>
    <xf numFmtId="0" fontId="0" fillId="37" borderId="5" xfId="0" applyFont="1" applyFill="1" applyBorder="1" applyAlignment="1">
      <alignment horizontal="left"/>
    </xf>
    <xf numFmtId="169" fontId="0" fillId="37" borderId="5" xfId="0" applyNumberFormat="1" applyFont="1" applyFill="1" applyBorder="1" applyAlignment="1">
      <alignment horizontal="right" vertical="center"/>
    </xf>
    <xf numFmtId="0" fontId="0" fillId="37" borderId="2" xfId="0" applyFont="1" applyFill="1" applyBorder="1" applyAlignment="1">
      <alignment horizontal="left"/>
    </xf>
    <xf numFmtId="169" fontId="0" fillId="37" borderId="2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2" borderId="40" xfId="0" applyFill="1" applyBorder="1" applyAlignment="1">
      <alignment horizontal="center" vertical="center" wrapText="1"/>
    </xf>
    <xf numFmtId="0" fontId="30" fillId="32" borderId="40" xfId="0" applyFont="1" applyFill="1" applyBorder="1" applyAlignment="1">
      <alignment horizontal="center" vertical="center"/>
    </xf>
    <xf numFmtId="0" fontId="30" fillId="32" borderId="40" xfId="0" applyFont="1" applyFill="1" applyBorder="1" applyAlignment="1">
      <alignment horizontal="center" vertical="center" wrapText="1"/>
    </xf>
    <xf numFmtId="169" fontId="0" fillId="3" borderId="40" xfId="0" applyNumberFormat="1" applyFill="1" applyBorder="1" applyAlignment="1">
      <alignment horizontal="center" vertical="center"/>
    </xf>
    <xf numFmtId="9" fontId="0" fillId="3" borderId="40" xfId="1" applyFont="1" applyFill="1" applyBorder="1" applyAlignment="1">
      <alignment horizontal="center" vertical="center"/>
    </xf>
    <xf numFmtId="169" fontId="0" fillId="3" borderId="39" xfId="0" applyNumberFormat="1" applyFill="1" applyBorder="1" applyAlignment="1">
      <alignment horizontal="center" vertical="center"/>
    </xf>
    <xf numFmtId="9" fontId="0" fillId="3" borderId="39" xfId="1" applyFont="1" applyFill="1" applyBorder="1" applyAlignment="1">
      <alignment horizontal="center" vertical="center"/>
    </xf>
    <xf numFmtId="0" fontId="0" fillId="32" borderId="39" xfId="0" applyFill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171" fontId="0" fillId="0" borderId="11" xfId="0" applyNumberFormat="1" applyBorder="1" applyAlignment="1">
      <alignment horizontal="center" vertical="center"/>
    </xf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2" fillId="42" borderId="1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5" xfId="0" applyFont="1" applyFill="1" applyBorder="1" applyAlignment="1">
      <alignment horizontal="left" vertical="center"/>
    </xf>
    <xf numFmtId="0" fontId="30" fillId="37" borderId="1" xfId="0" applyFont="1" applyFill="1" applyBorder="1" applyAlignment="1">
      <alignment horizontal="left" vertical="center" wrapText="1"/>
    </xf>
    <xf numFmtId="0" fontId="30" fillId="37" borderId="1" xfId="0" applyFont="1" applyFill="1" applyBorder="1" applyAlignment="1">
      <alignment horizontal="left" vertical="center"/>
    </xf>
    <xf numFmtId="0" fontId="30" fillId="37" borderId="2" xfId="0" applyFont="1" applyFill="1" applyBorder="1" applyAlignment="1">
      <alignment horizontal="left" vertical="center" wrapText="1"/>
    </xf>
    <xf numFmtId="0" fontId="0" fillId="0" borderId="0" xfId="0" applyFill="1"/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169" fontId="0" fillId="4" borderId="39" xfId="0" applyNumberFormat="1" applyFill="1" applyBorder="1" applyAlignment="1">
      <alignment horizontal="center" vertical="center"/>
    </xf>
    <xf numFmtId="169" fontId="2" fillId="4" borderId="39" xfId="0" applyNumberFormat="1" applyFont="1" applyFill="1" applyBorder="1" applyAlignment="1">
      <alignment horizontal="center" vertical="center"/>
    </xf>
    <xf numFmtId="166" fontId="0" fillId="0" borderId="39" xfId="0" applyNumberFormat="1" applyFill="1" applyBorder="1" applyAlignment="1">
      <alignment horizontal="center" vertical="center" wrapText="1"/>
    </xf>
    <xf numFmtId="0" fontId="2" fillId="44" borderId="39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/>
    </xf>
    <xf numFmtId="172" fontId="0" fillId="4" borderId="39" xfId="1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9" fontId="0" fillId="0" borderId="39" xfId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4" borderId="39" xfId="0" applyFill="1" applyBorder="1" applyAlignment="1">
      <alignment horizontal="center"/>
    </xf>
    <xf numFmtId="170" fontId="0" fillId="0" borderId="39" xfId="0" applyNumberFormat="1" applyFill="1" applyBorder="1" applyAlignment="1">
      <alignment horizontal="center" vertical="center"/>
    </xf>
    <xf numFmtId="169" fontId="0" fillId="0" borderId="39" xfId="0" applyNumberFormat="1" applyBorder="1" applyAlignment="1">
      <alignment horizontal="center" vertical="center"/>
    </xf>
    <xf numFmtId="170" fontId="0" fillId="0" borderId="39" xfId="0" applyNumberFormat="1" applyBorder="1" applyAlignment="1">
      <alignment horizontal="center" vertical="center"/>
    </xf>
    <xf numFmtId="0" fontId="0" fillId="32" borderId="41" xfId="0" applyFill="1" applyBorder="1" applyAlignment="1">
      <alignment horizontal="center" vertical="center" wrapText="1"/>
    </xf>
    <xf numFmtId="0" fontId="30" fillId="32" borderId="41" xfId="0" applyFont="1" applyFill="1" applyBorder="1" applyAlignment="1">
      <alignment horizontal="center" vertical="center" wrapText="1"/>
    </xf>
    <xf numFmtId="169" fontId="0" fillId="3" borderId="42" xfId="0" applyNumberFormat="1" applyFill="1" applyBorder="1" applyAlignment="1">
      <alignment horizontal="center" vertical="center"/>
    </xf>
    <xf numFmtId="9" fontId="0" fillId="3" borderId="42" xfId="1" applyFont="1" applyFill="1" applyBorder="1" applyAlignment="1">
      <alignment horizontal="center" vertical="center"/>
    </xf>
    <xf numFmtId="0" fontId="32" fillId="34" borderId="43" xfId="0" applyFont="1" applyFill="1" applyBorder="1" applyAlignment="1">
      <alignment horizontal="left" vertical="center" wrapText="1"/>
    </xf>
    <xf numFmtId="0" fontId="0" fillId="2" borderId="43" xfId="0" applyFont="1" applyFill="1" applyBorder="1" applyAlignment="1">
      <alignment horizontal="left" vertical="center"/>
    </xf>
    <xf numFmtId="169" fontId="0" fillId="2" borderId="43" xfId="0" applyNumberFormat="1" applyFont="1" applyFill="1" applyBorder="1" applyAlignment="1">
      <alignment horizontal="right" vertical="center"/>
    </xf>
    <xf numFmtId="0" fontId="0" fillId="0" borderId="43" xfId="0" applyFont="1" applyBorder="1"/>
    <xf numFmtId="169" fontId="0" fillId="0" borderId="43" xfId="0" applyNumberFormat="1" applyFont="1" applyBorder="1"/>
    <xf numFmtId="9" fontId="0" fillId="0" borderId="44" xfId="1" applyFont="1" applyBorder="1" applyAlignment="1">
      <alignment horizontal="center"/>
    </xf>
    <xf numFmtId="169" fontId="0" fillId="0" borderId="35" xfId="0" applyNumberFormat="1" applyBorder="1"/>
    <xf numFmtId="0" fontId="0" fillId="0" borderId="43" xfId="0" applyBorder="1"/>
    <xf numFmtId="169" fontId="0" fillId="0" borderId="43" xfId="0" applyNumberFormat="1" applyBorder="1"/>
    <xf numFmtId="0" fontId="0" fillId="0" borderId="43" xfId="0" applyBorder="1" applyAlignment="1">
      <alignment horizontal="center" vertical="center"/>
    </xf>
    <xf numFmtId="173" fontId="0" fillId="37" borderId="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" fontId="0" fillId="45" borderId="3" xfId="0" applyNumberFormat="1" applyFont="1" applyFill="1" applyBorder="1"/>
    <xf numFmtId="0" fontId="0" fillId="0" borderId="0" xfId="0" applyAlignment="1"/>
    <xf numFmtId="1" fontId="0" fillId="45" borderId="0" xfId="0" applyNumberFormat="1" applyFill="1"/>
    <xf numFmtId="169" fontId="0" fillId="37" borderId="42" xfId="0" applyNumberFormat="1" applyFont="1" applyFill="1" applyBorder="1" applyAlignment="1">
      <alignment horizontal="right" vertical="center"/>
    </xf>
    <xf numFmtId="0" fontId="0" fillId="0" borderId="42" xfId="0" applyFont="1" applyFill="1" applyBorder="1"/>
    <xf numFmtId="166" fontId="2" fillId="0" borderId="42" xfId="0" applyNumberFormat="1" applyFont="1" applyFill="1" applyBorder="1"/>
    <xf numFmtId="0" fontId="0" fillId="37" borderId="0" xfId="0" applyFont="1" applyFill="1"/>
    <xf numFmtId="166" fontId="0" fillId="37" borderId="0" xfId="0" applyNumberFormat="1" applyFill="1"/>
    <xf numFmtId="0" fontId="0" fillId="0" borderId="42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0" fontId="2" fillId="37" borderId="45" xfId="0" applyFont="1" applyFill="1" applyBorder="1" applyAlignment="1">
      <alignment horizontal="center" vertical="center" wrapText="1"/>
    </xf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0" fontId="30" fillId="32" borderId="42" xfId="0" applyFont="1" applyFill="1" applyBorder="1" applyAlignment="1">
      <alignment horizontal="center"/>
    </xf>
    <xf numFmtId="0" fontId="30" fillId="32" borderId="39" xfId="0" applyFont="1" applyFill="1" applyBorder="1" applyAlignment="1">
      <alignment horizontal="center"/>
    </xf>
    <xf numFmtId="169" fontId="0" fillId="4" borderId="39" xfId="0" applyNumberFormat="1" applyFill="1" applyBorder="1" applyAlignment="1">
      <alignment horizontal="right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0" fillId="37" borderId="4" xfId="0" applyFont="1" applyFill="1" applyBorder="1" applyAlignment="1">
      <alignment horizontal="left" vertical="center"/>
    </xf>
    <xf numFmtId="169" fontId="0" fillId="37" borderId="4" xfId="0" applyNumberFormat="1" applyFont="1" applyFill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172" fontId="0" fillId="0" borderId="14" xfId="1" applyNumberFormat="1" applyFont="1" applyBorder="1" applyAlignment="1">
      <alignment horizontal="center" vertical="center"/>
    </xf>
    <xf numFmtId="0" fontId="0" fillId="46" borderId="42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0" fillId="37" borderId="47" xfId="0" applyFont="1" applyFill="1" applyBorder="1" applyAlignment="1">
      <alignment horizontal="left" vertical="center" wrapText="1"/>
    </xf>
    <xf numFmtId="169" fontId="0" fillId="37" borderId="47" xfId="0" applyNumberFormat="1" applyFont="1" applyFill="1" applyBorder="1" applyAlignment="1">
      <alignment horizontal="right" vertical="center"/>
    </xf>
    <xf numFmtId="166" fontId="0" fillId="0" borderId="47" xfId="0" applyNumberFormat="1" applyFont="1" applyFill="1" applyBorder="1" applyAlignment="1">
      <alignment horizontal="center" vertical="center"/>
    </xf>
    <xf numFmtId="0" fontId="32" fillId="34" borderId="47" xfId="0" applyFont="1" applyFill="1" applyBorder="1" applyAlignment="1">
      <alignment horizontal="left" vertical="center" wrapText="1"/>
    </xf>
    <xf numFmtId="169" fontId="0" fillId="2" borderId="47" xfId="0" applyNumberFormat="1" applyFont="1" applyFill="1" applyBorder="1" applyAlignment="1">
      <alignment horizontal="right" vertical="center"/>
    </xf>
    <xf numFmtId="0" fontId="0" fillId="0" borderId="47" xfId="0" applyFont="1" applyBorder="1"/>
    <xf numFmtId="0" fontId="0" fillId="0" borderId="46" xfId="0" applyBorder="1" applyAlignment="1">
      <alignment horizontal="center" vertical="center"/>
    </xf>
    <xf numFmtId="9" fontId="0" fillId="0" borderId="46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vertical="center"/>
    </xf>
    <xf numFmtId="0" fontId="32" fillId="34" borderId="48" xfId="0" applyFont="1" applyFill="1" applyBorder="1" applyAlignment="1">
      <alignment horizontal="left" vertical="center" wrapText="1"/>
    </xf>
    <xf numFmtId="169" fontId="0" fillId="2" borderId="48" xfId="0" applyNumberFormat="1" applyFont="1" applyFill="1" applyBorder="1" applyAlignment="1">
      <alignment horizontal="right" vertical="center"/>
    </xf>
    <xf numFmtId="0" fontId="0" fillId="0" borderId="48" xfId="0" applyFont="1" applyBorder="1"/>
    <xf numFmtId="0" fontId="30" fillId="37" borderId="48" xfId="0" applyFont="1" applyFill="1" applyBorder="1" applyAlignment="1">
      <alignment horizontal="left" vertical="center" wrapText="1"/>
    </xf>
    <xf numFmtId="169" fontId="0" fillId="37" borderId="48" xfId="0" applyNumberFormat="1" applyFont="1" applyFill="1" applyBorder="1" applyAlignment="1">
      <alignment horizontal="right" vertical="center"/>
    </xf>
    <xf numFmtId="166" fontId="0" fillId="0" borderId="48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37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1" fillId="8" borderId="39" xfId="0" applyFont="1" applyFill="1" applyBorder="1" applyAlignment="1">
      <alignment horizontal="center" vertical="center" wrapText="1"/>
    </xf>
    <xf numFmtId="0" fontId="31" fillId="32" borderId="43" xfId="0" applyFont="1" applyFill="1" applyBorder="1" applyAlignment="1">
      <alignment horizontal="center" vertical="center" wrapText="1"/>
    </xf>
    <xf numFmtId="0" fontId="31" fillId="32" borderId="3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2" fillId="8" borderId="33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8" borderId="36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0" fillId="32" borderId="41" xfId="0" applyFill="1" applyBorder="1" applyAlignment="1">
      <alignment horizontal="center" vertical="center"/>
    </xf>
    <xf numFmtId="0" fontId="0" fillId="32" borderId="3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14" fontId="2" fillId="42" borderId="1" xfId="0" applyNumberFormat="1" applyFont="1" applyFill="1" applyBorder="1" applyAlignment="1">
      <alignment horizontal="center" vertical="center"/>
    </xf>
    <xf numFmtId="9" fontId="0" fillId="0" borderId="45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2" fillId="37" borderId="30" xfId="0" applyFont="1" applyFill="1" applyBorder="1" applyAlignment="1">
      <alignment horizontal="center"/>
    </xf>
    <xf numFmtId="0" fontId="2" fillId="37" borderId="31" xfId="0" applyFont="1" applyFill="1" applyBorder="1" applyAlignment="1">
      <alignment horizontal="center"/>
    </xf>
    <xf numFmtId="0" fontId="2" fillId="37" borderId="32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 vertical="center" textRotation="90"/>
    </xf>
    <xf numFmtId="0" fontId="27" fillId="7" borderId="19" xfId="0" applyFont="1" applyFill="1" applyBorder="1" applyAlignment="1">
      <alignment horizontal="center" vertical="center" textRotation="90"/>
    </xf>
    <xf numFmtId="0" fontId="27" fillId="7" borderId="35" xfId="0" applyFont="1" applyFill="1" applyBorder="1" applyAlignment="1">
      <alignment horizontal="center" vertical="center" textRotation="90"/>
    </xf>
    <xf numFmtId="0" fontId="3" fillId="40" borderId="11" xfId="0" applyFont="1" applyFill="1" applyBorder="1" applyAlignment="1">
      <alignment horizontal="center" vertical="center" textRotation="90" wrapText="1"/>
    </xf>
    <xf numFmtId="0" fontId="3" fillId="40" borderId="28" xfId="0" applyFont="1" applyFill="1" applyBorder="1" applyAlignment="1">
      <alignment horizontal="center" vertical="center" textRotation="90" wrapText="1"/>
    </xf>
    <xf numFmtId="0" fontId="3" fillId="40" borderId="19" xfId="0" applyFont="1" applyFill="1" applyBorder="1" applyAlignment="1">
      <alignment horizontal="center" vertical="center" textRotation="90" wrapText="1"/>
    </xf>
    <xf numFmtId="0" fontId="3" fillId="40" borderId="35" xfId="0" applyFont="1" applyFill="1" applyBorder="1" applyAlignment="1">
      <alignment horizontal="center" vertical="center" textRotation="90" wrapText="1"/>
    </xf>
    <xf numFmtId="0" fontId="27" fillId="7" borderId="11" xfId="0" applyFont="1" applyFill="1" applyBorder="1" applyAlignment="1">
      <alignment horizontal="center" vertical="center" textRotation="90" wrapText="1"/>
    </xf>
    <xf numFmtId="0" fontId="27" fillId="7" borderId="19" xfId="0" applyFont="1" applyFill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/>
    </xf>
    <xf numFmtId="9" fontId="0" fillId="0" borderId="48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9" fontId="0" fillId="0" borderId="46" xfId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0" fillId="0" borderId="47" xfId="1" applyFont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2" fontId="0" fillId="0" borderId="0" xfId="0" applyNumberFormat="1"/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" xfId="1" builtinId="5"/>
    <cellStyle name="Porcentaje 2" xfId="14"/>
    <cellStyle name="Porcentaje 3" xfId="1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2:K37"/>
  <sheetViews>
    <sheetView tabSelected="1" topLeftCell="B1" workbookViewId="0">
      <selection activeCell="K12" sqref="K12:K14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</cols>
  <sheetData>
    <row r="2" spans="2:11">
      <c r="B2" s="320" t="s">
        <v>156</v>
      </c>
      <c r="C2" s="320"/>
      <c r="D2" s="320"/>
      <c r="E2" s="320"/>
      <c r="F2" s="320"/>
      <c r="G2" s="320"/>
      <c r="H2" s="320"/>
      <c r="I2" s="320"/>
      <c r="J2" s="320"/>
    </row>
    <row r="3" spans="2:11">
      <c r="B3" s="320"/>
      <c r="C3" s="320"/>
      <c r="D3" s="320"/>
      <c r="E3" s="320"/>
      <c r="F3" s="320"/>
      <c r="G3" s="320"/>
      <c r="H3" s="320"/>
      <c r="I3" s="320"/>
      <c r="J3" s="320"/>
    </row>
    <row r="4" spans="2:11">
      <c r="C4" s="322">
        <v>45291</v>
      </c>
      <c r="D4" s="322"/>
      <c r="E4" s="322"/>
      <c r="F4" s="322"/>
      <c r="G4" s="322"/>
      <c r="H4" s="322"/>
      <c r="I4" s="322"/>
      <c r="J4" s="322"/>
    </row>
    <row r="5" spans="2:11">
      <c r="C5" s="323" t="s">
        <v>0</v>
      </c>
      <c r="D5" s="323"/>
      <c r="E5" s="323"/>
      <c r="F5" s="323"/>
      <c r="G5" s="323"/>
      <c r="H5" s="323"/>
      <c r="I5" s="323"/>
      <c r="J5" s="323"/>
    </row>
    <row r="8" spans="2:11">
      <c r="B8" s="12" t="s">
        <v>1</v>
      </c>
      <c r="C8" s="12" t="s">
        <v>102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</row>
    <row r="9" spans="2:11" ht="15" customHeight="1">
      <c r="B9" s="324" t="s">
        <v>104</v>
      </c>
      <c r="C9" s="321" t="s">
        <v>100</v>
      </c>
      <c r="D9" s="13" t="s">
        <v>9</v>
      </c>
      <c r="E9" s="87">
        <f>'Artesanal Anchoveta XV-IV'!N7</f>
        <v>80964</v>
      </c>
      <c r="F9" s="116">
        <f>'Artesanal Anchoveta XV-IV'!O7</f>
        <v>7497</v>
      </c>
      <c r="G9" s="80">
        <f>'Artesanal Anchoveta XV-IV'!P7</f>
        <v>88461</v>
      </c>
      <c r="H9" s="80">
        <f>'Artesanal Anchoveta XV-IV'!Q7</f>
        <v>86286.888999999996</v>
      </c>
      <c r="I9" s="80">
        <f>'Artesanal Anchoveta XV-IV'!R7</f>
        <v>2174.1110000000044</v>
      </c>
      <c r="J9" s="86">
        <f>'Artesanal Anchoveta XV-IV'!S7</f>
        <v>0.97542294344400349</v>
      </c>
    </row>
    <row r="10" spans="2:11" s="77" customFormat="1" ht="15" customHeight="1">
      <c r="B10" s="325"/>
      <c r="C10" s="327"/>
      <c r="D10" s="224" t="s">
        <v>150</v>
      </c>
      <c r="E10" s="225" t="s">
        <v>65</v>
      </c>
      <c r="F10" s="226" t="s">
        <v>65</v>
      </c>
      <c r="G10" s="227">
        <f>'Cesiones ind y colec'!T8</f>
        <v>29756.297999999999</v>
      </c>
      <c r="H10" s="227">
        <f>'Cesiones ind y colec'!U8</f>
        <v>5660.643</v>
      </c>
      <c r="I10" s="227">
        <f>'Cesiones ind y colec'!V8</f>
        <v>24095.654999999999</v>
      </c>
      <c r="J10" s="222">
        <f>'Cesiones ind y colec'!W8</f>
        <v>0.19023344234554984</v>
      </c>
    </row>
    <row r="11" spans="2:11">
      <c r="B11" s="324"/>
      <c r="C11" s="321"/>
      <c r="D11" s="13" t="s">
        <v>10</v>
      </c>
      <c r="E11" s="87">
        <f>+'Artesanal Anchoveta XV-IV'!N8</f>
        <v>30543</v>
      </c>
      <c r="F11" s="116">
        <f>+'Artesanal Anchoveta XV-IV'!O8</f>
        <v>0</v>
      </c>
      <c r="G11" s="80">
        <f>+'Artesanal Anchoveta XV-IV'!P8</f>
        <v>30543</v>
      </c>
      <c r="H11" s="80">
        <f>+'Artesanal Anchoveta XV-IV'!Q8</f>
        <v>14063.802</v>
      </c>
      <c r="I11" s="80">
        <f t="shared" ref="I11:I24" si="0">+G11-H11</f>
        <v>16479.198</v>
      </c>
      <c r="J11" s="86">
        <f t="shared" ref="J11:J24" si="1">+H11/G11</f>
        <v>0.46045909046262645</v>
      </c>
    </row>
    <row r="12" spans="2:11" s="77" customFormat="1">
      <c r="B12" s="325"/>
      <c r="C12" s="327"/>
      <c r="D12" s="224" t="s">
        <v>151</v>
      </c>
      <c r="E12" s="225" t="s">
        <v>65</v>
      </c>
      <c r="F12" s="226" t="s">
        <v>65</v>
      </c>
      <c r="G12" s="227">
        <f>'Cesiones ind y colec'!T9</f>
        <v>4984.2240000000002</v>
      </c>
      <c r="H12" s="227">
        <f>'Cesiones ind y colec'!U9</f>
        <v>0</v>
      </c>
      <c r="I12" s="227">
        <f>'Cesiones ind y colec'!V9</f>
        <v>4984.2240000000002</v>
      </c>
      <c r="J12" s="222">
        <f>'Cesiones ind y colec'!W9</f>
        <v>0</v>
      </c>
      <c r="K12" s="388"/>
    </row>
    <row r="13" spans="2:11" s="1" customFormat="1">
      <c r="B13" s="324"/>
      <c r="C13" s="321"/>
      <c r="D13" s="13" t="s">
        <v>11</v>
      </c>
      <c r="E13" s="87">
        <f>+'Artesanal Anchoveta XV-IV'!N10</f>
        <v>21789</v>
      </c>
      <c r="F13" s="116">
        <f>+'Artesanal Anchoveta XV-IV'!O10</f>
        <v>0</v>
      </c>
      <c r="G13" s="80">
        <f>+'Artesanal Anchoveta XV-IV'!P10</f>
        <v>21789</v>
      </c>
      <c r="H13" s="80">
        <f>+'Artesanal Anchoveta XV-IV'!Q10</f>
        <v>211.71</v>
      </c>
      <c r="I13" s="80">
        <f t="shared" si="0"/>
        <v>21577.29</v>
      </c>
      <c r="J13" s="86">
        <f t="shared" si="1"/>
        <v>9.7163706457386763E-3</v>
      </c>
    </row>
    <row r="14" spans="2:11" s="77" customFormat="1">
      <c r="B14" s="325"/>
      <c r="C14" s="327"/>
      <c r="D14" s="224" t="s">
        <v>152</v>
      </c>
      <c r="E14" s="225" t="s">
        <v>65</v>
      </c>
      <c r="F14" s="226" t="s">
        <v>65</v>
      </c>
      <c r="G14" s="227">
        <f>'Cesiones ind y colec'!T10</f>
        <v>7571</v>
      </c>
      <c r="H14" s="227">
        <f>'Cesiones ind y colec'!U10</f>
        <v>0</v>
      </c>
      <c r="I14" s="227">
        <f>'Cesiones ind y colec'!V10</f>
        <v>7571</v>
      </c>
      <c r="J14" s="222">
        <f>'Cesiones ind y colec'!W10</f>
        <v>0</v>
      </c>
      <c r="K14" s="388"/>
    </row>
    <row r="15" spans="2:11" ht="15" customHeight="1">
      <c r="B15" s="324"/>
      <c r="C15" s="321"/>
      <c r="D15" s="13" t="s">
        <v>12</v>
      </c>
      <c r="E15" s="87">
        <f>'Artesanal Anchoveta XV-IV'!N11+'Artesanal Anchoveta XV-IV'!N12+'Artesanal Anchoveta XV-IV'!N13</f>
        <v>9338</v>
      </c>
      <c r="F15" s="116">
        <f>+'Artesanal Anchoveta XV-IV'!O11+'Artesanal Anchoveta XV-IV'!O13</f>
        <v>0</v>
      </c>
      <c r="G15" s="80">
        <f>+'Artesanal Anchoveta XV-IV'!P11+'Artesanal Anchoveta XV-IV'!P12+'Artesanal Anchoveta XV-IV'!P13</f>
        <v>9338</v>
      </c>
      <c r="H15" s="80">
        <f>+'Artesanal Anchoveta XV-IV'!Q11+'Artesanal Anchoveta XV-IV'!Q12+'Artesanal Anchoveta XV-IV'!Q13</f>
        <v>4026.4739999999997</v>
      </c>
      <c r="I15" s="80">
        <f t="shared" si="0"/>
        <v>5311.5259999999998</v>
      </c>
      <c r="J15" s="86">
        <f t="shared" si="1"/>
        <v>0.43119233240522592</v>
      </c>
    </row>
    <row r="16" spans="2:11" s="77" customFormat="1" ht="15" customHeight="1">
      <c r="B16" s="325"/>
      <c r="C16" s="327"/>
      <c r="D16" s="224" t="s">
        <v>153</v>
      </c>
      <c r="E16" s="225" t="s">
        <v>65</v>
      </c>
      <c r="F16" s="226" t="s">
        <v>65</v>
      </c>
      <c r="G16" s="227">
        <f>'Cesiones ind y colec'!T11</f>
        <v>15398.293000000001</v>
      </c>
      <c r="H16" s="227">
        <f>'Cesiones ind y colec'!U11</f>
        <v>9521.3359999999993</v>
      </c>
      <c r="I16" s="227">
        <f>'Cesiones ind y colec'!V11</f>
        <v>5876.9570000000022</v>
      </c>
      <c r="J16" s="222">
        <f>'Cesiones ind y colec'!W11</f>
        <v>0.61833711048360995</v>
      </c>
    </row>
    <row r="17" spans="2:10">
      <c r="B17" s="324"/>
      <c r="C17" s="321"/>
      <c r="D17" s="13" t="s">
        <v>13</v>
      </c>
      <c r="E17" s="87">
        <f>+'Artesanal Anchoveta XV-IV'!F9</f>
        <v>1000</v>
      </c>
      <c r="F17" s="87">
        <f>+'Artesanal Anchoveta XV-IV'!G9</f>
        <v>0</v>
      </c>
      <c r="G17" s="87">
        <f>+'Artesanal Anchoveta XV-IV'!H9</f>
        <v>1000</v>
      </c>
      <c r="H17" s="87">
        <f>+'Artesanal Anchoveta XV-IV'!I9</f>
        <v>0</v>
      </c>
      <c r="I17" s="80">
        <f t="shared" si="0"/>
        <v>1000</v>
      </c>
      <c r="J17" s="86">
        <f t="shared" si="1"/>
        <v>0</v>
      </c>
    </row>
    <row r="18" spans="2:10">
      <c r="B18" s="324"/>
      <c r="C18" s="321"/>
      <c r="D18" s="13" t="s">
        <v>14</v>
      </c>
      <c r="E18" s="87">
        <f>+'Artesanal Anchoveta XV-IV'!F14</f>
        <v>500</v>
      </c>
      <c r="F18" s="87">
        <f>+'Artesanal Anchoveta XV-IV'!G14</f>
        <v>0</v>
      </c>
      <c r="G18" s="87">
        <f>+'Artesanal Anchoveta XV-IV'!H14</f>
        <v>500</v>
      </c>
      <c r="H18" s="87">
        <f>+'Artesanal Anchoveta XV-IV'!I14</f>
        <v>0</v>
      </c>
      <c r="I18" s="80">
        <f t="shared" si="0"/>
        <v>500</v>
      </c>
      <c r="J18" s="86">
        <f t="shared" si="1"/>
        <v>0</v>
      </c>
    </row>
    <row r="19" spans="2:10" ht="15" customHeight="1">
      <c r="B19" s="324"/>
      <c r="C19" s="321" t="s">
        <v>101</v>
      </c>
      <c r="D19" s="13" t="s">
        <v>9</v>
      </c>
      <c r="E19" s="87">
        <f>+'Artesanal S.española XV-IV'!M7</f>
        <v>675</v>
      </c>
      <c r="F19" s="117">
        <f>+'Artesanal S.española XV-IV'!N7</f>
        <v>0</v>
      </c>
      <c r="G19" s="87">
        <f>+'Artesanal S.española XV-IV'!O7</f>
        <v>675</v>
      </c>
      <c r="H19" s="87">
        <f>+'Artesanal S.española XV-IV'!P7</f>
        <v>86.320999999999998</v>
      </c>
      <c r="I19" s="87">
        <f t="shared" si="0"/>
        <v>588.67899999999997</v>
      </c>
      <c r="J19" s="114">
        <f t="shared" si="1"/>
        <v>0.12788296296296295</v>
      </c>
    </row>
    <row r="20" spans="2:10">
      <c r="B20" s="324"/>
      <c r="C20" s="321"/>
      <c r="D20" s="13" t="s">
        <v>10</v>
      </c>
      <c r="E20" s="87">
        <f>+'Artesanal S.española XV-IV'!M8</f>
        <v>2385</v>
      </c>
      <c r="F20" s="117">
        <f>+'Artesanal S.española XV-IV'!N8</f>
        <v>0</v>
      </c>
      <c r="G20" s="87">
        <f>+'Artesanal S.española XV-IV'!O8</f>
        <v>2385</v>
      </c>
      <c r="H20" s="87">
        <f>+'Artesanal S.española XV-IV'!P8</f>
        <v>2475.6959999999999</v>
      </c>
      <c r="I20" s="87">
        <f t="shared" si="0"/>
        <v>-90.695999999999913</v>
      </c>
      <c r="J20" s="114">
        <f t="shared" si="1"/>
        <v>1.0380276729559748</v>
      </c>
    </row>
    <row r="21" spans="2:10">
      <c r="B21" s="324"/>
      <c r="C21" s="321"/>
      <c r="D21" s="13" t="s">
        <v>11</v>
      </c>
      <c r="E21" s="87">
        <f>+'Artesanal S.española XV-IV'!M10</f>
        <v>650</v>
      </c>
      <c r="F21" s="117">
        <f>+'Artesanal S.española XV-IV'!N10</f>
        <v>0</v>
      </c>
      <c r="G21" s="87">
        <f>+'Artesanal S.española XV-IV'!O10</f>
        <v>650</v>
      </c>
      <c r="H21" s="87">
        <f>+'Artesanal S.española XV-IV'!P10</f>
        <v>630.36300000000006</v>
      </c>
      <c r="I21" s="87">
        <f t="shared" si="0"/>
        <v>19.636999999999944</v>
      </c>
      <c r="J21" s="114">
        <f t="shared" si="1"/>
        <v>0.96978923076923085</v>
      </c>
    </row>
    <row r="22" spans="2:10">
      <c r="B22" s="324"/>
      <c r="C22" s="321"/>
      <c r="D22" s="13" t="s">
        <v>12</v>
      </c>
      <c r="E22" s="87">
        <f>+'Artesanal S.española XV-IV'!M11</f>
        <v>650</v>
      </c>
      <c r="F22" s="117">
        <f>+'Artesanal S.española XV-IV'!N11</f>
        <v>0</v>
      </c>
      <c r="G22" s="87">
        <f>+'Artesanal S.española XV-IV'!O11</f>
        <v>650</v>
      </c>
      <c r="H22" s="87">
        <f>+'Artesanal S.española XV-IV'!P11</f>
        <v>320.404</v>
      </c>
      <c r="I22" s="87">
        <f t="shared" si="0"/>
        <v>329.596</v>
      </c>
      <c r="J22" s="114">
        <f t="shared" si="1"/>
        <v>0.49292923076923079</v>
      </c>
    </row>
    <row r="23" spans="2:10">
      <c r="B23" s="324"/>
      <c r="C23" s="321"/>
      <c r="D23" s="13" t="s">
        <v>13</v>
      </c>
      <c r="E23" s="87">
        <f>+'Artesanal S.española XV-IV'!F9</f>
        <v>455</v>
      </c>
      <c r="F23" s="87">
        <f>+'Artesanal S.española XV-IV'!G9</f>
        <v>0</v>
      </c>
      <c r="G23" s="87">
        <f>+'Artesanal S.española XV-IV'!H9</f>
        <v>455</v>
      </c>
      <c r="H23" s="87">
        <f>+'Artesanal S.española XV-IV'!I9</f>
        <v>0</v>
      </c>
      <c r="I23" s="80">
        <f t="shared" si="0"/>
        <v>455</v>
      </c>
      <c r="J23" s="86">
        <f t="shared" si="1"/>
        <v>0</v>
      </c>
    </row>
    <row r="24" spans="2:10">
      <c r="B24" s="324"/>
      <c r="C24" s="321"/>
      <c r="D24" s="13" t="s">
        <v>14</v>
      </c>
      <c r="E24" s="87">
        <f>+'Artesanal S.española XV-IV'!F12</f>
        <v>200</v>
      </c>
      <c r="F24" s="87">
        <f>+'Artesanal S.española XV-IV'!G12</f>
        <v>0</v>
      </c>
      <c r="G24" s="87">
        <f>+'Artesanal S.española XV-IV'!H12</f>
        <v>200</v>
      </c>
      <c r="H24" s="87">
        <f>+'Artesanal S.española XV-IV'!I12</f>
        <v>40.116</v>
      </c>
      <c r="I24" s="80">
        <f t="shared" si="0"/>
        <v>159.88400000000001</v>
      </c>
      <c r="J24" s="86">
        <f t="shared" si="1"/>
        <v>0.20058000000000001</v>
      </c>
    </row>
    <row r="25" spans="2:10" s="1" customFormat="1" ht="28.5" customHeight="1">
      <c r="B25" s="12" t="s">
        <v>103</v>
      </c>
      <c r="C25" s="328" t="s">
        <v>99</v>
      </c>
      <c r="D25" s="326" t="s">
        <v>15</v>
      </c>
      <c r="E25" s="87">
        <v>137</v>
      </c>
      <c r="F25" s="116">
        <v>0</v>
      </c>
      <c r="G25" s="80">
        <f t="shared" ref="G25:G30" si="2">+E25+F25</f>
        <v>137</v>
      </c>
      <c r="H25" s="80">
        <f>'P. Investigación'!H26+'P. Investigación'!H33</f>
        <v>0</v>
      </c>
      <c r="I25" s="80">
        <f>+G25-H25</f>
        <v>137</v>
      </c>
      <c r="J25" s="86">
        <f>+H25/G25</f>
        <v>0</v>
      </c>
    </row>
    <row r="26" spans="2:10" s="77" customFormat="1" ht="18.75" customHeight="1">
      <c r="B26" s="159" t="s">
        <v>127</v>
      </c>
      <c r="C26" s="329"/>
      <c r="D26" s="326"/>
      <c r="E26" s="87">
        <v>0</v>
      </c>
      <c r="F26" s="116">
        <v>0</v>
      </c>
      <c r="G26" s="80">
        <f>+E26+F26</f>
        <v>0</v>
      </c>
      <c r="H26" s="80"/>
      <c r="I26" s="80">
        <f>+G26-H26</f>
        <v>0</v>
      </c>
      <c r="J26" s="86">
        <v>0</v>
      </c>
    </row>
    <row r="27" spans="2:10" s="1" customFormat="1">
      <c r="B27" s="12" t="s">
        <v>105</v>
      </c>
      <c r="C27" s="330"/>
      <c r="D27" s="326"/>
      <c r="E27" s="87">
        <v>7497</v>
      </c>
      <c r="F27" s="116">
        <f>-7497</f>
        <v>-7497</v>
      </c>
      <c r="G27" s="87">
        <f>+E27+F27</f>
        <v>0</v>
      </c>
      <c r="H27" s="80">
        <v>0</v>
      </c>
      <c r="I27" s="80">
        <v>0</v>
      </c>
      <c r="J27" s="86">
        <v>0</v>
      </c>
    </row>
    <row r="28" spans="2:10" s="1" customFormat="1">
      <c r="B28" s="12" t="s">
        <v>103</v>
      </c>
      <c r="C28" s="76" t="s">
        <v>99</v>
      </c>
      <c r="D28" s="326" t="s">
        <v>16</v>
      </c>
      <c r="E28" s="87">
        <v>78</v>
      </c>
      <c r="F28" s="116">
        <v>0</v>
      </c>
      <c r="G28" s="80">
        <f t="shared" si="2"/>
        <v>78</v>
      </c>
      <c r="H28" s="80">
        <f>+'P. Investigación'!H19+'P. Investigación'!H42</f>
        <v>0</v>
      </c>
      <c r="I28" s="80">
        <f>+G28-H28</f>
        <v>78</v>
      </c>
      <c r="J28" s="86">
        <f>+H28/G28</f>
        <v>0</v>
      </c>
    </row>
    <row r="29" spans="2:10" s="77" customFormat="1">
      <c r="B29" s="159" t="s">
        <v>127</v>
      </c>
      <c r="C29" s="76" t="s">
        <v>100</v>
      </c>
      <c r="D29" s="326"/>
      <c r="E29" s="87">
        <v>0</v>
      </c>
      <c r="F29" s="116"/>
      <c r="G29" s="80">
        <f t="shared" si="2"/>
        <v>0</v>
      </c>
      <c r="H29" s="80"/>
      <c r="I29" s="80">
        <f>+G29-H29</f>
        <v>0</v>
      </c>
      <c r="J29" s="86">
        <v>0</v>
      </c>
    </row>
    <row r="30" spans="2:10" s="1" customFormat="1">
      <c r="B30" s="12" t="s">
        <v>103</v>
      </c>
      <c r="C30" s="76" t="s">
        <v>101</v>
      </c>
      <c r="D30" s="326"/>
      <c r="E30" s="87">
        <v>0</v>
      </c>
      <c r="F30" s="116">
        <v>0</v>
      </c>
      <c r="G30" s="80">
        <f t="shared" si="2"/>
        <v>0</v>
      </c>
      <c r="H30" s="80">
        <v>0</v>
      </c>
      <c r="I30" s="80">
        <v>0</v>
      </c>
      <c r="J30" s="86">
        <v>0</v>
      </c>
    </row>
    <row r="31" spans="2:10">
      <c r="B31" s="324" t="s">
        <v>98</v>
      </c>
      <c r="C31" s="321" t="s">
        <v>99</v>
      </c>
      <c r="D31" s="16" t="s">
        <v>15</v>
      </c>
      <c r="E31" s="87">
        <f>Industrial!E16</f>
        <v>629558.875</v>
      </c>
      <c r="F31" s="116">
        <f>+Industrial!L16</f>
        <v>-34740.521999999997</v>
      </c>
      <c r="G31" s="80">
        <f>+Industrial!M16</f>
        <v>610872.10700000008</v>
      </c>
      <c r="H31" s="80">
        <f>+Industrial!N16</f>
        <v>55.451999999999998</v>
      </c>
      <c r="I31" s="80">
        <f>+G31-H31</f>
        <v>610816.65500000003</v>
      </c>
      <c r="J31" s="86">
        <f>+H31/G31</f>
        <v>9.077513830566828E-5</v>
      </c>
    </row>
    <row r="32" spans="2:10">
      <c r="B32" s="324"/>
      <c r="C32" s="321"/>
      <c r="D32" s="16" t="s">
        <v>16</v>
      </c>
      <c r="E32" s="87">
        <f>+Industrial!K33</f>
        <v>31627.001000000004</v>
      </c>
      <c r="F32" s="116">
        <f>+Industrial!L33</f>
        <v>-22969.293000000005</v>
      </c>
      <c r="G32" s="80">
        <f>+Industrial!M33</f>
        <v>8657.7080000000024</v>
      </c>
      <c r="H32" s="80">
        <f>+Industrial!N33</f>
        <v>0</v>
      </c>
      <c r="I32" s="80">
        <f>+G32-H32</f>
        <v>8657.7080000000024</v>
      </c>
      <c r="J32" s="86">
        <f>+H32/G32</f>
        <v>0</v>
      </c>
    </row>
    <row r="33" spans="2:10">
      <c r="B33" s="324"/>
      <c r="C33" s="321" t="s">
        <v>106</v>
      </c>
      <c r="D33" s="16" t="s">
        <v>15</v>
      </c>
      <c r="E33" s="87">
        <f>Industrial!E37</f>
        <v>1485</v>
      </c>
      <c r="F33" s="116">
        <f>+Industrial!L37</f>
        <v>0</v>
      </c>
      <c r="G33" s="80">
        <f>+Industrial!M37</f>
        <v>1485</v>
      </c>
      <c r="H33" s="80">
        <f>+Industrial!N37</f>
        <v>0</v>
      </c>
      <c r="I33" s="80">
        <f>+G33-H33</f>
        <v>1485</v>
      </c>
      <c r="J33" s="86">
        <f>+H33/G33</f>
        <v>0</v>
      </c>
    </row>
    <row r="34" spans="2:10">
      <c r="B34" s="324"/>
      <c r="C34" s="321"/>
      <c r="D34" s="16" t="s">
        <v>16</v>
      </c>
      <c r="E34" s="87">
        <f>+Industrial!K49</f>
        <v>1499.9930000000002</v>
      </c>
      <c r="F34" s="116">
        <f>+Industrial!L49</f>
        <v>-890</v>
      </c>
      <c r="G34" s="80">
        <f>+Industrial!M49</f>
        <v>609.99299999999994</v>
      </c>
      <c r="H34" s="80">
        <f>+Industrial!N49</f>
        <v>0</v>
      </c>
      <c r="I34" s="80">
        <f>+G34-H34</f>
        <v>609.99299999999994</v>
      </c>
      <c r="J34" s="86">
        <f>+H34/G34</f>
        <v>0</v>
      </c>
    </row>
    <row r="35" spans="2:10" s="77" customFormat="1">
      <c r="B35" s="317" t="s">
        <v>154</v>
      </c>
      <c r="C35" s="120" t="s">
        <v>100</v>
      </c>
      <c r="D35" s="318" t="s">
        <v>119</v>
      </c>
      <c r="E35" s="87">
        <v>0</v>
      </c>
      <c r="F35" s="116">
        <f>+'Cesiones ind y colec'!T5</f>
        <v>57709.81500000001</v>
      </c>
      <c r="G35" s="80">
        <f>+'Cesiones ind y colec'!T5</f>
        <v>57709.81500000001</v>
      </c>
      <c r="H35" s="80">
        <f>+'Cesiones ind y colec'!U5</f>
        <v>15181.979000000001</v>
      </c>
      <c r="I35" s="80">
        <f>+'Cesiones ind y colec'!V5</f>
        <v>42527.83600000001</v>
      </c>
      <c r="J35" s="86">
        <f>+'Cesiones ind y colec'!W5</f>
        <v>0.26307447008797374</v>
      </c>
    </row>
    <row r="36" spans="2:10" s="77" customFormat="1">
      <c r="B36" s="317"/>
      <c r="C36" s="120" t="s">
        <v>101</v>
      </c>
      <c r="D36" s="319"/>
      <c r="E36" s="87">
        <v>0</v>
      </c>
      <c r="F36" s="116">
        <f>+'Cesiones ind y colec'!T6</f>
        <v>890</v>
      </c>
      <c r="G36" s="80">
        <f>+'Cesiones ind y colec'!T6</f>
        <v>890</v>
      </c>
      <c r="H36" s="80">
        <f>+'Cesiones ind y colec'!U6</f>
        <v>645.29999999999995</v>
      </c>
      <c r="I36" s="80">
        <f>+'Cesiones ind y colec'!V6</f>
        <v>244.70000000000005</v>
      </c>
      <c r="J36" s="86">
        <f>+'Cesiones ind y colec'!W6</f>
        <v>0.72505617977528081</v>
      </c>
    </row>
    <row r="37" spans="2:10">
      <c r="E37" s="88">
        <f>SUM(E9:E36)</f>
        <v>821031.86900000006</v>
      </c>
      <c r="F37" s="83">
        <f>SUM(F9:F36)</f>
        <v>7.2759576141834259E-12</v>
      </c>
      <c r="G37" s="128"/>
    </row>
  </sheetData>
  <mergeCells count="14">
    <mergeCell ref="B35:B36"/>
    <mergeCell ref="D35:D36"/>
    <mergeCell ref="B2:J3"/>
    <mergeCell ref="C33:C34"/>
    <mergeCell ref="C4:J4"/>
    <mergeCell ref="C5:J5"/>
    <mergeCell ref="B31:B34"/>
    <mergeCell ref="B9:B24"/>
    <mergeCell ref="D25:D27"/>
    <mergeCell ref="D28:D30"/>
    <mergeCell ref="C9:C18"/>
    <mergeCell ref="C19:C24"/>
    <mergeCell ref="C31:C32"/>
    <mergeCell ref="C25:C27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64"/>
  <sheetViews>
    <sheetView topLeftCell="A13" zoomScale="90" zoomScaleNormal="90" workbookViewId="0">
      <selection activeCell="P24" sqref="P24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68"/>
  </cols>
  <sheetData>
    <row r="1" spans="1:17">
      <c r="A1" s="72" t="s">
        <v>66</v>
      </c>
      <c r="B1" s="72" t="s">
        <v>67</v>
      </c>
      <c r="C1" s="72" t="s">
        <v>68</v>
      </c>
      <c r="D1" s="72" t="s">
        <v>69</v>
      </c>
      <c r="E1" s="70" t="s">
        <v>70</v>
      </c>
      <c r="F1" s="72" t="s">
        <v>71</v>
      </c>
      <c r="G1" s="72" t="s">
        <v>72</v>
      </c>
      <c r="H1" s="72" t="s">
        <v>73</v>
      </c>
      <c r="I1" s="72" t="s">
        <v>74</v>
      </c>
      <c r="J1" s="72" t="s">
        <v>75</v>
      </c>
      <c r="K1" s="72" t="s">
        <v>134</v>
      </c>
      <c r="L1" s="73" t="s">
        <v>76</v>
      </c>
      <c r="M1" s="74" t="s">
        <v>77</v>
      </c>
      <c r="N1" s="112" t="s">
        <v>78</v>
      </c>
      <c r="O1" s="75" t="s">
        <v>79</v>
      </c>
      <c r="P1" s="2" t="s">
        <v>80</v>
      </c>
      <c r="Q1" s="2" t="s">
        <v>81</v>
      </c>
    </row>
    <row r="2" spans="1:17">
      <c r="A2" s="204" t="s">
        <v>82</v>
      </c>
      <c r="B2" s="204" t="s">
        <v>82</v>
      </c>
      <c r="C2" s="204" t="s">
        <v>83</v>
      </c>
      <c r="D2" s="204" t="s">
        <v>84</v>
      </c>
      <c r="E2" s="204" t="str">
        <f>+Industrial!C11</f>
        <v>ARICA SEAFOOD PRODUCER S.A.</v>
      </c>
      <c r="F2" s="207">
        <v>44927</v>
      </c>
      <c r="G2" s="207">
        <v>45291</v>
      </c>
      <c r="H2" s="204">
        <f>+Industrial!E11</f>
        <v>5544.3370000000004</v>
      </c>
      <c r="I2" s="77">
        <f>+Industrial!F11</f>
        <v>0</v>
      </c>
      <c r="J2" s="77">
        <f>+Industrial!G11</f>
        <v>5544.3370000000004</v>
      </c>
      <c r="K2" s="77">
        <f>+Industrial!H11</f>
        <v>0</v>
      </c>
      <c r="L2" s="77">
        <f>+Industrial!I11</f>
        <v>5544.3370000000004</v>
      </c>
      <c r="M2" s="25">
        <f>+Industrial!J11</f>
        <v>0</v>
      </c>
      <c r="N2" s="113" t="s">
        <v>65</v>
      </c>
      <c r="O2" s="68">
        <f>+Resumen!C$4</f>
        <v>45291</v>
      </c>
      <c r="P2">
        <v>2023</v>
      </c>
    </row>
    <row r="3" spans="1:17">
      <c r="A3" s="204" t="s">
        <v>82</v>
      </c>
      <c r="B3" s="204" t="s">
        <v>82</v>
      </c>
      <c r="C3" s="204" t="s">
        <v>83</v>
      </c>
      <c r="D3" s="204" t="s">
        <v>84</v>
      </c>
      <c r="E3" s="204" t="str">
        <f>+Industrial!C12</f>
        <v>CAMANCHACA S.A</v>
      </c>
      <c r="F3" s="207">
        <v>44927</v>
      </c>
      <c r="G3" s="207">
        <v>45291</v>
      </c>
      <c r="H3" s="204">
        <f>+Industrial!E12</f>
        <v>152210.935</v>
      </c>
      <c r="I3" s="77">
        <f>+Industrial!F12</f>
        <v>0</v>
      </c>
      <c r="J3" s="77">
        <f>+Industrial!G12</f>
        <v>152210.935</v>
      </c>
      <c r="K3" s="77">
        <f>+Industrial!H12</f>
        <v>0</v>
      </c>
      <c r="L3" s="77">
        <f>+Industrial!I12</f>
        <v>152210.935</v>
      </c>
      <c r="M3" s="25">
        <f>+Industrial!J12</f>
        <v>0</v>
      </c>
      <c r="N3" s="113" t="s">
        <v>65</v>
      </c>
      <c r="O3" s="68">
        <f>+Resumen!C$4</f>
        <v>45291</v>
      </c>
      <c r="P3" s="77">
        <v>2023</v>
      </c>
    </row>
    <row r="4" spans="1:17" s="77" customFormat="1">
      <c r="A4" s="204" t="s">
        <v>82</v>
      </c>
      <c r="B4" s="204" t="s">
        <v>82</v>
      </c>
      <c r="C4" s="204" t="s">
        <v>83</v>
      </c>
      <c r="D4" s="204" t="s">
        <v>84</v>
      </c>
      <c r="E4" s="204" t="str">
        <f>+Industrial!C13</f>
        <v>CORPESCA S.A</v>
      </c>
      <c r="F4" s="207">
        <v>44927</v>
      </c>
      <c r="G4" s="207">
        <v>45291</v>
      </c>
      <c r="H4" s="204">
        <f>+Industrial!E13</f>
        <v>448824.69900000002</v>
      </c>
      <c r="I4" s="77">
        <f>+Industrial!F13</f>
        <v>-12000</v>
      </c>
      <c r="J4" s="77">
        <f>+Industrial!G13</f>
        <v>436824.69900000002</v>
      </c>
      <c r="K4" s="77">
        <f>+Industrial!H13</f>
        <v>55.451999999999998</v>
      </c>
      <c r="L4" s="77">
        <f>+Industrial!I13</f>
        <v>436769.24700000003</v>
      </c>
      <c r="M4" s="25">
        <f>+Industrial!J13</f>
        <v>1.269433713957644E-4</v>
      </c>
      <c r="N4" s="113" t="s">
        <v>65</v>
      </c>
      <c r="O4" s="68">
        <f>+Resumen!C$4</f>
        <v>45291</v>
      </c>
      <c r="P4" s="77">
        <v>2023</v>
      </c>
    </row>
    <row r="5" spans="1:17" s="77" customFormat="1">
      <c r="A5" s="204" t="s">
        <v>82</v>
      </c>
      <c r="B5" s="204" t="s">
        <v>82</v>
      </c>
      <c r="C5" s="204" t="s">
        <v>83</v>
      </c>
      <c r="D5" s="204" t="s">
        <v>84</v>
      </c>
      <c r="E5" s="204" t="str">
        <f>+Industrial!C14</f>
        <v>DEL NORTE PESQUERA</v>
      </c>
      <c r="F5" s="207">
        <v>44927</v>
      </c>
      <c r="G5" s="207">
        <v>45291</v>
      </c>
      <c r="H5" s="204">
        <f>+Industrial!E14</f>
        <v>19516.329000000002</v>
      </c>
      <c r="I5" s="77">
        <f>+Industrial!F14</f>
        <v>-19313.867999999999</v>
      </c>
      <c r="J5" s="77">
        <f>+Industrial!G14</f>
        <v>202.46100000000297</v>
      </c>
      <c r="K5" s="77">
        <f>+Industrial!H14</f>
        <v>0</v>
      </c>
      <c r="L5" s="77">
        <f>+Industrial!I14</f>
        <v>202.46100000000297</v>
      </c>
      <c r="M5" s="25">
        <f>+Industrial!J14</f>
        <v>0</v>
      </c>
      <c r="N5" s="113" t="s">
        <v>65</v>
      </c>
      <c r="O5" s="68">
        <f>+Resumen!C$4</f>
        <v>45291</v>
      </c>
      <c r="P5" s="77">
        <v>2023</v>
      </c>
    </row>
    <row r="6" spans="1:17" s="77" customFormat="1">
      <c r="A6" s="204" t="s">
        <v>82</v>
      </c>
      <c r="B6" s="204" t="s">
        <v>82</v>
      </c>
      <c r="C6" s="204" t="s">
        <v>83</v>
      </c>
      <c r="D6" s="204" t="s">
        <v>84</v>
      </c>
      <c r="E6" s="204" t="str">
        <f>+Industrial!C15</f>
        <v>ESPACIO PESQUERO</v>
      </c>
      <c r="F6" s="207">
        <v>44927</v>
      </c>
      <c r="G6" s="207">
        <v>45291</v>
      </c>
      <c r="H6" s="204">
        <f>+Industrial!E14</f>
        <v>19516.329000000002</v>
      </c>
      <c r="I6" s="77">
        <f>+Industrial!F15</f>
        <v>-3426.654</v>
      </c>
      <c r="J6" s="77">
        <f>+Industrial!G15</f>
        <v>35.920999999999822</v>
      </c>
      <c r="K6" s="77">
        <f>+Industrial!H15</f>
        <v>0</v>
      </c>
      <c r="L6" s="77">
        <f>+Industrial!I15</f>
        <v>35.920999999999822</v>
      </c>
      <c r="M6" s="25">
        <f>+Industrial!J15</f>
        <v>0</v>
      </c>
      <c r="N6" s="113" t="s">
        <v>65</v>
      </c>
      <c r="O6" s="68">
        <f>+Resumen!C$4</f>
        <v>45291</v>
      </c>
      <c r="P6" s="77">
        <v>2023</v>
      </c>
    </row>
    <row r="7" spans="1:17" s="208" customFormat="1">
      <c r="A7" s="212" t="s">
        <v>82</v>
      </c>
      <c r="B7" s="212" t="s">
        <v>82</v>
      </c>
      <c r="C7" s="212" t="s">
        <v>83</v>
      </c>
      <c r="D7" s="212" t="s">
        <v>84</v>
      </c>
      <c r="E7" s="212" t="s">
        <v>86</v>
      </c>
      <c r="F7" s="266">
        <v>44927</v>
      </c>
      <c r="G7" s="266">
        <v>45291</v>
      </c>
      <c r="H7" s="213">
        <f>+Industrial!K16</f>
        <v>645612.62900000007</v>
      </c>
      <c r="I7" s="208">
        <f>+Industrial!L16</f>
        <v>-34740.521999999997</v>
      </c>
      <c r="J7" s="208">
        <f>+Industrial!M16</f>
        <v>610872.10700000008</v>
      </c>
      <c r="K7" s="208">
        <f>+Industrial!N16</f>
        <v>55.451999999999998</v>
      </c>
      <c r="L7" s="208">
        <f>+Industrial!O16</f>
        <v>610816.65500000014</v>
      </c>
      <c r="M7" s="209">
        <f>+Industrial!P16</f>
        <v>9.077513830566828E-5</v>
      </c>
      <c r="N7" s="210" t="s">
        <v>65</v>
      </c>
      <c r="O7" s="211">
        <f>+Resumen!C$4</f>
        <v>45291</v>
      </c>
      <c r="P7" s="77">
        <v>2023</v>
      </c>
    </row>
    <row r="8" spans="1:17">
      <c r="A8" s="204" t="s">
        <v>82</v>
      </c>
      <c r="B8" s="204" t="s">
        <v>82</v>
      </c>
      <c r="C8" s="204" t="s">
        <v>85</v>
      </c>
      <c r="D8" s="204" t="s">
        <v>84</v>
      </c>
      <c r="E8" s="204" t="str">
        <f>+Industrial!C17</f>
        <v>ABASTECIMIENTO DEL PACIFICO S.A.</v>
      </c>
      <c r="F8" s="207">
        <v>44927</v>
      </c>
      <c r="G8" s="207">
        <v>45291</v>
      </c>
      <c r="H8" s="204">
        <f>+Industrial!E17</f>
        <v>332.084</v>
      </c>
      <c r="I8" s="77">
        <f>+Industrial!F17</f>
        <v>-181.71299999999999</v>
      </c>
      <c r="J8" s="77">
        <f>+Industrial!G17</f>
        <v>150.37100000000001</v>
      </c>
      <c r="K8" s="77">
        <f>+Industrial!H17</f>
        <v>0</v>
      </c>
      <c r="L8" s="77">
        <f>+Industrial!I17</f>
        <v>150.37100000000001</v>
      </c>
      <c r="M8" s="25">
        <f>+Industrial!J17</f>
        <v>0</v>
      </c>
      <c r="N8" s="113" t="s">
        <v>65</v>
      </c>
      <c r="O8" s="68">
        <f>+Resumen!C$4</f>
        <v>45291</v>
      </c>
      <c r="P8" s="77">
        <v>2023</v>
      </c>
    </row>
    <row r="9" spans="1:17">
      <c r="A9" s="204" t="s">
        <v>82</v>
      </c>
      <c r="B9" s="204" t="s">
        <v>82</v>
      </c>
      <c r="C9" s="204" t="s">
        <v>85</v>
      </c>
      <c r="D9" s="204" t="s">
        <v>84</v>
      </c>
      <c r="E9" s="204" t="str">
        <f>+Industrial!C19</f>
        <v>ATILIO REYES BARRERA</v>
      </c>
      <c r="F9" s="207">
        <v>44927</v>
      </c>
      <c r="G9" s="207">
        <v>45291</v>
      </c>
      <c r="H9" s="204">
        <f>+Industrial!E19</f>
        <v>237.203</v>
      </c>
      <c r="I9" s="77">
        <f>+Industrial!F19</f>
        <v>0</v>
      </c>
      <c r="J9" s="77">
        <f>+Industrial!G19</f>
        <v>237.203</v>
      </c>
      <c r="K9" s="77">
        <f>+Industrial!H19</f>
        <v>0</v>
      </c>
      <c r="L9" s="77">
        <f>+Industrial!I19</f>
        <v>237.203</v>
      </c>
      <c r="M9" s="25">
        <f>+Industrial!J19</f>
        <v>0</v>
      </c>
      <c r="N9" s="113" t="s">
        <v>65</v>
      </c>
      <c r="O9" s="68">
        <f>+Resumen!C$4</f>
        <v>45291</v>
      </c>
      <c r="P9" s="77">
        <v>2023</v>
      </c>
    </row>
    <row r="10" spans="1:17">
      <c r="A10" s="204" t="s">
        <v>82</v>
      </c>
      <c r="B10" s="204" t="s">
        <v>82</v>
      </c>
      <c r="C10" s="204" t="s">
        <v>85</v>
      </c>
      <c r="D10" s="204" t="s">
        <v>84</v>
      </c>
      <c r="E10" s="204" t="str">
        <f>+Industrial!C20</f>
        <v xml:space="preserve">BAHIA CALDERA S.A. PESQ.          </v>
      </c>
      <c r="F10" s="207">
        <v>44927</v>
      </c>
      <c r="G10" s="207">
        <v>45291</v>
      </c>
      <c r="H10" s="204">
        <f>+Industrial!E20</f>
        <v>13836.123</v>
      </c>
      <c r="I10" s="77">
        <f>+Industrial!F20</f>
        <v>-7571</v>
      </c>
      <c r="J10" s="77">
        <f>+Industrial!G20</f>
        <v>6265.1229999999996</v>
      </c>
      <c r="K10" s="77">
        <f>+Industrial!H20</f>
        <v>0</v>
      </c>
      <c r="L10" s="77">
        <f>+Industrial!I20</f>
        <v>6265.1229999999996</v>
      </c>
      <c r="M10" s="25">
        <f>+Industrial!J20</f>
        <v>0</v>
      </c>
      <c r="N10" s="113" t="s">
        <v>65</v>
      </c>
      <c r="O10" s="68">
        <f>+Resumen!C$4</f>
        <v>45291</v>
      </c>
      <c r="P10" s="77">
        <v>2023</v>
      </c>
    </row>
    <row r="11" spans="1:17">
      <c r="A11" s="204" t="s">
        <v>82</v>
      </c>
      <c r="B11" s="204" t="s">
        <v>82</v>
      </c>
      <c r="C11" s="204" t="s">
        <v>85</v>
      </c>
      <c r="D11" s="204" t="s">
        <v>84</v>
      </c>
      <c r="E11" s="204" t="str">
        <f>+Industrial!C21</f>
        <v xml:space="preserve">BLUMAR S.A.                                              </v>
      </c>
      <c r="F11" s="207">
        <v>44927</v>
      </c>
      <c r="G11" s="207">
        <v>45291</v>
      </c>
      <c r="H11" s="204">
        <f>+Industrial!E21</f>
        <v>102.16200000000001</v>
      </c>
      <c r="I11" s="77">
        <f>+Industrial!F21</f>
        <v>0</v>
      </c>
      <c r="J11" s="77">
        <f>+Industrial!G21</f>
        <v>102.16200000000001</v>
      </c>
      <c r="K11" s="77">
        <f>+Industrial!H21</f>
        <v>0</v>
      </c>
      <c r="L11" s="77">
        <f>+Industrial!I21</f>
        <v>102.16200000000001</v>
      </c>
      <c r="M11" s="25">
        <f>+Industrial!J21</f>
        <v>0</v>
      </c>
      <c r="N11" s="113" t="s">
        <v>65</v>
      </c>
      <c r="O11" s="68">
        <f>+Resumen!C$4</f>
        <v>45291</v>
      </c>
      <c r="P11" s="77">
        <v>2023</v>
      </c>
    </row>
    <row r="12" spans="1:17">
      <c r="A12" s="204" t="s">
        <v>82</v>
      </c>
      <c r="B12" s="204" t="s">
        <v>82</v>
      </c>
      <c r="C12" s="204" t="s">
        <v>85</v>
      </c>
      <c r="D12" s="204" t="s">
        <v>84</v>
      </c>
      <c r="E12" s="204" t="str">
        <f>+Industrial!C22</f>
        <v xml:space="preserve">CAMANCHACA PESCA SUR S.A.  </v>
      </c>
      <c r="F12" s="207">
        <v>44927</v>
      </c>
      <c r="G12" s="207">
        <v>45291</v>
      </c>
      <c r="H12" s="204">
        <f>+Industrial!E22</f>
        <v>856.03499999999997</v>
      </c>
      <c r="I12" s="77">
        <f>+Industrial!F22</f>
        <v>-460</v>
      </c>
      <c r="J12" s="77">
        <f>+Industrial!G22</f>
        <v>396.03499999999997</v>
      </c>
      <c r="K12" s="77">
        <f>+Industrial!H22</f>
        <v>0</v>
      </c>
      <c r="L12" s="77">
        <f>+Industrial!I22</f>
        <v>396.03499999999997</v>
      </c>
      <c r="M12" s="25">
        <f>+Industrial!J22</f>
        <v>0</v>
      </c>
      <c r="N12" s="113" t="s">
        <v>65</v>
      </c>
      <c r="O12" s="68">
        <f>+Resumen!C$4</f>
        <v>45291</v>
      </c>
      <c r="P12" s="77">
        <v>2023</v>
      </c>
    </row>
    <row r="13" spans="1:17">
      <c r="A13" s="204" t="s">
        <v>82</v>
      </c>
      <c r="B13" s="204" t="s">
        <v>82</v>
      </c>
      <c r="C13" s="204" t="s">
        <v>85</v>
      </c>
      <c r="D13" s="204" t="s">
        <v>84</v>
      </c>
      <c r="E13" s="204" t="str">
        <f>+Industrial!C23</f>
        <v xml:space="preserve">CAMANCHACA S.A. CIA. PESQ    </v>
      </c>
      <c r="F13" s="207">
        <v>44927</v>
      </c>
      <c r="G13" s="207">
        <v>45291</v>
      </c>
      <c r="H13" s="204">
        <f>+Industrial!E23</f>
        <v>24.463000000000001</v>
      </c>
      <c r="I13" s="77">
        <f>+Industrial!F23</f>
        <v>0</v>
      </c>
      <c r="J13" s="77">
        <f>+Industrial!G23</f>
        <v>24.463000000000001</v>
      </c>
      <c r="K13" s="77">
        <f>+Industrial!H23</f>
        <v>0</v>
      </c>
      <c r="L13" s="77">
        <f>+Industrial!I23</f>
        <v>24.463000000000001</v>
      </c>
      <c r="M13" s="25">
        <f>+Industrial!J23</f>
        <v>0</v>
      </c>
      <c r="N13" s="113" t="s">
        <v>65</v>
      </c>
      <c r="O13" s="68">
        <f>+Resumen!C$4</f>
        <v>45291</v>
      </c>
      <c r="P13" s="77">
        <v>2023</v>
      </c>
    </row>
    <row r="14" spans="1:17">
      <c r="A14" s="204" t="s">
        <v>82</v>
      </c>
      <c r="B14" s="204" t="s">
        <v>82</v>
      </c>
      <c r="C14" s="204" t="s">
        <v>85</v>
      </c>
      <c r="D14" s="204" t="s">
        <v>84</v>
      </c>
      <c r="E14" s="204" t="str">
        <f>+Industrial!C24</f>
        <v>ERIC ARACENA REYNUABA</v>
      </c>
      <c r="F14" s="207">
        <v>44927</v>
      </c>
      <c r="G14" s="207">
        <v>45291</v>
      </c>
      <c r="H14" s="204">
        <f>+Industrial!E24</f>
        <v>126.508</v>
      </c>
      <c r="I14" s="77">
        <f>+Industrial!F24</f>
        <v>0</v>
      </c>
      <c r="J14" s="77">
        <f>+Industrial!G24</f>
        <v>126.508</v>
      </c>
      <c r="K14" s="77">
        <f>+Industrial!H24</f>
        <v>0</v>
      </c>
      <c r="L14" s="77">
        <f>+Industrial!I24</f>
        <v>126.508</v>
      </c>
      <c r="M14" s="25">
        <f>+Industrial!J24</f>
        <v>0</v>
      </c>
      <c r="N14" s="113" t="s">
        <v>65</v>
      </c>
      <c r="O14" s="68">
        <f>+Resumen!C$4</f>
        <v>45291</v>
      </c>
      <c r="P14" s="77">
        <v>2023</v>
      </c>
    </row>
    <row r="15" spans="1:17">
      <c r="A15" s="204" t="s">
        <v>82</v>
      </c>
      <c r="B15" s="204" t="s">
        <v>82</v>
      </c>
      <c r="C15" s="204" t="s">
        <v>85</v>
      </c>
      <c r="D15" s="204" t="s">
        <v>84</v>
      </c>
      <c r="E15" s="204" t="str">
        <f>+Industrial!C25</f>
        <v>FOODCORP CHILE S.A.</v>
      </c>
      <c r="F15" s="207">
        <v>44927</v>
      </c>
      <c r="G15" s="207">
        <v>45291</v>
      </c>
      <c r="H15" s="204">
        <f>+Industrial!E25</f>
        <v>79.067999999999998</v>
      </c>
      <c r="I15" s="77">
        <f>+Industrial!F25</f>
        <v>0</v>
      </c>
      <c r="J15" s="77">
        <f>+Industrial!G25</f>
        <v>79.067999999999998</v>
      </c>
      <c r="K15" s="77">
        <f>+Industrial!H25</f>
        <v>0</v>
      </c>
      <c r="L15" s="77">
        <f>+Industrial!I25</f>
        <v>79.067999999999998</v>
      </c>
      <c r="M15" s="25">
        <f>+Industrial!J25</f>
        <v>0</v>
      </c>
      <c r="N15" s="113" t="s">
        <v>65</v>
      </c>
      <c r="O15" s="68">
        <f>+Resumen!C$4</f>
        <v>45291</v>
      </c>
      <c r="P15" s="77">
        <v>2023</v>
      </c>
    </row>
    <row r="16" spans="1:17">
      <c r="A16" s="204" t="s">
        <v>82</v>
      </c>
      <c r="B16" s="204" t="s">
        <v>82</v>
      </c>
      <c r="C16" s="204" t="s">
        <v>85</v>
      </c>
      <c r="D16" s="204" t="s">
        <v>84</v>
      </c>
      <c r="E16" s="204" t="str">
        <f>+Industrial!C26</f>
        <v>GIULLIANO REYNUABA SALAS</v>
      </c>
      <c r="F16" s="207">
        <v>44927</v>
      </c>
      <c r="G16" s="207">
        <v>45291</v>
      </c>
      <c r="H16" s="204">
        <f>+Industrial!E26</f>
        <v>126.508</v>
      </c>
      <c r="I16" s="77">
        <f>+Industrial!F26</f>
        <v>0</v>
      </c>
      <c r="J16" s="77">
        <f>+Industrial!G26</f>
        <v>126.508</v>
      </c>
      <c r="K16" s="77">
        <f>+Industrial!H26</f>
        <v>0</v>
      </c>
      <c r="L16" s="77">
        <f>+Industrial!I26</f>
        <v>126.508</v>
      </c>
      <c r="M16" s="25">
        <f>+Industrial!J26</f>
        <v>0</v>
      </c>
      <c r="N16" s="113" t="s">
        <v>65</v>
      </c>
      <c r="O16" s="68">
        <f>+Resumen!C$4</f>
        <v>45291</v>
      </c>
      <c r="P16" s="77">
        <v>2023</v>
      </c>
    </row>
    <row r="17" spans="1:16">
      <c r="A17" s="204" t="s">
        <v>82</v>
      </c>
      <c r="B17" s="204" t="s">
        <v>82</v>
      </c>
      <c r="C17" s="204" t="s">
        <v>85</v>
      </c>
      <c r="D17" s="204" t="s">
        <v>84</v>
      </c>
      <c r="E17" s="204" t="str">
        <f>+Industrial!C27</f>
        <v xml:space="preserve">LANDES S.A. SOC. PESQ.                           </v>
      </c>
      <c r="F17" s="207">
        <v>44927</v>
      </c>
      <c r="G17" s="207">
        <v>45291</v>
      </c>
      <c r="H17" s="204">
        <f>+Industrial!E27</f>
        <v>2.9540000000000002</v>
      </c>
      <c r="I17" s="77">
        <f>+Industrial!F27</f>
        <v>-0.17399999999999999</v>
      </c>
      <c r="J17" s="77">
        <f>+Industrial!G27</f>
        <v>2.7800000000000002</v>
      </c>
      <c r="K17" s="77">
        <f>+Industrial!H27</f>
        <v>0</v>
      </c>
      <c r="L17" s="77">
        <f>+Industrial!I27</f>
        <v>2.7800000000000002</v>
      </c>
      <c r="M17" s="25">
        <f>+Industrial!J27</f>
        <v>0</v>
      </c>
      <c r="N17" s="113" t="s">
        <v>65</v>
      </c>
      <c r="O17" s="68">
        <f>+Resumen!C$4</f>
        <v>45291</v>
      </c>
      <c r="P17" s="77">
        <v>2023</v>
      </c>
    </row>
    <row r="18" spans="1:16">
      <c r="A18" s="204" t="s">
        <v>82</v>
      </c>
      <c r="B18" s="204" t="s">
        <v>82</v>
      </c>
      <c r="C18" s="204" t="s">
        <v>85</v>
      </c>
      <c r="D18" s="204" t="s">
        <v>84</v>
      </c>
      <c r="E18" s="204" t="str">
        <f>+Industrial!C28</f>
        <v xml:space="preserve">ORIZON S.A                                                   </v>
      </c>
      <c r="F18" s="207">
        <v>44927</v>
      </c>
      <c r="G18" s="207">
        <v>45291</v>
      </c>
      <c r="H18" s="204">
        <f>+Industrial!E28</f>
        <v>13462.001</v>
      </c>
      <c r="I18" s="77">
        <f>+Industrial!F28</f>
        <v>-13430</v>
      </c>
      <c r="J18" s="77">
        <f>+Industrial!G28</f>
        <v>32.001000000000204</v>
      </c>
      <c r="K18" s="77">
        <f>+Industrial!H28</f>
        <v>0</v>
      </c>
      <c r="L18" s="77">
        <f>+Industrial!I28</f>
        <v>32.001000000000204</v>
      </c>
      <c r="M18" s="25">
        <f>+Industrial!J28</f>
        <v>0</v>
      </c>
      <c r="N18" s="113" t="s">
        <v>65</v>
      </c>
      <c r="O18" s="68">
        <f>+Resumen!C$4</f>
        <v>45291</v>
      </c>
      <c r="P18" s="77">
        <v>2023</v>
      </c>
    </row>
    <row r="19" spans="1:16">
      <c r="A19" s="204" t="s">
        <v>82</v>
      </c>
      <c r="B19" s="204" t="s">
        <v>82</v>
      </c>
      <c r="C19" s="204" t="s">
        <v>85</v>
      </c>
      <c r="D19" s="204" t="s">
        <v>84</v>
      </c>
      <c r="E19" s="204" t="str">
        <f>+Industrial!C29</f>
        <v>NOVAMAR SPA.</v>
      </c>
      <c r="F19" s="207">
        <v>44927</v>
      </c>
      <c r="G19" s="207">
        <v>45291</v>
      </c>
      <c r="H19" s="204">
        <f>+Industrial!E29</f>
        <v>162.63500000000002</v>
      </c>
      <c r="I19" s="77">
        <f>+Industrial!F29</f>
        <v>-159.56100000000001</v>
      </c>
      <c r="J19" s="77">
        <f>+Industrial!G29</f>
        <v>3.0740000000000123</v>
      </c>
      <c r="K19" s="77">
        <f>+Industrial!H29</f>
        <v>0</v>
      </c>
      <c r="L19" s="77">
        <f>+Industrial!I29</f>
        <v>3.0740000000000123</v>
      </c>
      <c r="M19" s="25">
        <f>+Industrial!J29</f>
        <v>0</v>
      </c>
      <c r="N19" s="113" t="s">
        <v>65</v>
      </c>
      <c r="O19" s="68">
        <f>+Resumen!C$4</f>
        <v>45291</v>
      </c>
      <c r="P19" s="77">
        <v>2023</v>
      </c>
    </row>
    <row r="20" spans="1:16" s="77" customFormat="1">
      <c r="A20" s="204" t="s">
        <v>82</v>
      </c>
      <c r="B20" s="204" t="s">
        <v>82</v>
      </c>
      <c r="C20" s="204" t="s">
        <v>85</v>
      </c>
      <c r="D20" s="204" t="s">
        <v>84</v>
      </c>
      <c r="E20" s="204" t="str">
        <f>+Industrial!C30</f>
        <v>THOR FISHERIES CHILE SpA.</v>
      </c>
      <c r="F20" s="207">
        <v>44927</v>
      </c>
      <c r="G20" s="207">
        <v>45291</v>
      </c>
      <c r="H20" s="204">
        <f>+Industrial!E30</f>
        <v>0</v>
      </c>
      <c r="I20" s="77">
        <f>+Industrial!F30</f>
        <v>0.17399999999999999</v>
      </c>
      <c r="J20" s="77">
        <f>+Industrial!G30</f>
        <v>0.17399999999999999</v>
      </c>
      <c r="K20" s="77">
        <f>+Industrial!H30</f>
        <v>0</v>
      </c>
      <c r="L20" s="77">
        <f>+Industrial!I30</f>
        <v>0.17399999999999999</v>
      </c>
      <c r="M20" s="25">
        <f>+Industrial!J30</f>
        <v>0</v>
      </c>
      <c r="N20" s="113" t="s">
        <v>65</v>
      </c>
      <c r="O20" s="68">
        <f>+Resumen!C$4</f>
        <v>45291</v>
      </c>
      <c r="P20" s="77">
        <v>2023</v>
      </c>
    </row>
    <row r="21" spans="1:16" s="77" customFormat="1">
      <c r="A21" s="204" t="s">
        <v>82</v>
      </c>
      <c r="B21" s="204" t="s">
        <v>82</v>
      </c>
      <c r="C21" s="204" t="s">
        <v>85</v>
      </c>
      <c r="D21" s="204" t="s">
        <v>84</v>
      </c>
      <c r="E21" s="204" t="str">
        <f>+Industrial!C31</f>
        <v>INVERSIONES PESQUERAS SpA.</v>
      </c>
      <c r="F21" s="207">
        <v>44927</v>
      </c>
      <c r="G21" s="207">
        <v>45291</v>
      </c>
      <c r="H21" s="204">
        <f>+Industrial!E31</f>
        <v>144.523</v>
      </c>
      <c r="I21" s="77">
        <f>+Industrial!F31</f>
        <v>0</v>
      </c>
      <c r="J21" s="77">
        <f>+Industrial!G31</f>
        <v>144.523</v>
      </c>
      <c r="K21" s="77">
        <f>+Industrial!H31</f>
        <v>0</v>
      </c>
      <c r="L21" s="77">
        <f>+Industrial!I31</f>
        <v>144.523</v>
      </c>
      <c r="M21" s="25">
        <f>+Industrial!J31</f>
        <v>0</v>
      </c>
      <c r="N21" s="113" t="s">
        <v>65</v>
      </c>
      <c r="O21" s="68">
        <f>+Resumen!C$4</f>
        <v>45291</v>
      </c>
      <c r="P21" s="77">
        <v>2023</v>
      </c>
    </row>
    <row r="22" spans="1:16" s="77" customFormat="1">
      <c r="A22" s="204" t="s">
        <v>82</v>
      </c>
      <c r="B22" s="204" t="s">
        <v>82</v>
      </c>
      <c r="C22" s="204" t="s">
        <v>85</v>
      </c>
      <c r="D22" s="204" t="s">
        <v>84</v>
      </c>
      <c r="E22" s="204" t="str">
        <f>Industrial!C32</f>
        <v>PROCESOS TECNOLOGICOS DEL BIO BIO SpA</v>
      </c>
      <c r="F22" s="207">
        <v>44927</v>
      </c>
      <c r="G22" s="207">
        <v>45291</v>
      </c>
      <c r="H22" s="204">
        <f>+Industrial!E32</f>
        <v>363.71100000000001</v>
      </c>
      <c r="I22" s="77">
        <f>+Industrial!F32</f>
        <v>-199.01900000000001</v>
      </c>
      <c r="J22" s="77">
        <f>+Industrial!G32</f>
        <v>164.69200000000001</v>
      </c>
      <c r="K22" s="77">
        <f>+Industrial!H32</f>
        <v>0</v>
      </c>
      <c r="L22" s="77">
        <f>+Industrial!I32</f>
        <v>164.69200000000001</v>
      </c>
      <c r="M22" s="25">
        <f>+Industrial!J32</f>
        <v>0</v>
      </c>
      <c r="N22" s="113" t="s">
        <v>65</v>
      </c>
      <c r="O22" s="68">
        <f>+Resumen!C$4</f>
        <v>45291</v>
      </c>
      <c r="P22" s="77">
        <v>2023</v>
      </c>
    </row>
    <row r="23" spans="1:16" s="208" customFormat="1">
      <c r="A23" s="212" t="s">
        <v>82</v>
      </c>
      <c r="B23" s="212" t="s">
        <v>82</v>
      </c>
      <c r="C23" s="212" t="s">
        <v>85</v>
      </c>
      <c r="D23" s="212" t="s">
        <v>84</v>
      </c>
      <c r="E23" s="212" t="s">
        <v>86</v>
      </c>
      <c r="F23" s="266">
        <v>44927</v>
      </c>
      <c r="G23" s="266">
        <v>45291</v>
      </c>
      <c r="H23" s="212">
        <f>+Industrial!K33</f>
        <v>31627.001000000004</v>
      </c>
      <c r="I23" s="208">
        <f>+Industrial!L33</f>
        <v>-22969.293000000005</v>
      </c>
      <c r="J23" s="208">
        <f>+Industrial!M33</f>
        <v>8657.7080000000024</v>
      </c>
      <c r="K23" s="208">
        <f>+Industrial!N33</f>
        <v>0</v>
      </c>
      <c r="L23" s="208">
        <f>+Industrial!O33</f>
        <v>8657.7080000000024</v>
      </c>
      <c r="M23" s="209">
        <f>+Industrial!P33</f>
        <v>0</v>
      </c>
      <c r="N23" s="210" t="s">
        <v>65</v>
      </c>
      <c r="O23" s="211">
        <f>+Resumen!C$4</f>
        <v>45291</v>
      </c>
      <c r="P23" s="77">
        <v>2023</v>
      </c>
    </row>
    <row r="24" spans="1:16">
      <c r="A24" s="204" t="s">
        <v>87</v>
      </c>
      <c r="B24" s="204" t="s">
        <v>87</v>
      </c>
      <c r="C24" s="204" t="s">
        <v>83</v>
      </c>
      <c r="D24" s="204" t="s">
        <v>84</v>
      </c>
      <c r="E24" s="204" t="str">
        <f>+Industrial!C34</f>
        <v xml:space="preserve">ARICA SEAFOOD PRODUCER S.A.  </v>
      </c>
      <c r="F24" s="207">
        <v>44927</v>
      </c>
      <c r="G24" s="207">
        <v>45291</v>
      </c>
      <c r="H24" s="204">
        <f>+Industrial!E34</f>
        <v>4.8810000000000002</v>
      </c>
      <c r="I24" s="77">
        <f>+Industrial!F34</f>
        <v>0</v>
      </c>
      <c r="J24" s="77">
        <f>+Industrial!G34</f>
        <v>4.8810000000000002</v>
      </c>
      <c r="K24" s="77">
        <f>+Industrial!H34</f>
        <v>0</v>
      </c>
      <c r="L24" s="77">
        <f>+Industrial!I34</f>
        <v>4.8810000000000002</v>
      </c>
      <c r="M24" s="25">
        <f>+Industrial!J34</f>
        <v>0</v>
      </c>
      <c r="N24" s="113" t="s">
        <v>65</v>
      </c>
      <c r="O24" s="68">
        <f>+Resumen!C$4</f>
        <v>45291</v>
      </c>
      <c r="P24" s="77">
        <v>2023</v>
      </c>
    </row>
    <row r="25" spans="1:16">
      <c r="A25" s="204" t="s">
        <v>87</v>
      </c>
      <c r="B25" s="204" t="s">
        <v>87</v>
      </c>
      <c r="C25" s="204" t="s">
        <v>83</v>
      </c>
      <c r="D25" s="204" t="s">
        <v>84</v>
      </c>
      <c r="E25" s="204" t="str">
        <f>+Industrial!C35</f>
        <v xml:space="preserve">CAMANCHACA S.A. CIA. PESQ      </v>
      </c>
      <c r="F25" s="207">
        <v>44927</v>
      </c>
      <c r="G25" s="207">
        <v>45291</v>
      </c>
      <c r="H25" s="204">
        <f>+Industrial!E35</f>
        <v>313.08800000000002</v>
      </c>
      <c r="I25" s="77">
        <f>+Industrial!F35</f>
        <v>0</v>
      </c>
      <c r="J25" s="77">
        <f>+Industrial!G35</f>
        <v>313.08800000000002</v>
      </c>
      <c r="K25" s="77">
        <f>+Industrial!H35</f>
        <v>0</v>
      </c>
      <c r="L25" s="77">
        <f>+Industrial!I35</f>
        <v>313.08800000000002</v>
      </c>
      <c r="M25" s="25">
        <f>+Industrial!J35</f>
        <v>0</v>
      </c>
      <c r="N25" s="113" t="s">
        <v>65</v>
      </c>
      <c r="O25" s="68">
        <f>+Resumen!C$4</f>
        <v>45291</v>
      </c>
      <c r="P25" s="77">
        <v>2023</v>
      </c>
    </row>
    <row r="26" spans="1:16">
      <c r="A26" s="204" t="s">
        <v>87</v>
      </c>
      <c r="B26" s="204" t="s">
        <v>87</v>
      </c>
      <c r="C26" s="204" t="s">
        <v>83</v>
      </c>
      <c r="D26" s="204" t="s">
        <v>84</v>
      </c>
      <c r="E26" s="204" t="str">
        <f>+Industrial!C36</f>
        <v xml:space="preserve">CORPESCA S.A.                             </v>
      </c>
      <c r="F26" s="207">
        <v>44927</v>
      </c>
      <c r="G26" s="207">
        <v>45291</v>
      </c>
      <c r="H26" s="204">
        <f>+Industrial!E36</f>
        <v>1167.0309999999999</v>
      </c>
      <c r="I26" s="77">
        <f>+Industrial!F36</f>
        <v>0</v>
      </c>
      <c r="J26" s="77">
        <f>+Industrial!G36</f>
        <v>1167.0309999999999</v>
      </c>
      <c r="K26" s="77">
        <f>+Industrial!H36</f>
        <v>0</v>
      </c>
      <c r="L26" s="77">
        <f>+Industrial!I36</f>
        <v>1167.0309999999999</v>
      </c>
      <c r="M26" s="25">
        <f>+Industrial!J36</f>
        <v>0</v>
      </c>
      <c r="N26" s="113" t="s">
        <v>65</v>
      </c>
      <c r="O26" s="68">
        <f>+Resumen!C$4</f>
        <v>45291</v>
      </c>
      <c r="P26" s="77">
        <v>2023</v>
      </c>
    </row>
    <row r="27" spans="1:16" s="208" customFormat="1">
      <c r="A27" s="212" t="s">
        <v>87</v>
      </c>
      <c r="B27" s="212" t="s">
        <v>87</v>
      </c>
      <c r="C27" s="212" t="s">
        <v>83</v>
      </c>
      <c r="D27" s="212" t="s">
        <v>84</v>
      </c>
      <c r="E27" s="212" t="s">
        <v>86</v>
      </c>
      <c r="F27" s="266">
        <v>44927</v>
      </c>
      <c r="G27" s="266">
        <v>45291</v>
      </c>
      <c r="H27" s="214">
        <f>Industrial!E37</f>
        <v>1485</v>
      </c>
      <c r="I27" s="208">
        <f>+Industrial!L37</f>
        <v>0</v>
      </c>
      <c r="J27" s="208">
        <f>+Industrial!M37</f>
        <v>1485</v>
      </c>
      <c r="K27" s="208">
        <f>+Industrial!N37</f>
        <v>0</v>
      </c>
      <c r="L27" s="208">
        <f>+Industrial!O37</f>
        <v>1485</v>
      </c>
      <c r="M27" s="209">
        <f>+Industrial!P37</f>
        <v>0</v>
      </c>
      <c r="N27" s="210" t="s">
        <v>65</v>
      </c>
      <c r="O27" s="211">
        <f>+Resumen!C$4</f>
        <v>45291</v>
      </c>
      <c r="P27" s="77">
        <v>2023</v>
      </c>
    </row>
    <row r="28" spans="1:16">
      <c r="A28" s="204" t="s">
        <v>87</v>
      </c>
      <c r="B28" s="204" t="s">
        <v>87</v>
      </c>
      <c r="C28" s="204" t="s">
        <v>85</v>
      </c>
      <c r="D28" s="204" t="s">
        <v>84</v>
      </c>
      <c r="E28" s="204" t="str">
        <f>+Industrial!C38</f>
        <v xml:space="preserve">ALIMENTOS MARINOS S.A.          </v>
      </c>
      <c r="F28" s="207">
        <v>44927</v>
      </c>
      <c r="G28" s="207">
        <v>45291</v>
      </c>
      <c r="H28" s="204">
        <f>+Industrial!E38</f>
        <v>204.947</v>
      </c>
      <c r="I28" s="77">
        <f>+Industrial!F38</f>
        <v>0</v>
      </c>
      <c r="J28" s="77">
        <f>+Industrial!G38</f>
        <v>204.947</v>
      </c>
      <c r="K28" s="77">
        <f>+Industrial!H38</f>
        <v>0</v>
      </c>
      <c r="L28" s="77">
        <f>+Industrial!I38</f>
        <v>204.947</v>
      </c>
      <c r="M28" s="25">
        <f>+Industrial!J38</f>
        <v>0</v>
      </c>
      <c r="N28" s="113" t="s">
        <v>65</v>
      </c>
      <c r="O28" s="68">
        <f>+Resumen!C$4</f>
        <v>45291</v>
      </c>
      <c r="P28" s="77">
        <v>2023</v>
      </c>
    </row>
    <row r="29" spans="1:16">
      <c r="A29" s="204" t="s">
        <v>87</v>
      </c>
      <c r="B29" s="204" t="s">
        <v>87</v>
      </c>
      <c r="C29" s="204" t="s">
        <v>85</v>
      </c>
      <c r="D29" s="204" t="s">
        <v>84</v>
      </c>
      <c r="E29" s="204" t="str">
        <f>+Industrial!C39</f>
        <v xml:space="preserve">BAHIA CALDERA S.A. PESQ.          </v>
      </c>
      <c r="F29" s="207">
        <v>44927</v>
      </c>
      <c r="G29" s="207">
        <v>45291</v>
      </c>
      <c r="H29" s="204">
        <f>+Industrial!E39</f>
        <v>892.30700000000002</v>
      </c>
      <c r="I29" s="77">
        <f>+Industrial!F39</f>
        <v>-890</v>
      </c>
      <c r="J29" s="77">
        <f>+Industrial!G39</f>
        <v>2.3070000000000164</v>
      </c>
      <c r="K29" s="77">
        <f>+Industrial!H39</f>
        <v>0</v>
      </c>
      <c r="L29" s="77">
        <f>+Industrial!I39</f>
        <v>2.3070000000000164</v>
      </c>
      <c r="M29" s="25">
        <f>+Industrial!J39</f>
        <v>0</v>
      </c>
      <c r="N29" s="113" t="s">
        <v>65</v>
      </c>
      <c r="O29" s="68">
        <f>+Resumen!C$4</f>
        <v>45291</v>
      </c>
      <c r="P29" s="77">
        <v>2023</v>
      </c>
    </row>
    <row r="30" spans="1:16">
      <c r="A30" s="204" t="s">
        <v>87</v>
      </c>
      <c r="B30" s="204" t="s">
        <v>87</v>
      </c>
      <c r="C30" s="204" t="s">
        <v>85</v>
      </c>
      <c r="D30" s="204" t="s">
        <v>84</v>
      </c>
      <c r="E30" s="204" t="str">
        <f>+Industrial!C40</f>
        <v>FOODCORP CHILE S.A.</v>
      </c>
      <c r="F30" s="207">
        <v>44927</v>
      </c>
      <c r="G30" s="207">
        <v>45291</v>
      </c>
      <c r="H30" s="204">
        <f>+Industrial!E40</f>
        <v>0.15</v>
      </c>
      <c r="I30" s="77">
        <f>+Industrial!F40</f>
        <v>0</v>
      </c>
      <c r="J30" s="77">
        <f>+Industrial!G40</f>
        <v>0.15</v>
      </c>
      <c r="K30" s="77">
        <f>+Industrial!H40</f>
        <v>0</v>
      </c>
      <c r="L30" s="77">
        <f>+Industrial!I40</f>
        <v>0.15</v>
      </c>
      <c r="M30" s="25">
        <f>+Industrial!J40</f>
        <v>0</v>
      </c>
      <c r="N30" s="113" t="s">
        <v>65</v>
      </c>
      <c r="O30" s="68">
        <f>+Resumen!C$4</f>
        <v>45291</v>
      </c>
      <c r="P30" s="77">
        <v>2023</v>
      </c>
    </row>
    <row r="31" spans="1:16">
      <c r="A31" s="204" t="s">
        <v>87</v>
      </c>
      <c r="B31" s="204" t="s">
        <v>87</v>
      </c>
      <c r="C31" s="204" t="s">
        <v>85</v>
      </c>
      <c r="D31" s="204" t="s">
        <v>84</v>
      </c>
      <c r="E31" s="204" t="str">
        <f>+Industrial!C41</f>
        <v>BLUMAR S.A.</v>
      </c>
      <c r="F31" s="207">
        <v>44927</v>
      </c>
      <c r="G31" s="207">
        <v>45291</v>
      </c>
      <c r="H31" s="204">
        <f>+Industrial!E41</f>
        <v>5.7460000000000004</v>
      </c>
      <c r="I31" s="77">
        <f>+Industrial!F41</f>
        <v>0</v>
      </c>
      <c r="J31" s="77">
        <f>+Industrial!G41</f>
        <v>5.7460000000000004</v>
      </c>
      <c r="K31" s="77">
        <f>+Industrial!H41</f>
        <v>0</v>
      </c>
      <c r="L31" s="77">
        <f>+Industrial!I41</f>
        <v>5.7460000000000004</v>
      </c>
      <c r="M31" s="25">
        <f>+Industrial!J41</f>
        <v>0</v>
      </c>
      <c r="N31" s="113" t="s">
        <v>65</v>
      </c>
      <c r="O31" s="68">
        <f>+Resumen!C$4</f>
        <v>45291</v>
      </c>
      <c r="P31" s="77">
        <v>2023</v>
      </c>
    </row>
    <row r="32" spans="1:16">
      <c r="A32" s="204" t="s">
        <v>87</v>
      </c>
      <c r="B32" s="204" t="s">
        <v>87</v>
      </c>
      <c r="C32" s="204" t="s">
        <v>85</v>
      </c>
      <c r="D32" s="204" t="s">
        <v>84</v>
      </c>
      <c r="E32" s="204" t="str">
        <f>+Industrial!C42</f>
        <v>CAMANCHACA S.A.</v>
      </c>
      <c r="F32" s="207">
        <v>44927</v>
      </c>
      <c r="G32" s="207">
        <v>45291</v>
      </c>
      <c r="H32" s="204">
        <f>+Industrial!E42</f>
        <v>6.4950000000000001</v>
      </c>
      <c r="I32" s="77">
        <f>+Industrial!F42</f>
        <v>0</v>
      </c>
      <c r="J32" s="77">
        <f>+Industrial!G42</f>
        <v>6.4950000000000001</v>
      </c>
      <c r="K32" s="77">
        <f>+Industrial!H42</f>
        <v>0</v>
      </c>
      <c r="L32" s="77">
        <f>+Industrial!I42</f>
        <v>6.4950000000000001</v>
      </c>
      <c r="M32" s="25">
        <f>+Industrial!J42</f>
        <v>0</v>
      </c>
      <c r="N32" s="113" t="s">
        <v>65</v>
      </c>
      <c r="O32" s="68">
        <f>+Resumen!C$4</f>
        <v>45291</v>
      </c>
      <c r="P32" s="77">
        <v>2023</v>
      </c>
    </row>
    <row r="33" spans="1:16">
      <c r="A33" s="204" t="s">
        <v>87</v>
      </c>
      <c r="B33" s="204" t="s">
        <v>87</v>
      </c>
      <c r="C33" s="204" t="s">
        <v>85</v>
      </c>
      <c r="D33" s="204" t="s">
        <v>84</v>
      </c>
      <c r="E33" s="204" t="str">
        <f>+Industrial!C43</f>
        <v>NOVAMAR SPA.</v>
      </c>
      <c r="F33" s="207">
        <v>44927</v>
      </c>
      <c r="G33" s="207">
        <v>45291</v>
      </c>
      <c r="H33" s="204">
        <f>+Industrial!E43</f>
        <v>0</v>
      </c>
      <c r="I33" s="77">
        <f>+Industrial!F43</f>
        <v>0</v>
      </c>
      <c r="J33" s="77">
        <f>+Industrial!G43</f>
        <v>0</v>
      </c>
      <c r="K33" s="77">
        <f>+Industrial!H43</f>
        <v>0</v>
      </c>
      <c r="L33" s="77">
        <f>+Industrial!I43</f>
        <v>0</v>
      </c>
      <c r="M33" s="25" t="e">
        <f>+Industrial!J43</f>
        <v>#DIV/0!</v>
      </c>
      <c r="N33" s="113" t="s">
        <v>65</v>
      </c>
      <c r="O33" s="68">
        <f>+Resumen!C$4</f>
        <v>45291</v>
      </c>
      <c r="P33" s="77">
        <v>2023</v>
      </c>
    </row>
    <row r="34" spans="1:16">
      <c r="A34" s="204" t="s">
        <v>87</v>
      </c>
      <c r="B34" s="204" t="s">
        <v>87</v>
      </c>
      <c r="C34" s="204" t="s">
        <v>85</v>
      </c>
      <c r="D34" s="204" t="s">
        <v>84</v>
      </c>
      <c r="E34" s="204" t="str">
        <f>+Industrial!C44</f>
        <v>ORIZON S.A.</v>
      </c>
      <c r="F34" s="207">
        <v>44927</v>
      </c>
      <c r="G34" s="207">
        <v>45291</v>
      </c>
      <c r="H34" s="204">
        <f>+Industrial!E44</f>
        <v>383.03</v>
      </c>
      <c r="I34" s="77">
        <f>+Industrial!F44</f>
        <v>0</v>
      </c>
      <c r="J34" s="77">
        <f>+Industrial!G44</f>
        <v>383.03</v>
      </c>
      <c r="K34" s="77">
        <f>+Industrial!H44</f>
        <v>0</v>
      </c>
      <c r="L34" s="77">
        <f>+Industrial!I44</f>
        <v>383.03</v>
      </c>
      <c r="M34" s="25">
        <f>+Industrial!J44</f>
        <v>0</v>
      </c>
      <c r="N34" s="113" t="s">
        <v>65</v>
      </c>
      <c r="O34" s="68">
        <f>+Resumen!C$4</f>
        <v>45291</v>
      </c>
      <c r="P34" s="77">
        <v>2023</v>
      </c>
    </row>
    <row r="35" spans="1:16">
      <c r="A35" s="204" t="s">
        <v>87</v>
      </c>
      <c r="B35" s="204" t="s">
        <v>87</v>
      </c>
      <c r="C35" s="204" t="s">
        <v>85</v>
      </c>
      <c r="D35" s="204" t="s">
        <v>84</v>
      </c>
      <c r="E35" s="204" t="str">
        <f>+Industrial!C45</f>
        <v>CAMANCHACA PESCA SUR S.A.</v>
      </c>
      <c r="F35" s="207">
        <v>44927</v>
      </c>
      <c r="G35" s="207">
        <v>45291</v>
      </c>
      <c r="H35" s="204">
        <f>+Industrial!E45</f>
        <v>2.593</v>
      </c>
      <c r="I35" s="77">
        <f>+Industrial!F45</f>
        <v>0</v>
      </c>
      <c r="J35" s="77">
        <f>+Industrial!G45</f>
        <v>2.593</v>
      </c>
      <c r="K35" s="77">
        <f>+Industrial!H45</f>
        <v>0</v>
      </c>
      <c r="L35" s="77">
        <f>+Industrial!I45</f>
        <v>2.593</v>
      </c>
      <c r="M35" s="25">
        <f>+Industrial!J45</f>
        <v>0</v>
      </c>
      <c r="N35" s="113" t="s">
        <v>65</v>
      </c>
      <c r="O35" s="68">
        <f>+Resumen!C$4</f>
        <v>45291</v>
      </c>
      <c r="P35" s="77">
        <v>2023</v>
      </c>
    </row>
    <row r="36" spans="1:16" s="77" customFormat="1">
      <c r="A36" s="204" t="s">
        <v>87</v>
      </c>
      <c r="B36" s="204" t="s">
        <v>87</v>
      </c>
      <c r="C36" s="204" t="s">
        <v>85</v>
      </c>
      <c r="D36" s="204" t="s">
        <v>84</v>
      </c>
      <c r="E36" s="204" t="str">
        <f>+Industrial!C46</f>
        <v>THOR FISHERIES CHILE SpA.</v>
      </c>
      <c r="F36" s="207">
        <v>44927</v>
      </c>
      <c r="G36" s="207">
        <v>45291</v>
      </c>
      <c r="H36" s="204">
        <f>+Industrial!E46</f>
        <v>0</v>
      </c>
      <c r="I36" s="77">
        <f>+Industrial!F46</f>
        <v>0.12</v>
      </c>
      <c r="J36" s="77">
        <f>+Industrial!G46</f>
        <v>0.12</v>
      </c>
      <c r="K36" s="77">
        <f>+Industrial!H46</f>
        <v>0</v>
      </c>
      <c r="L36" s="77">
        <f>+Industrial!I46</f>
        <v>0.12</v>
      </c>
      <c r="M36" s="25">
        <f>+Industrial!J46</f>
        <v>0</v>
      </c>
      <c r="N36" s="113" t="s">
        <v>65</v>
      </c>
      <c r="O36" s="68">
        <f>+Resumen!C$4</f>
        <v>45291</v>
      </c>
      <c r="P36" s="77">
        <v>2023</v>
      </c>
    </row>
    <row r="37" spans="1:16" s="77" customFormat="1">
      <c r="A37" s="204" t="s">
        <v>87</v>
      </c>
      <c r="B37" s="204" t="s">
        <v>87</v>
      </c>
      <c r="C37" s="204" t="s">
        <v>85</v>
      </c>
      <c r="D37" s="204" t="s">
        <v>84</v>
      </c>
      <c r="E37" s="204" t="str">
        <f>+Industrial!C47</f>
        <v>INVERSIONES PESQUERAS SpA.</v>
      </c>
      <c r="F37" s="207">
        <v>44927</v>
      </c>
      <c r="G37" s="207">
        <v>45291</v>
      </c>
      <c r="H37" s="204">
        <f>+Industrial!E47</f>
        <v>2.97</v>
      </c>
      <c r="I37" s="77">
        <f>+Industrial!F47</f>
        <v>0</v>
      </c>
      <c r="J37" s="77">
        <f>+Industrial!G47</f>
        <v>2.97</v>
      </c>
      <c r="K37" s="77">
        <f>+Industrial!H47</f>
        <v>0</v>
      </c>
      <c r="L37" s="77">
        <f>+Industrial!I47</f>
        <v>2.97</v>
      </c>
      <c r="M37" s="25">
        <f>+Industrial!J47</f>
        <v>0</v>
      </c>
      <c r="N37" s="113" t="s">
        <v>65</v>
      </c>
      <c r="O37" s="68">
        <f>+Resumen!C$4</f>
        <v>45291</v>
      </c>
      <c r="P37" s="77">
        <v>2023</v>
      </c>
    </row>
    <row r="38" spans="1:16">
      <c r="A38" s="204" t="s">
        <v>87</v>
      </c>
      <c r="B38" s="204" t="s">
        <v>87</v>
      </c>
      <c r="C38" s="204" t="s">
        <v>85</v>
      </c>
      <c r="D38" s="204" t="s">
        <v>84</v>
      </c>
      <c r="E38" s="204" t="str">
        <f>+Industrial!C48</f>
        <v>LANDES S.A. SOC.PESQ.</v>
      </c>
      <c r="F38" s="207">
        <v>44927</v>
      </c>
      <c r="G38" s="207">
        <v>45291</v>
      </c>
      <c r="H38" s="204">
        <f>+Industrial!E48</f>
        <v>1.7549999999999999</v>
      </c>
      <c r="I38" s="77">
        <f>+Industrial!F48</f>
        <v>-0.12</v>
      </c>
      <c r="J38" s="77">
        <f>+Industrial!G48</f>
        <v>1.6349999999999998</v>
      </c>
      <c r="K38" s="77">
        <f>+Industrial!H48</f>
        <v>0</v>
      </c>
      <c r="L38" s="77">
        <f>+Industrial!I48</f>
        <v>1.6349999999999998</v>
      </c>
      <c r="M38" s="25">
        <f>+Industrial!J48</f>
        <v>0</v>
      </c>
      <c r="N38" s="113" t="s">
        <v>65</v>
      </c>
      <c r="O38" s="68">
        <f>+Resumen!C$4</f>
        <v>45291</v>
      </c>
      <c r="P38" s="77">
        <v>2023</v>
      </c>
    </row>
    <row r="39" spans="1:16" s="212" customFormat="1">
      <c r="A39" s="212" t="s">
        <v>87</v>
      </c>
      <c r="B39" s="212" t="s">
        <v>87</v>
      </c>
      <c r="C39" s="212" t="s">
        <v>85</v>
      </c>
      <c r="D39" s="212" t="s">
        <v>84</v>
      </c>
      <c r="E39" s="212" t="s">
        <v>86</v>
      </c>
      <c r="F39" s="266">
        <v>44927</v>
      </c>
      <c r="G39" s="266">
        <v>45291</v>
      </c>
      <c r="H39" s="212">
        <f>+Industrial!K49</f>
        <v>1499.9930000000002</v>
      </c>
      <c r="I39" s="212">
        <f>+Industrial!L49</f>
        <v>-890</v>
      </c>
      <c r="J39" s="212">
        <f>+Industrial!M49</f>
        <v>609.99299999999994</v>
      </c>
      <c r="K39" s="212">
        <f>+Industrial!N49</f>
        <v>0</v>
      </c>
      <c r="L39" s="212">
        <f>+Industrial!O49</f>
        <v>609.99299999999994</v>
      </c>
      <c r="M39" s="264">
        <f>+Industrial!P49</f>
        <v>0</v>
      </c>
      <c r="N39" s="265" t="s">
        <v>65</v>
      </c>
      <c r="O39" s="266">
        <f>+Resumen!C$4</f>
        <v>45291</v>
      </c>
      <c r="P39" s="204">
        <v>2023</v>
      </c>
    </row>
    <row r="40" spans="1:16" ht="16.5" customHeight="1">
      <c r="A40" s="204" t="s">
        <v>82</v>
      </c>
      <c r="B40" s="204" t="s">
        <v>82</v>
      </c>
      <c r="C40" s="204" t="s">
        <v>88</v>
      </c>
      <c r="D40" s="204" t="s">
        <v>94</v>
      </c>
      <c r="E40" s="204" t="str">
        <f>+'Artesanal Anchoveta XV-IV'!D7</f>
        <v>MACROZONA XV - I</v>
      </c>
      <c r="F40" s="207">
        <v>44927</v>
      </c>
      <c r="G40" s="207">
        <v>45291</v>
      </c>
      <c r="H40" s="204">
        <f>+'Artesanal Anchoveta XV-IV'!F7</f>
        <v>80964</v>
      </c>
      <c r="I40" s="77">
        <f>+'Artesanal Anchoveta XV-IV'!G7</f>
        <v>7497</v>
      </c>
      <c r="J40" s="77">
        <f>+'Artesanal Anchoveta XV-IV'!H7</f>
        <v>88461</v>
      </c>
      <c r="K40" s="77">
        <f>+'Artesanal Anchoveta XV-IV'!I7</f>
        <v>86286.888999999996</v>
      </c>
      <c r="L40" s="77">
        <f>+'Artesanal Anchoveta XV-IV'!K7</f>
        <v>2174.1110000000044</v>
      </c>
      <c r="M40" s="25">
        <f>+'Artesanal Anchoveta XV-IV'!L7</f>
        <v>0.97542294344400349</v>
      </c>
      <c r="N40" s="113" t="s">
        <v>65</v>
      </c>
      <c r="O40" s="68">
        <f>+Resumen!C$4</f>
        <v>45291</v>
      </c>
      <c r="P40" s="77">
        <v>2023</v>
      </c>
    </row>
    <row r="41" spans="1:16" s="212" customFormat="1">
      <c r="A41" s="212" t="s">
        <v>82</v>
      </c>
      <c r="B41" s="212" t="s">
        <v>82</v>
      </c>
      <c r="C41" s="212" t="s">
        <v>88</v>
      </c>
      <c r="D41" s="212" t="s">
        <v>94</v>
      </c>
      <c r="E41" s="212" t="s">
        <v>96</v>
      </c>
      <c r="F41" s="266">
        <v>44927</v>
      </c>
      <c r="G41" s="266">
        <v>45291</v>
      </c>
      <c r="H41" s="212">
        <f>Resumen!E9</f>
        <v>80964</v>
      </c>
      <c r="I41" s="212">
        <f>Resumen!F9</f>
        <v>7497</v>
      </c>
      <c r="J41" s="212">
        <f>Resumen!G9</f>
        <v>88461</v>
      </c>
      <c r="K41" s="212">
        <f>Resumen!H9</f>
        <v>86286.888999999996</v>
      </c>
      <c r="L41" s="212">
        <f>Resumen!I9</f>
        <v>2174.1110000000044</v>
      </c>
      <c r="M41" s="264">
        <f>Resumen!J9</f>
        <v>0.97542294344400349</v>
      </c>
      <c r="N41" s="265" t="s">
        <v>65</v>
      </c>
      <c r="O41" s="266">
        <f>+Resumen!C$4</f>
        <v>45291</v>
      </c>
      <c r="P41" s="204">
        <v>2023</v>
      </c>
    </row>
    <row r="42" spans="1:16">
      <c r="A42" s="204" t="s">
        <v>82</v>
      </c>
      <c r="B42" s="204" t="s">
        <v>82</v>
      </c>
      <c r="C42" s="204" t="s">
        <v>10</v>
      </c>
      <c r="D42" s="204" t="s">
        <v>94</v>
      </c>
      <c r="E42" s="204" t="str">
        <f>+'Artesanal Anchoveta XV-IV'!D8</f>
        <v>REGIÓN II</v>
      </c>
      <c r="F42" s="207">
        <v>44927</v>
      </c>
      <c r="G42" s="207">
        <v>45291</v>
      </c>
      <c r="H42" s="204">
        <f>+'Artesanal Anchoveta XV-IV'!F8</f>
        <v>30543</v>
      </c>
      <c r="I42" s="77">
        <f>+'Artesanal Anchoveta XV-IV'!G8</f>
        <v>0</v>
      </c>
      <c r="J42" s="77">
        <f>+'Artesanal Anchoveta XV-IV'!H8</f>
        <v>30543</v>
      </c>
      <c r="K42" s="77">
        <f>+'Artesanal Anchoveta XV-IV'!I8</f>
        <v>14063.802</v>
      </c>
      <c r="L42" s="77">
        <f>+'Artesanal Anchoveta XV-IV'!K8</f>
        <v>16479.198</v>
      </c>
      <c r="M42" s="25">
        <f>+'Artesanal Anchoveta XV-IV'!L8</f>
        <v>0.46045909046262645</v>
      </c>
      <c r="N42" s="113" t="str">
        <f>'Artesanal Anchoveta XV-IV'!M8</f>
        <v>-</v>
      </c>
      <c r="O42" s="68">
        <f>+Resumen!C$4</f>
        <v>45291</v>
      </c>
      <c r="P42" s="77">
        <v>2023</v>
      </c>
    </row>
    <row r="43" spans="1:16" s="212" customFormat="1">
      <c r="A43" s="212" t="s">
        <v>82</v>
      </c>
      <c r="B43" s="212" t="s">
        <v>82</v>
      </c>
      <c r="C43" s="212" t="s">
        <v>10</v>
      </c>
      <c r="D43" s="212" t="s">
        <v>94</v>
      </c>
      <c r="E43" s="212" t="s">
        <v>97</v>
      </c>
      <c r="F43" s="266">
        <v>44927</v>
      </c>
      <c r="G43" s="266">
        <v>45291</v>
      </c>
      <c r="H43" s="212">
        <f>+'Artesanal Anchoveta XV-IV'!N8</f>
        <v>30543</v>
      </c>
      <c r="I43" s="212">
        <f>+'Artesanal Anchoveta XV-IV'!O8</f>
        <v>0</v>
      </c>
      <c r="J43" s="212">
        <f>+'Artesanal Anchoveta XV-IV'!P8</f>
        <v>30543</v>
      </c>
      <c r="K43" s="212">
        <f>+'Artesanal Anchoveta XV-IV'!Q8</f>
        <v>14063.802</v>
      </c>
      <c r="L43" s="212">
        <f>+'Artesanal Anchoveta XV-IV'!R8</f>
        <v>16479.198</v>
      </c>
      <c r="M43" s="264">
        <f>+'Artesanal Anchoveta XV-IV'!S8</f>
        <v>0.46045909046262645</v>
      </c>
      <c r="N43" s="265" t="s">
        <v>65</v>
      </c>
      <c r="O43" s="266">
        <f>+Resumen!C$4</f>
        <v>45291</v>
      </c>
      <c r="P43" s="204">
        <v>2023</v>
      </c>
    </row>
    <row r="44" spans="1:16" s="212" customFormat="1">
      <c r="A44" s="212" t="s">
        <v>82</v>
      </c>
      <c r="B44" s="212" t="s">
        <v>82</v>
      </c>
      <c r="C44" s="212" t="s">
        <v>15</v>
      </c>
      <c r="D44" s="212" t="s">
        <v>94</v>
      </c>
      <c r="E44" s="212" t="s">
        <v>162</v>
      </c>
      <c r="F44" s="266">
        <v>44927</v>
      </c>
      <c r="G44" s="266">
        <v>45291</v>
      </c>
      <c r="H44" s="212">
        <f>+'Artesanal Anchoveta XV-IV'!F9</f>
        <v>1000</v>
      </c>
      <c r="I44" s="212">
        <f>+'Artesanal Anchoveta XV-IV'!G9</f>
        <v>0</v>
      </c>
      <c r="J44" s="212">
        <f>+'Artesanal Anchoveta XV-IV'!H9</f>
        <v>1000</v>
      </c>
      <c r="K44" s="212">
        <f>+'Artesanal Anchoveta XV-IV'!I9</f>
        <v>0</v>
      </c>
      <c r="L44" s="212">
        <f>+'Artesanal Anchoveta XV-IV'!K9</f>
        <v>1000</v>
      </c>
      <c r="M44" s="264">
        <f>+'Artesanal Anchoveta XV-IV'!L9</f>
        <v>0</v>
      </c>
      <c r="N44" s="265" t="str">
        <f>'Artesanal Anchoveta XV-IV'!M9</f>
        <v>-</v>
      </c>
      <c r="O44" s="266">
        <f>+Resumen!C$4</f>
        <v>45291</v>
      </c>
      <c r="P44" s="204">
        <v>2023</v>
      </c>
    </row>
    <row r="45" spans="1:16">
      <c r="A45" s="204" t="s">
        <v>82</v>
      </c>
      <c r="B45" s="204" t="s">
        <v>82</v>
      </c>
      <c r="C45" s="204" t="s">
        <v>11</v>
      </c>
      <c r="D45" s="204" t="s">
        <v>94</v>
      </c>
      <c r="E45" s="204" t="str">
        <f>+'Artesanal Anchoveta XV-IV'!D10</f>
        <v>REGIÓN III</v>
      </c>
      <c r="F45" s="207">
        <v>44927</v>
      </c>
      <c r="G45" s="207">
        <v>45291</v>
      </c>
      <c r="H45" s="204">
        <f>+'Artesanal Anchoveta XV-IV'!F10</f>
        <v>21789</v>
      </c>
      <c r="I45" s="77">
        <f>+'Artesanal Anchoveta XV-IV'!G10</f>
        <v>0</v>
      </c>
      <c r="J45" s="77">
        <f>+'Artesanal Anchoveta XV-IV'!H10</f>
        <v>21789</v>
      </c>
      <c r="K45" s="77">
        <f>+'Artesanal Anchoveta XV-IV'!I10</f>
        <v>211.71</v>
      </c>
      <c r="L45" s="77">
        <f>+'Artesanal Anchoveta XV-IV'!K10</f>
        <v>21577.29</v>
      </c>
      <c r="M45" s="25">
        <f>+'Artesanal Anchoveta XV-IV'!L10</f>
        <v>9.7163706457386763E-3</v>
      </c>
      <c r="N45" s="113" t="s">
        <v>65</v>
      </c>
      <c r="O45" s="68">
        <f>+Resumen!C$4</f>
        <v>45291</v>
      </c>
      <c r="P45" s="77">
        <v>2023</v>
      </c>
    </row>
    <row r="46" spans="1:16" s="212" customFormat="1">
      <c r="A46" s="212" t="s">
        <v>82</v>
      </c>
      <c r="B46" s="212" t="s">
        <v>82</v>
      </c>
      <c r="C46" s="212" t="s">
        <v>11</v>
      </c>
      <c r="D46" s="212" t="s">
        <v>94</v>
      </c>
      <c r="E46" s="212" t="s">
        <v>97</v>
      </c>
      <c r="F46" s="266">
        <v>44927</v>
      </c>
      <c r="G46" s="266">
        <v>45291</v>
      </c>
      <c r="H46" s="212">
        <f>+'Artesanal Anchoveta XV-IV'!N10</f>
        <v>21789</v>
      </c>
      <c r="I46" s="212">
        <f>+'Artesanal Anchoveta XV-IV'!O10</f>
        <v>0</v>
      </c>
      <c r="J46" s="212">
        <f>+'Artesanal Anchoveta XV-IV'!P10</f>
        <v>21789</v>
      </c>
      <c r="K46" s="212">
        <f>+'Artesanal Anchoveta XV-IV'!Q10</f>
        <v>211.71</v>
      </c>
      <c r="L46" s="212">
        <f>+'Artesanal Anchoveta XV-IV'!R10</f>
        <v>21577.29</v>
      </c>
      <c r="M46" s="264">
        <f>+'Artesanal Anchoveta XV-IV'!S10</f>
        <v>9.7163706457386763E-3</v>
      </c>
      <c r="N46" s="265" t="s">
        <v>65</v>
      </c>
      <c r="O46" s="266">
        <f>+Resumen!C$4</f>
        <v>45291</v>
      </c>
      <c r="P46" s="204">
        <v>2023</v>
      </c>
    </row>
    <row r="47" spans="1:16">
      <c r="A47" s="204" t="s">
        <v>82</v>
      </c>
      <c r="B47" s="204" t="s">
        <v>82</v>
      </c>
      <c r="C47" s="204" t="s">
        <v>12</v>
      </c>
      <c r="D47" s="204" t="s">
        <v>95</v>
      </c>
      <c r="E47" s="204" t="str">
        <f>+'Artesanal Anchoveta XV-IV'!D11</f>
        <v>AG de Coquimbo RAG 55-4</v>
      </c>
      <c r="F47" s="207">
        <v>44927</v>
      </c>
      <c r="G47" s="207">
        <v>45291</v>
      </c>
      <c r="H47" s="204">
        <f>+'Artesanal Anchoveta XV-IV'!F11</f>
        <v>209.68799999999999</v>
      </c>
      <c r="I47" s="77">
        <f>+'Artesanal Anchoveta XV-IV'!G11</f>
        <v>0</v>
      </c>
      <c r="J47" s="77">
        <f>+'Artesanal Anchoveta XV-IV'!H11</f>
        <v>209.68799999999999</v>
      </c>
      <c r="K47" s="77">
        <f>+'Artesanal Anchoveta XV-IV'!I11</f>
        <v>208.03700000000001</v>
      </c>
      <c r="L47" s="77">
        <f>+'Artesanal Anchoveta XV-IV'!K11</f>
        <v>1.650999999999982</v>
      </c>
      <c r="M47" s="25">
        <f>+'Artesanal Anchoveta XV-IV'!L11</f>
        <v>0.9921263973141049</v>
      </c>
      <c r="N47" s="113" t="s">
        <v>65</v>
      </c>
      <c r="O47" s="68">
        <f>+Resumen!C$4</f>
        <v>45291</v>
      </c>
      <c r="P47" s="77">
        <v>2023</v>
      </c>
    </row>
    <row r="48" spans="1:16" s="77" customFormat="1">
      <c r="A48" s="204" t="s">
        <v>82</v>
      </c>
      <c r="B48" s="204" t="s">
        <v>82</v>
      </c>
      <c r="C48" s="204" t="s">
        <v>12</v>
      </c>
      <c r="D48" s="204" t="s">
        <v>95</v>
      </c>
      <c r="E48" s="204" t="str">
        <f>+'Artesanal Anchoveta XV-IV'!D12</f>
        <v>CERCOPESCA Rol 4276</v>
      </c>
      <c r="F48" s="207">
        <v>44927</v>
      </c>
      <c r="G48" s="207">
        <v>45291</v>
      </c>
      <c r="H48" s="204">
        <f>+'Artesanal Anchoveta XV-IV'!F12</f>
        <v>8252.0619999999999</v>
      </c>
      <c r="I48" s="77">
        <f>+'Artesanal Anchoveta XV-IV'!G12</f>
        <v>0</v>
      </c>
      <c r="J48" s="77">
        <f>+'Artesanal Anchoveta XV-IV'!H12</f>
        <v>8252.0619999999999</v>
      </c>
      <c r="K48" s="77">
        <f>+'Artesanal Anchoveta XV-IV'!I12</f>
        <v>2950.7139999999999</v>
      </c>
      <c r="L48" s="77">
        <f>+'Artesanal Anchoveta XV-IV'!K12</f>
        <v>5301.348</v>
      </c>
      <c r="M48" s="25">
        <f>+'Artesanal Anchoveta XV-IV'!L12</f>
        <v>0.35757293146852265</v>
      </c>
      <c r="N48" s="113" t="s">
        <v>65</v>
      </c>
      <c r="O48" s="68">
        <f>+Resumen!C$4</f>
        <v>45291</v>
      </c>
      <c r="P48" s="77">
        <v>2023</v>
      </c>
    </row>
    <row r="49" spans="1:16" s="77" customFormat="1">
      <c r="A49" s="204" t="s">
        <v>82</v>
      </c>
      <c r="B49" s="204" t="s">
        <v>82</v>
      </c>
      <c r="C49" s="204" t="s">
        <v>12</v>
      </c>
      <c r="D49" s="204" t="s">
        <v>95</v>
      </c>
      <c r="E49" s="204" t="str">
        <f>'Artesanal Anchoveta XV-IV'!D13</f>
        <v>CUOTA RESIDUAL</v>
      </c>
      <c r="F49" s="207">
        <v>44927</v>
      </c>
      <c r="G49" s="207">
        <v>45291</v>
      </c>
      <c r="H49" s="204">
        <f>'Artesanal Anchoveta XV-IV'!F13</f>
        <v>876.25</v>
      </c>
      <c r="I49" s="77">
        <f>'Artesanal Anchoveta XV-IV'!G13</f>
        <v>0</v>
      </c>
      <c r="J49" s="77">
        <f>+'Artesanal Anchoveta XV-IV'!H13</f>
        <v>876.25</v>
      </c>
      <c r="K49" s="77">
        <f>+'Artesanal Anchoveta XV-IV'!I13</f>
        <v>867.72299999999996</v>
      </c>
      <c r="L49" s="77">
        <f>+'Artesanal Anchoveta XV-IV'!K13</f>
        <v>8.0790000000000646</v>
      </c>
      <c r="M49" s="25">
        <f>+'Artesanal Anchoveta XV-IV'!L13</f>
        <v>0.99026875891583444</v>
      </c>
      <c r="N49" s="113" t="s">
        <v>65</v>
      </c>
      <c r="O49" s="68">
        <f>+Resumen!C$4</f>
        <v>45291</v>
      </c>
      <c r="P49" s="77">
        <v>2023</v>
      </c>
    </row>
    <row r="50" spans="1:16" s="204" customFormat="1">
      <c r="A50" s="204" t="s">
        <v>82</v>
      </c>
      <c r="B50" s="204" t="s">
        <v>82</v>
      </c>
      <c r="C50" s="204" t="s">
        <v>12</v>
      </c>
      <c r="D50" s="204" t="s">
        <v>95</v>
      </c>
      <c r="E50" s="204" t="s">
        <v>163</v>
      </c>
      <c r="F50" s="207">
        <v>44927</v>
      </c>
      <c r="G50" s="207">
        <v>45291</v>
      </c>
      <c r="H50" s="204">
        <f>'Artesanal Anchoveta XV-IV'!F14</f>
        <v>500</v>
      </c>
      <c r="I50" s="204">
        <f>'Artesanal Anchoveta XV-IV'!G14</f>
        <v>0</v>
      </c>
      <c r="J50" s="204">
        <f>+'Artesanal Anchoveta XV-IV'!H14</f>
        <v>500</v>
      </c>
      <c r="K50" s="204">
        <f>+'Artesanal Anchoveta XV-IV'!I14</f>
        <v>0</v>
      </c>
      <c r="L50" s="204">
        <f>+'Artesanal Anchoveta XV-IV'!K14</f>
        <v>500</v>
      </c>
      <c r="M50" s="205">
        <f>+'Artesanal Anchoveta XV-IV'!L14</f>
        <v>0</v>
      </c>
      <c r="N50" s="206" t="s">
        <v>65</v>
      </c>
      <c r="O50" s="207">
        <f>+Resumen!C$4</f>
        <v>45291</v>
      </c>
      <c r="P50" s="204">
        <v>2023</v>
      </c>
    </row>
    <row r="51" spans="1:16" s="212" customFormat="1">
      <c r="A51" s="212" t="s">
        <v>82</v>
      </c>
      <c r="B51" s="212" t="s">
        <v>82</v>
      </c>
      <c r="C51" s="212" t="s">
        <v>12</v>
      </c>
      <c r="D51" s="212" t="s">
        <v>95</v>
      </c>
      <c r="E51" s="212" t="s">
        <v>97</v>
      </c>
      <c r="F51" s="266">
        <v>44927</v>
      </c>
      <c r="G51" s="266">
        <v>45291</v>
      </c>
      <c r="H51" s="212">
        <f>+Resumen!E15</f>
        <v>9338</v>
      </c>
      <c r="I51" s="212">
        <f>+Resumen!F15</f>
        <v>0</v>
      </c>
      <c r="J51" s="212">
        <f>+Resumen!G15</f>
        <v>9338</v>
      </c>
      <c r="K51" s="212">
        <f>+Resumen!H15</f>
        <v>4026.4739999999997</v>
      </c>
      <c r="L51" s="212">
        <f>+Resumen!I15</f>
        <v>5311.5259999999998</v>
      </c>
      <c r="M51" s="264">
        <f>+Resumen!J15</f>
        <v>0.43119233240522592</v>
      </c>
      <c r="N51" s="265" t="s">
        <v>65</v>
      </c>
      <c r="O51" s="266">
        <f>+Resumen!C$4</f>
        <v>45291</v>
      </c>
      <c r="P51" s="204">
        <v>2023</v>
      </c>
    </row>
    <row r="52" spans="1:16">
      <c r="A52" s="204" t="s">
        <v>87</v>
      </c>
      <c r="B52" s="204" t="s">
        <v>87</v>
      </c>
      <c r="C52" s="204" t="s">
        <v>88</v>
      </c>
      <c r="D52" s="204" t="s">
        <v>89</v>
      </c>
      <c r="E52" s="204" t="str">
        <f>+'Artesanal S.española XV-IV'!D7</f>
        <v>MACROZONA XV - I</v>
      </c>
      <c r="F52" s="207">
        <v>44927</v>
      </c>
      <c r="G52" s="207">
        <v>45291</v>
      </c>
      <c r="H52" s="204">
        <f>+'Artesanal S.española XV-IV'!F7</f>
        <v>675</v>
      </c>
      <c r="I52" s="77">
        <f>+'Artesanal S.española XV-IV'!G7</f>
        <v>0</v>
      </c>
      <c r="J52" s="77">
        <f>+'Artesanal S.española XV-IV'!H7</f>
        <v>675</v>
      </c>
      <c r="K52" s="77">
        <f>+'Artesanal S.española XV-IV'!I7</f>
        <v>86.320999999999998</v>
      </c>
      <c r="L52" s="77">
        <f>+'Artesanal S.española XV-IV'!J7</f>
        <v>588.67899999999997</v>
      </c>
      <c r="M52" s="25">
        <f>+'Artesanal S.española XV-IV'!K7</f>
        <v>0.12788296296296295</v>
      </c>
      <c r="N52" s="113" t="s">
        <v>65</v>
      </c>
      <c r="O52" s="68">
        <f>+Resumen!C$4</f>
        <v>45291</v>
      </c>
      <c r="P52" s="77">
        <v>2023</v>
      </c>
    </row>
    <row r="53" spans="1:16" s="212" customFormat="1">
      <c r="A53" s="212" t="s">
        <v>87</v>
      </c>
      <c r="B53" s="212" t="s">
        <v>87</v>
      </c>
      <c r="C53" s="212" t="s">
        <v>88</v>
      </c>
      <c r="D53" s="212" t="s">
        <v>89</v>
      </c>
      <c r="E53" s="212" t="s">
        <v>96</v>
      </c>
      <c r="F53" s="266">
        <v>44927</v>
      </c>
      <c r="G53" s="266">
        <v>45291</v>
      </c>
      <c r="H53" s="212">
        <f>+'Artesanal S.española XV-IV'!M7</f>
        <v>675</v>
      </c>
      <c r="I53" s="212">
        <f>+'Artesanal S.española XV-IV'!N7</f>
        <v>0</v>
      </c>
      <c r="J53" s="212">
        <f>+'Artesanal S.española XV-IV'!O7</f>
        <v>675</v>
      </c>
      <c r="K53" s="212">
        <f>+'Artesanal S.española XV-IV'!P7</f>
        <v>86.320999999999998</v>
      </c>
      <c r="L53" s="212">
        <f>+'Artesanal S.española XV-IV'!Q7</f>
        <v>588.67899999999997</v>
      </c>
      <c r="M53" s="264">
        <f>+'Artesanal S.española XV-IV'!R7</f>
        <v>0.12788296296296295</v>
      </c>
      <c r="N53" s="265" t="s">
        <v>65</v>
      </c>
      <c r="O53" s="266">
        <f>+Resumen!C$4</f>
        <v>45291</v>
      </c>
      <c r="P53" s="204">
        <v>2023</v>
      </c>
    </row>
    <row r="54" spans="1:16" s="204" customFormat="1">
      <c r="A54" s="204" t="s">
        <v>87</v>
      </c>
      <c r="B54" s="204" t="s">
        <v>87</v>
      </c>
      <c r="C54" s="204" t="s">
        <v>10</v>
      </c>
      <c r="D54" s="204" t="s">
        <v>94</v>
      </c>
      <c r="E54" s="204" t="str">
        <f>+'Artesanal S.española XV-IV'!D8</f>
        <v>REGIÓN II</v>
      </c>
      <c r="F54" s="207">
        <v>44927</v>
      </c>
      <c r="G54" s="207">
        <v>45291</v>
      </c>
      <c r="H54" s="204">
        <f>+'Artesanal S.española XV-IV'!F8</f>
        <v>2385</v>
      </c>
      <c r="I54" s="204">
        <f>+'Artesanal S.española XV-IV'!G8</f>
        <v>0</v>
      </c>
      <c r="J54" s="204">
        <f>+'Artesanal S.española XV-IV'!H8</f>
        <v>2385</v>
      </c>
      <c r="K54" s="204">
        <f>+'Artesanal S.española XV-IV'!I8</f>
        <v>2475.6959999999999</v>
      </c>
      <c r="L54" s="204">
        <f>+'Artesanal S.española XV-IV'!J8</f>
        <v>-90.695999999999913</v>
      </c>
      <c r="M54" s="205">
        <f>+'Artesanal S.española XV-IV'!K8</f>
        <v>1.0380276729559748</v>
      </c>
      <c r="N54" s="206">
        <f>'Artesanal S.española XV-IV'!L8</f>
        <v>45015</v>
      </c>
      <c r="O54" s="207">
        <f>+Resumen!C$4</f>
        <v>45291</v>
      </c>
      <c r="P54" s="77">
        <v>2023</v>
      </c>
    </row>
    <row r="55" spans="1:16" s="212" customFormat="1">
      <c r="A55" s="212" t="s">
        <v>87</v>
      </c>
      <c r="B55" s="212" t="s">
        <v>87</v>
      </c>
      <c r="C55" s="212" t="s">
        <v>10</v>
      </c>
      <c r="D55" s="212" t="s">
        <v>94</v>
      </c>
      <c r="E55" s="212" t="s">
        <v>96</v>
      </c>
      <c r="F55" s="266">
        <v>44927</v>
      </c>
      <c r="G55" s="266">
        <v>45291</v>
      </c>
      <c r="H55" s="212">
        <f>+'Artesanal S.española XV-IV'!M8</f>
        <v>2385</v>
      </c>
      <c r="I55" s="212">
        <f>+'Artesanal S.española XV-IV'!N8</f>
        <v>0</v>
      </c>
      <c r="J55" s="212">
        <f>+'Artesanal S.española XV-IV'!O8</f>
        <v>2385</v>
      </c>
      <c r="K55" s="212">
        <f>+'Artesanal S.española XV-IV'!P8</f>
        <v>2475.6959999999999</v>
      </c>
      <c r="L55" s="212">
        <f>+'Artesanal S.española XV-IV'!Q8</f>
        <v>-90.695999999999913</v>
      </c>
      <c r="M55" s="264">
        <f>+'Artesanal S.española XV-IV'!R8</f>
        <v>1.0380276729559748</v>
      </c>
      <c r="N55" s="265" t="s">
        <v>65</v>
      </c>
      <c r="O55" s="266">
        <f>+Resumen!C$4</f>
        <v>45291</v>
      </c>
      <c r="P55" s="204">
        <v>2023</v>
      </c>
    </row>
    <row r="56" spans="1:16" s="212" customFormat="1">
      <c r="A56" s="212" t="s">
        <v>87</v>
      </c>
      <c r="B56" s="212" t="s">
        <v>87</v>
      </c>
      <c r="C56" s="212" t="s">
        <v>15</v>
      </c>
      <c r="D56" s="212" t="s">
        <v>94</v>
      </c>
      <c r="E56" s="212" t="s">
        <v>162</v>
      </c>
      <c r="F56" s="207">
        <v>44927</v>
      </c>
      <c r="G56" s="207">
        <v>45291</v>
      </c>
      <c r="H56" s="204">
        <f>+'Artesanal S.española XV-IV'!F9</f>
        <v>455</v>
      </c>
      <c r="I56" s="204">
        <f>+'Artesanal S.española XV-IV'!G9</f>
        <v>0</v>
      </c>
      <c r="J56" s="204">
        <f>+'Artesanal S.española XV-IV'!H9</f>
        <v>455</v>
      </c>
      <c r="K56" s="204">
        <f>+'Artesanal S.española XV-IV'!I9</f>
        <v>0</v>
      </c>
      <c r="L56" s="204">
        <f>+'Artesanal S.española XV-IV'!J9</f>
        <v>455</v>
      </c>
      <c r="M56" s="205">
        <f>+'Artesanal S.española XV-IV'!K9</f>
        <v>0</v>
      </c>
      <c r="N56" s="206" t="s">
        <v>65</v>
      </c>
      <c r="O56" s="207">
        <f>+Resumen!C$4</f>
        <v>45291</v>
      </c>
      <c r="P56" s="204">
        <v>2023</v>
      </c>
    </row>
    <row r="57" spans="1:16" s="204" customFormat="1">
      <c r="A57" s="204" t="s">
        <v>87</v>
      </c>
      <c r="B57" s="204" t="s">
        <v>87</v>
      </c>
      <c r="C57" s="204" t="s">
        <v>11</v>
      </c>
      <c r="D57" s="204" t="s">
        <v>94</v>
      </c>
      <c r="E57" s="204" t="str">
        <f>+'Artesanal S.española XV-IV'!D10</f>
        <v>REGIÓN III</v>
      </c>
      <c r="F57" s="207">
        <v>44927</v>
      </c>
      <c r="G57" s="207">
        <v>45291</v>
      </c>
      <c r="H57" s="204">
        <f>+'Artesanal S.española XV-IV'!F10</f>
        <v>650</v>
      </c>
      <c r="I57" s="204">
        <f>+'Artesanal S.española XV-IV'!G10</f>
        <v>0</v>
      </c>
      <c r="J57" s="204">
        <f>+'Artesanal S.española XV-IV'!H10</f>
        <v>650</v>
      </c>
      <c r="K57" s="204">
        <f>+'Artesanal S.española XV-IV'!I10</f>
        <v>630.36300000000006</v>
      </c>
      <c r="L57" s="204">
        <f>+'Artesanal S.española XV-IV'!J10</f>
        <v>19.636999999999944</v>
      </c>
      <c r="M57" s="205">
        <f>+'Artesanal S.española XV-IV'!K9</f>
        <v>0</v>
      </c>
      <c r="N57" s="206" t="s">
        <v>65</v>
      </c>
      <c r="O57" s="207">
        <f>+Resumen!C$4</f>
        <v>45291</v>
      </c>
      <c r="P57" s="77">
        <v>2023</v>
      </c>
    </row>
    <row r="58" spans="1:16" s="212" customFormat="1">
      <c r="A58" s="212" t="s">
        <v>87</v>
      </c>
      <c r="B58" s="212" t="s">
        <v>87</v>
      </c>
      <c r="C58" s="212" t="s">
        <v>11</v>
      </c>
      <c r="D58" s="212" t="s">
        <v>94</v>
      </c>
      <c r="E58" s="212" t="s">
        <v>96</v>
      </c>
      <c r="F58" s="266">
        <v>44927</v>
      </c>
      <c r="G58" s="266">
        <v>45291</v>
      </c>
      <c r="H58" s="212">
        <f>+'Artesanal S.española XV-IV'!M10</f>
        <v>650</v>
      </c>
      <c r="I58" s="212">
        <f>+'Artesanal S.española XV-IV'!N10</f>
        <v>0</v>
      </c>
      <c r="J58" s="212">
        <f>+'Artesanal S.española XV-IV'!O10</f>
        <v>650</v>
      </c>
      <c r="K58" s="212">
        <f>+'Artesanal S.española XV-IV'!P10</f>
        <v>630.36300000000006</v>
      </c>
      <c r="L58" s="212">
        <f>+'Artesanal S.española XV-IV'!Q10</f>
        <v>19.636999999999944</v>
      </c>
      <c r="M58" s="264">
        <f>+'Artesanal S.española XV-IV'!R9</f>
        <v>0</v>
      </c>
      <c r="N58" s="265" t="s">
        <v>65</v>
      </c>
      <c r="O58" s="266">
        <f>+Resumen!C$4</f>
        <v>45291</v>
      </c>
      <c r="P58" s="204">
        <v>2023</v>
      </c>
    </row>
    <row r="59" spans="1:16" s="204" customFormat="1">
      <c r="A59" s="204" t="s">
        <v>87</v>
      </c>
      <c r="B59" s="204" t="s">
        <v>87</v>
      </c>
      <c r="C59" s="204" t="s">
        <v>12</v>
      </c>
      <c r="D59" s="204" t="s">
        <v>94</v>
      </c>
      <c r="E59" s="204" t="str">
        <f>+'Artesanal S.española XV-IV'!D11</f>
        <v>REGIÓN IV</v>
      </c>
      <c r="F59" s="207">
        <v>44927</v>
      </c>
      <c r="G59" s="207">
        <v>45291</v>
      </c>
      <c r="H59" s="204">
        <f>+'Artesanal S.española XV-IV'!F11</f>
        <v>650</v>
      </c>
      <c r="I59" s="204">
        <f>+'Artesanal S.española XV-IV'!G11</f>
        <v>0</v>
      </c>
      <c r="J59" s="204">
        <f>+'Artesanal S.española XV-IV'!H11</f>
        <v>650</v>
      </c>
      <c r="K59" s="204">
        <f>+'Artesanal S.española XV-IV'!I11</f>
        <v>320.404</v>
      </c>
      <c r="L59" s="204">
        <f>+'Artesanal S.española XV-IV'!J11</f>
        <v>329.596</v>
      </c>
      <c r="M59" s="205">
        <f>+'Artesanal S.española XV-IV'!K11</f>
        <v>0.49292923076923079</v>
      </c>
      <c r="N59" s="206" t="s">
        <v>65</v>
      </c>
      <c r="O59" s="207">
        <f>+Resumen!C$4</f>
        <v>45291</v>
      </c>
      <c r="P59" s="77">
        <v>2023</v>
      </c>
    </row>
    <row r="60" spans="1:16" s="204" customFormat="1">
      <c r="A60" s="204" t="s">
        <v>87</v>
      </c>
      <c r="B60" s="204" t="s">
        <v>87</v>
      </c>
      <c r="C60" s="204" t="s">
        <v>12</v>
      </c>
      <c r="D60" s="204" t="s">
        <v>94</v>
      </c>
      <c r="E60" s="204" t="s">
        <v>163</v>
      </c>
      <c r="F60" s="207">
        <v>44927</v>
      </c>
      <c r="G60" s="207">
        <v>45291</v>
      </c>
      <c r="H60" s="204">
        <f>+'Artesanal S.española XV-IV'!F12</f>
        <v>200</v>
      </c>
      <c r="I60" s="204">
        <f>+'Artesanal S.española XV-IV'!G12</f>
        <v>0</v>
      </c>
      <c r="J60" s="204">
        <f>+'Artesanal S.española XV-IV'!H12</f>
        <v>200</v>
      </c>
      <c r="K60" s="204">
        <f>+'Artesanal S.española XV-IV'!I12</f>
        <v>40.116</v>
      </c>
      <c r="L60" s="204">
        <f>+'Artesanal S.española XV-IV'!J12</f>
        <v>159.88400000000001</v>
      </c>
      <c r="M60" s="205">
        <f>+'Artesanal S.española XV-IV'!K12</f>
        <v>0.20058000000000001</v>
      </c>
      <c r="N60" s="206" t="s">
        <v>65</v>
      </c>
      <c r="O60" s="207">
        <f>+Resumen!C$4</f>
        <v>45291</v>
      </c>
      <c r="P60" s="204">
        <v>2023</v>
      </c>
    </row>
    <row r="61" spans="1:16" s="212" customFormat="1">
      <c r="A61" s="212" t="s">
        <v>87</v>
      </c>
      <c r="B61" s="212" t="s">
        <v>87</v>
      </c>
      <c r="C61" s="212" t="s">
        <v>12</v>
      </c>
      <c r="D61" s="212" t="s">
        <v>94</v>
      </c>
      <c r="E61" s="212" t="s">
        <v>96</v>
      </c>
      <c r="F61" s="266">
        <v>44927</v>
      </c>
      <c r="G61" s="266">
        <v>45291</v>
      </c>
      <c r="H61" s="212">
        <f>+'Artesanal S.española XV-IV'!M11</f>
        <v>650</v>
      </c>
      <c r="I61" s="212">
        <f>+'Artesanal S.española XV-IV'!N11</f>
        <v>0</v>
      </c>
      <c r="J61" s="212">
        <f>+'Artesanal S.española XV-IV'!O11</f>
        <v>650</v>
      </c>
      <c r="K61" s="212">
        <f>+'Artesanal S.española XV-IV'!P11</f>
        <v>320.404</v>
      </c>
      <c r="L61" s="212">
        <f>+'Artesanal S.española XV-IV'!Q11</f>
        <v>329.596</v>
      </c>
      <c r="M61" s="264">
        <f>+'Artesanal S.española XV-IV'!R11</f>
        <v>0.49292923076923079</v>
      </c>
      <c r="N61" s="265" t="s">
        <v>65</v>
      </c>
      <c r="O61" s="266">
        <f>+Resumen!C$4</f>
        <v>45291</v>
      </c>
      <c r="P61" s="204">
        <v>2023</v>
      </c>
    </row>
    <row r="62" spans="1:16">
      <c r="A62" s="71"/>
      <c r="B62" s="71"/>
    </row>
    <row r="63" spans="1:16">
      <c r="A63" s="71"/>
      <c r="B63" s="71"/>
    </row>
    <row r="64" spans="1:16">
      <c r="A64" s="71"/>
      <c r="B64" s="71"/>
    </row>
  </sheetData>
  <autoFilter ref="A1:Q61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U22"/>
  <sheetViews>
    <sheetView zoomScale="98" zoomScaleNormal="98" workbookViewId="0">
      <selection activeCell="R13" sqref="R13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  <col min="10" max="10" width="11.42578125" style="77"/>
  </cols>
  <sheetData>
    <row r="2" spans="2:21">
      <c r="B2" s="331" t="s">
        <v>166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2:21" s="21" customFormat="1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</row>
    <row r="4" spans="2:21">
      <c r="B4" s="322">
        <f>+Resumen!C4</f>
        <v>45291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2:21">
      <c r="N5" s="334" t="s">
        <v>64</v>
      </c>
      <c r="O5" s="334"/>
      <c r="P5" s="334"/>
      <c r="Q5" s="334"/>
      <c r="R5" s="334"/>
      <c r="S5" s="334"/>
    </row>
    <row r="6" spans="2:21" ht="30">
      <c r="B6" s="11" t="s">
        <v>17</v>
      </c>
      <c r="C6" s="101" t="s">
        <v>122</v>
      </c>
      <c r="D6" s="12" t="s">
        <v>26</v>
      </c>
      <c r="E6" s="12" t="s">
        <v>20</v>
      </c>
      <c r="F6" s="11" t="s">
        <v>30</v>
      </c>
      <c r="G6" s="12" t="s">
        <v>4</v>
      </c>
      <c r="H6" s="11" t="s">
        <v>31</v>
      </c>
      <c r="I6" s="108" t="s">
        <v>125</v>
      </c>
      <c r="J6" s="177" t="s">
        <v>141</v>
      </c>
      <c r="K6" s="108" t="s">
        <v>124</v>
      </c>
      <c r="L6" s="12" t="s">
        <v>32</v>
      </c>
      <c r="M6" s="12" t="s">
        <v>33</v>
      </c>
      <c r="N6" s="18" t="s">
        <v>30</v>
      </c>
      <c r="O6" s="19" t="s">
        <v>4</v>
      </c>
      <c r="P6" s="19" t="s">
        <v>31</v>
      </c>
      <c r="Q6" s="19" t="s">
        <v>6</v>
      </c>
      <c r="R6" s="19" t="s">
        <v>7</v>
      </c>
      <c r="S6" s="19" t="s">
        <v>32</v>
      </c>
    </row>
    <row r="7" spans="2:21" ht="30">
      <c r="B7" s="335" t="s">
        <v>18</v>
      </c>
      <c r="C7" s="181" t="s">
        <v>23</v>
      </c>
      <c r="D7" s="182" t="s">
        <v>90</v>
      </c>
      <c r="E7" s="15" t="s">
        <v>50</v>
      </c>
      <c r="F7" s="95">
        <v>80964</v>
      </c>
      <c r="G7" s="90">
        <f>7497</f>
        <v>7497</v>
      </c>
      <c r="H7" s="90">
        <f t="shared" ref="H7:H14" si="0">+F7+G7</f>
        <v>88461</v>
      </c>
      <c r="I7" s="96">
        <v>86286.888999999996</v>
      </c>
      <c r="J7" s="96"/>
      <c r="K7" s="90">
        <f t="shared" ref="K7:K14" si="1">+H7-I7</f>
        <v>2174.1110000000044</v>
      </c>
      <c r="L7" s="129">
        <f t="shared" ref="L7:L14" si="2">+I7/H7</f>
        <v>0.97542294344400349</v>
      </c>
      <c r="M7" s="173">
        <v>45271</v>
      </c>
      <c r="N7" s="184">
        <f t="shared" ref="N7:O11" si="3">+F7</f>
        <v>80964</v>
      </c>
      <c r="O7" s="184">
        <f t="shared" si="3"/>
        <v>7497</v>
      </c>
      <c r="P7" s="184">
        <f>+N7+O7</f>
        <v>88461</v>
      </c>
      <c r="Q7" s="184">
        <f t="shared" ref="Q7:Q14" si="4">+I7</f>
        <v>86286.888999999996</v>
      </c>
      <c r="R7" s="184">
        <f t="shared" ref="R7:R14" si="5">+P7-Q7</f>
        <v>2174.1110000000044</v>
      </c>
      <c r="S7" s="185">
        <f t="shared" ref="S7:S14" si="6">+Q7/P7</f>
        <v>0.97542294344400349</v>
      </c>
    </row>
    <row r="8" spans="2:21">
      <c r="B8" s="336"/>
      <c r="C8" s="228" t="s">
        <v>24</v>
      </c>
      <c r="D8" s="229" t="s">
        <v>91</v>
      </c>
      <c r="E8" s="15" t="s">
        <v>50</v>
      </c>
      <c r="F8" s="95">
        <v>30543</v>
      </c>
      <c r="G8" s="90"/>
      <c r="H8" s="90">
        <f t="shared" si="0"/>
        <v>30543</v>
      </c>
      <c r="I8" s="96">
        <v>14063.802</v>
      </c>
      <c r="J8" s="96"/>
      <c r="K8" s="90">
        <f t="shared" si="1"/>
        <v>16479.198</v>
      </c>
      <c r="L8" s="17">
        <f t="shared" si="2"/>
        <v>0.46045909046262645</v>
      </c>
      <c r="M8" s="173" t="s">
        <v>65</v>
      </c>
      <c r="N8" s="230">
        <f>F8</f>
        <v>30543</v>
      </c>
      <c r="O8" s="230">
        <f t="shared" si="3"/>
        <v>0</v>
      </c>
      <c r="P8" s="230">
        <f>+N8+O8</f>
        <v>30543</v>
      </c>
      <c r="Q8" s="230">
        <f t="shared" si="4"/>
        <v>14063.802</v>
      </c>
      <c r="R8" s="230">
        <f t="shared" si="5"/>
        <v>16479.198</v>
      </c>
      <c r="S8" s="231">
        <f t="shared" si="6"/>
        <v>0.46045909046262645</v>
      </c>
      <c r="T8">
        <v>23707.074000000001</v>
      </c>
      <c r="U8">
        <f>T8-9643.272</f>
        <v>14063.802</v>
      </c>
    </row>
    <row r="9" spans="2:21" s="77" customFormat="1">
      <c r="B9" s="337"/>
      <c r="C9" s="107" t="s">
        <v>123</v>
      </c>
      <c r="D9" s="105" t="s">
        <v>15</v>
      </c>
      <c r="E9" s="15" t="s">
        <v>50</v>
      </c>
      <c r="F9" s="95">
        <v>1000</v>
      </c>
      <c r="G9" s="90"/>
      <c r="H9" s="90">
        <f t="shared" si="0"/>
        <v>1000</v>
      </c>
      <c r="I9" s="171"/>
      <c r="J9" s="171"/>
      <c r="K9" s="90">
        <f t="shared" si="1"/>
        <v>1000</v>
      </c>
      <c r="L9" s="17">
        <f t="shared" si="2"/>
        <v>0</v>
      </c>
      <c r="M9" s="173" t="s">
        <v>65</v>
      </c>
      <c r="N9" s="103">
        <f t="shared" si="3"/>
        <v>1000</v>
      </c>
      <c r="O9" s="103">
        <f t="shared" si="3"/>
        <v>0</v>
      </c>
      <c r="P9" s="103">
        <f>+H9</f>
        <v>1000</v>
      </c>
      <c r="Q9" s="103">
        <f t="shared" si="4"/>
        <v>0</v>
      </c>
      <c r="R9" s="103">
        <f t="shared" si="5"/>
        <v>1000</v>
      </c>
      <c r="S9" s="104">
        <f t="shared" si="6"/>
        <v>0</v>
      </c>
    </row>
    <row r="10" spans="2:21">
      <c r="B10" s="332" t="s">
        <v>21</v>
      </c>
      <c r="C10" s="14" t="s">
        <v>25</v>
      </c>
      <c r="D10" s="69" t="s">
        <v>92</v>
      </c>
      <c r="E10" s="15" t="s">
        <v>50</v>
      </c>
      <c r="F10" s="95">
        <v>21789</v>
      </c>
      <c r="G10" s="90"/>
      <c r="H10" s="90">
        <f t="shared" si="0"/>
        <v>21789</v>
      </c>
      <c r="I10" s="96">
        <v>211.71</v>
      </c>
      <c r="J10" s="96"/>
      <c r="K10" s="90">
        <f t="shared" si="1"/>
        <v>21577.29</v>
      </c>
      <c r="L10" s="129">
        <f t="shared" si="2"/>
        <v>9.7163706457386763E-3</v>
      </c>
      <c r="M10" s="173" t="s">
        <v>65</v>
      </c>
      <c r="N10" s="91">
        <f t="shared" si="3"/>
        <v>21789</v>
      </c>
      <c r="O10" s="91">
        <f t="shared" si="3"/>
        <v>0</v>
      </c>
      <c r="P10" s="91">
        <f>+N10+O10</f>
        <v>21789</v>
      </c>
      <c r="Q10" s="91">
        <f t="shared" si="4"/>
        <v>211.71</v>
      </c>
      <c r="R10" s="91">
        <f t="shared" si="5"/>
        <v>21577.29</v>
      </c>
      <c r="S10" s="20">
        <f t="shared" si="6"/>
        <v>9.7163706457386763E-3</v>
      </c>
    </row>
    <row r="11" spans="2:21">
      <c r="B11" s="333"/>
      <c r="C11" s="338" t="s">
        <v>27</v>
      </c>
      <c r="D11" s="69" t="s">
        <v>310</v>
      </c>
      <c r="E11" s="15" t="s">
        <v>50</v>
      </c>
      <c r="F11" s="269">
        <v>209.68799999999999</v>
      </c>
      <c r="G11" s="90"/>
      <c r="H11" s="90">
        <f>+F11+G11</f>
        <v>209.68799999999999</v>
      </c>
      <c r="I11" s="96">
        <v>208.03700000000001</v>
      </c>
      <c r="J11" s="96"/>
      <c r="K11" s="90">
        <f t="shared" si="1"/>
        <v>1.650999999999982</v>
      </c>
      <c r="L11" s="129">
        <f t="shared" si="2"/>
        <v>0.9921263973141049</v>
      </c>
      <c r="M11" s="173">
        <v>45121</v>
      </c>
      <c r="N11" s="91">
        <f>+F11</f>
        <v>209.68799999999999</v>
      </c>
      <c r="O11" s="91">
        <f t="shared" si="3"/>
        <v>0</v>
      </c>
      <c r="P11" s="91">
        <f>+N11+O11</f>
        <v>209.68799999999999</v>
      </c>
      <c r="Q11" s="91">
        <f t="shared" si="4"/>
        <v>208.03700000000001</v>
      </c>
      <c r="R11" s="91">
        <f t="shared" si="5"/>
        <v>1.650999999999982</v>
      </c>
      <c r="S11" s="20">
        <f t="shared" si="6"/>
        <v>0.9921263973141049</v>
      </c>
    </row>
    <row r="12" spans="2:21" s="77" customFormat="1">
      <c r="B12" s="333"/>
      <c r="C12" s="339"/>
      <c r="D12" s="267" t="s">
        <v>144</v>
      </c>
      <c r="E12" s="15" t="s">
        <v>50</v>
      </c>
      <c r="F12" s="269">
        <v>8252.0619999999999</v>
      </c>
      <c r="G12" s="90"/>
      <c r="H12" s="90">
        <f>+F12+G12</f>
        <v>8252.0619999999999</v>
      </c>
      <c r="I12" s="96">
        <v>2950.7139999999999</v>
      </c>
      <c r="J12" s="96"/>
      <c r="K12" s="90">
        <f t="shared" ref="K12" si="7">+H12-I12</f>
        <v>5301.348</v>
      </c>
      <c r="L12" s="129">
        <f t="shared" ref="L12" si="8">+I12/H12</f>
        <v>0.35757293146852265</v>
      </c>
      <c r="M12" s="173" t="s">
        <v>65</v>
      </c>
      <c r="N12" s="91">
        <f>+F12</f>
        <v>8252.0619999999999</v>
      </c>
      <c r="O12" s="91">
        <f t="shared" ref="O12" si="9">+G12</f>
        <v>0</v>
      </c>
      <c r="P12" s="91">
        <f>+N12+O12</f>
        <v>8252.0619999999999</v>
      </c>
      <c r="Q12" s="91">
        <f t="shared" ref="Q12" si="10">+I12</f>
        <v>2950.7139999999999</v>
      </c>
      <c r="R12" s="91">
        <f t="shared" ref="R12" si="11">+P12-Q12</f>
        <v>5301.348</v>
      </c>
      <c r="S12" s="20">
        <f t="shared" ref="S12" si="12">+Q12/P12</f>
        <v>0.35757293146852265</v>
      </c>
    </row>
    <row r="13" spans="2:21" s="77" customFormat="1">
      <c r="B13" s="333"/>
      <c r="C13" s="340"/>
      <c r="D13" s="268" t="s">
        <v>145</v>
      </c>
      <c r="E13" s="15" t="s">
        <v>50</v>
      </c>
      <c r="F13" s="269">
        <v>876.25</v>
      </c>
      <c r="G13" s="215"/>
      <c r="H13" s="215">
        <f>+F13+G13</f>
        <v>876.25</v>
      </c>
      <c r="I13" s="216">
        <v>867.72299999999996</v>
      </c>
      <c r="J13" s="216">
        <v>0.44800000000000001</v>
      </c>
      <c r="K13" s="215">
        <f>+H13-(I13+J13)</f>
        <v>8.0790000000000646</v>
      </c>
      <c r="L13" s="220">
        <f t="shared" si="2"/>
        <v>0.99026875891583444</v>
      </c>
      <c r="M13" s="173">
        <v>45112</v>
      </c>
      <c r="N13" s="186">
        <f>+F13</f>
        <v>876.25</v>
      </c>
      <c r="O13" s="91">
        <f>+G13</f>
        <v>0</v>
      </c>
      <c r="P13" s="91">
        <f>+N13+O13</f>
        <v>876.25</v>
      </c>
      <c r="Q13" s="91">
        <f t="shared" si="4"/>
        <v>867.72299999999996</v>
      </c>
      <c r="R13" s="91">
        <f>P13-(Q13+J13)</f>
        <v>8.0790000000000646</v>
      </c>
      <c r="S13" s="20">
        <f t="shared" si="6"/>
        <v>0.99026875891583444</v>
      </c>
    </row>
    <row r="14" spans="2:21" s="77" customFormat="1">
      <c r="B14" s="333"/>
      <c r="C14" s="106" t="s">
        <v>123</v>
      </c>
      <c r="D14" s="69" t="s">
        <v>16</v>
      </c>
      <c r="E14" s="15" t="s">
        <v>50</v>
      </c>
      <c r="F14" s="95">
        <v>500</v>
      </c>
      <c r="G14" s="90"/>
      <c r="H14" s="90">
        <f t="shared" si="0"/>
        <v>500</v>
      </c>
      <c r="I14" s="171"/>
      <c r="J14" s="171"/>
      <c r="K14" s="90">
        <f t="shared" si="1"/>
        <v>500</v>
      </c>
      <c r="L14" s="17">
        <f t="shared" si="2"/>
        <v>0</v>
      </c>
      <c r="M14" s="173" t="s">
        <v>65</v>
      </c>
      <c r="N14" s="91">
        <f>+F14</f>
        <v>500</v>
      </c>
      <c r="O14" s="91">
        <f>+G14</f>
        <v>0</v>
      </c>
      <c r="P14" s="91">
        <f>+H14</f>
        <v>500</v>
      </c>
      <c r="Q14" s="91">
        <f t="shared" si="4"/>
        <v>0</v>
      </c>
      <c r="R14" s="91">
        <f t="shared" si="5"/>
        <v>500</v>
      </c>
      <c r="S14" s="20">
        <f t="shared" si="6"/>
        <v>0</v>
      </c>
    </row>
    <row r="15" spans="2:21">
      <c r="B15" s="3"/>
      <c r="F15" s="110"/>
    </row>
    <row r="18" spans="2:5">
      <c r="E18" s="77"/>
    </row>
    <row r="21" spans="2:5">
      <c r="B21" s="77"/>
    </row>
    <row r="22" spans="2:5">
      <c r="B22" s="77"/>
    </row>
  </sheetData>
  <mergeCells count="6">
    <mergeCell ref="B2:S3"/>
    <mergeCell ref="B10:B14"/>
    <mergeCell ref="B4:S4"/>
    <mergeCell ref="N5:S5"/>
    <mergeCell ref="B7:B9"/>
    <mergeCell ref="C11:C13"/>
  </mergeCells>
  <conditionalFormatting sqref="K7:K14">
    <cfRule type="cellIs" dxfId="7" priority="3" operator="lessThan">
      <formula>0</formula>
    </cfRule>
  </conditionalFormatting>
  <conditionalFormatting sqref="S7:S8 L7:L14 S10:S14">
    <cfRule type="cellIs" dxfId="6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F15" sqref="F15"/>
    </sheetView>
  </sheetViews>
  <sheetFormatPr baseColWidth="10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341" t="s">
        <v>155</v>
      </c>
      <c r="C2" s="341"/>
      <c r="D2" s="341"/>
      <c r="E2" s="341"/>
      <c r="F2" s="341"/>
      <c r="G2" s="341"/>
      <c r="H2" s="341"/>
      <c r="I2" s="341"/>
    </row>
    <row r="3" spans="2:9">
      <c r="B3" s="342">
        <f>Resumen!C4</f>
        <v>45291</v>
      </c>
      <c r="C3" s="342"/>
      <c r="D3" s="342"/>
      <c r="E3" s="342"/>
      <c r="F3" s="342"/>
      <c r="G3" s="342"/>
      <c r="H3" s="342"/>
      <c r="I3" s="342"/>
    </row>
    <row r="4" spans="2:9">
      <c r="B4" s="89"/>
      <c r="C4" s="89"/>
      <c r="D4" s="89"/>
      <c r="E4" s="89"/>
      <c r="F4" s="89"/>
      <c r="G4" s="89"/>
      <c r="H4" s="89"/>
      <c r="I4" s="89"/>
    </row>
    <row r="5" spans="2:9">
      <c r="B5" s="174" t="s">
        <v>135</v>
      </c>
      <c r="C5" s="174" t="s">
        <v>26</v>
      </c>
      <c r="D5" s="174" t="s">
        <v>34</v>
      </c>
      <c r="E5" s="174" t="s">
        <v>136</v>
      </c>
      <c r="F5" s="174" t="s">
        <v>137</v>
      </c>
      <c r="G5" s="174" t="s">
        <v>138</v>
      </c>
      <c r="H5" s="174" t="s">
        <v>139</v>
      </c>
      <c r="I5" s="174" t="s">
        <v>33</v>
      </c>
    </row>
    <row r="6" spans="2:9" s="77" customFormat="1">
      <c r="B6" s="176" t="s">
        <v>29</v>
      </c>
      <c r="C6" s="178" t="s">
        <v>140</v>
      </c>
      <c r="D6" s="180"/>
      <c r="E6" s="217">
        <v>518</v>
      </c>
      <c r="F6" s="169">
        <v>518</v>
      </c>
      <c r="G6" s="170">
        <f>E6-F6</f>
        <v>0</v>
      </c>
      <c r="H6" s="114">
        <f>F6/E6</f>
        <v>1</v>
      </c>
      <c r="I6" s="169" t="s">
        <v>65</v>
      </c>
    </row>
    <row r="7" spans="2:9">
      <c r="B7" s="197" t="s">
        <v>27</v>
      </c>
      <c r="C7" s="175" t="s">
        <v>144</v>
      </c>
      <c r="D7" s="180"/>
      <c r="E7" s="217">
        <v>260.90600000000001</v>
      </c>
      <c r="F7" s="124">
        <v>260.91300000000001</v>
      </c>
      <c r="G7" s="179">
        <f>E7-F7</f>
        <v>-7.0000000000050022E-3</v>
      </c>
      <c r="H7" s="114">
        <f>F7/E7</f>
        <v>1.0000268295861345</v>
      </c>
      <c r="I7" s="180" t="s">
        <v>65</v>
      </c>
    </row>
  </sheetData>
  <mergeCells count="2">
    <mergeCell ref="B2:I2"/>
    <mergeCell ref="B3:I3"/>
  </mergeCells>
  <phoneticPr fontId="3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6"/>
  <sheetViews>
    <sheetView topLeftCell="A85" workbookViewId="0">
      <selection activeCell="J91" sqref="J91"/>
    </sheetView>
  </sheetViews>
  <sheetFormatPr baseColWidth="10" defaultRowHeight="15"/>
  <cols>
    <col min="1" max="1" width="11.42578125" style="89"/>
    <col min="2" max="2" width="26.7109375" style="89" bestFit="1" customWidth="1"/>
    <col min="3" max="3" width="17.42578125" style="89" bestFit="1" customWidth="1"/>
    <col min="4" max="4" width="7" style="89" bestFit="1" customWidth="1"/>
    <col min="5" max="5" width="22.28515625" style="89" hidden="1" customWidth="1"/>
    <col min="6" max="6" width="24.42578125" style="89" bestFit="1" customWidth="1"/>
    <col min="7" max="7" width="10.7109375" style="89" bestFit="1" customWidth="1"/>
    <col min="8" max="8" width="8.7109375" style="89" bestFit="1" customWidth="1"/>
    <col min="9" max="9" width="13.42578125" style="89" bestFit="1" customWidth="1"/>
    <col min="10" max="16384" width="11.42578125" style="89"/>
  </cols>
  <sheetData>
    <row r="2" spans="2:9">
      <c r="B2" s="218" t="s">
        <v>94</v>
      </c>
      <c r="C2" s="218" t="s">
        <v>142</v>
      </c>
      <c r="D2" s="218" t="s">
        <v>111</v>
      </c>
      <c r="E2" s="218" t="s">
        <v>143</v>
      </c>
      <c r="F2" s="219" t="s">
        <v>230</v>
      </c>
      <c r="G2" s="219" t="s">
        <v>137</v>
      </c>
      <c r="H2" s="219" t="s">
        <v>138</v>
      </c>
      <c r="I2" s="219" t="s">
        <v>139</v>
      </c>
    </row>
    <row r="3" spans="2:9">
      <c r="B3" s="252" t="s">
        <v>23</v>
      </c>
      <c r="C3" s="256" t="s">
        <v>172</v>
      </c>
      <c r="D3" s="256">
        <v>956794</v>
      </c>
      <c r="E3" s="252"/>
      <c r="F3" s="349">
        <v>5889.9309999999969</v>
      </c>
      <c r="G3" s="252"/>
      <c r="H3" s="346">
        <f>F3-(SUM(G3:G46))</f>
        <v>2.9999999978826963E-3</v>
      </c>
      <c r="I3" s="343">
        <f>(SUM(G3:G46))/F3</f>
        <v>0.99999949065617277</v>
      </c>
    </row>
    <row r="4" spans="2:9">
      <c r="B4" s="252" t="s">
        <v>23</v>
      </c>
      <c r="C4" s="256" t="s">
        <v>187</v>
      </c>
      <c r="D4" s="256">
        <v>961261</v>
      </c>
      <c r="E4" s="252"/>
      <c r="F4" s="349"/>
      <c r="G4" s="252">
        <v>193.17</v>
      </c>
      <c r="H4" s="347"/>
      <c r="I4" s="344"/>
    </row>
    <row r="5" spans="2:9">
      <c r="B5" s="252" t="s">
        <v>23</v>
      </c>
      <c r="C5" s="256" t="s">
        <v>188</v>
      </c>
      <c r="D5" s="256">
        <v>697514</v>
      </c>
      <c r="E5" s="252"/>
      <c r="F5" s="349"/>
      <c r="G5" s="252">
        <v>197.39599999999999</v>
      </c>
      <c r="H5" s="347"/>
      <c r="I5" s="344"/>
    </row>
    <row r="6" spans="2:9">
      <c r="B6" s="252" t="s">
        <v>23</v>
      </c>
      <c r="C6" s="256" t="s">
        <v>210</v>
      </c>
      <c r="D6" s="256">
        <v>699817</v>
      </c>
      <c r="E6" s="252"/>
      <c r="F6" s="349"/>
      <c r="G6" s="252">
        <v>143.05799999999999</v>
      </c>
      <c r="H6" s="347"/>
      <c r="I6" s="344"/>
    </row>
    <row r="7" spans="2:9">
      <c r="B7" s="252" t="s">
        <v>23</v>
      </c>
      <c r="C7" s="256" t="s">
        <v>189</v>
      </c>
      <c r="D7" s="256">
        <v>913564</v>
      </c>
      <c r="E7" s="252"/>
      <c r="F7" s="349"/>
      <c r="G7" s="252">
        <v>183.191</v>
      </c>
      <c r="H7" s="347"/>
      <c r="I7" s="344"/>
    </row>
    <row r="8" spans="2:9">
      <c r="B8" s="252" t="s">
        <v>23</v>
      </c>
      <c r="C8" s="256" t="s">
        <v>180</v>
      </c>
      <c r="D8" s="256">
        <v>967834</v>
      </c>
      <c r="E8" s="252"/>
      <c r="F8" s="349"/>
      <c r="G8" s="252">
        <v>263.37599999999998</v>
      </c>
      <c r="H8" s="347"/>
      <c r="I8" s="344"/>
    </row>
    <row r="9" spans="2:9">
      <c r="B9" s="252" t="s">
        <v>23</v>
      </c>
      <c r="C9" s="256" t="s">
        <v>171</v>
      </c>
      <c r="D9" s="256">
        <v>965747</v>
      </c>
      <c r="E9" s="252"/>
      <c r="F9" s="349"/>
      <c r="G9" s="252">
        <v>263.37599999999998</v>
      </c>
      <c r="H9" s="347"/>
      <c r="I9" s="344"/>
    </row>
    <row r="10" spans="2:9">
      <c r="B10" s="252" t="s">
        <v>23</v>
      </c>
      <c r="C10" s="256" t="s">
        <v>209</v>
      </c>
      <c r="D10" s="256">
        <v>699818</v>
      </c>
      <c r="E10" s="252"/>
      <c r="F10" s="349"/>
      <c r="G10" s="252">
        <v>96.748999999999995</v>
      </c>
      <c r="H10" s="347"/>
      <c r="I10" s="344"/>
    </row>
    <row r="11" spans="2:9">
      <c r="B11" s="252" t="s">
        <v>23</v>
      </c>
      <c r="C11" s="256" t="s">
        <v>190</v>
      </c>
      <c r="D11" s="256">
        <v>968293</v>
      </c>
      <c r="E11" s="252"/>
      <c r="F11" s="349"/>
      <c r="G11" s="252">
        <v>43.509</v>
      </c>
      <c r="H11" s="347"/>
      <c r="I11" s="344"/>
    </row>
    <row r="12" spans="2:9">
      <c r="B12" s="252" t="s">
        <v>23</v>
      </c>
      <c r="C12" s="256" t="s">
        <v>205</v>
      </c>
      <c r="D12" s="256">
        <v>961059</v>
      </c>
      <c r="E12" s="252"/>
      <c r="F12" s="349"/>
      <c r="G12" s="252">
        <v>436.38600000000002</v>
      </c>
      <c r="H12" s="347"/>
      <c r="I12" s="344"/>
    </row>
    <row r="13" spans="2:9">
      <c r="B13" s="252" t="s">
        <v>23</v>
      </c>
      <c r="C13" s="256" t="s">
        <v>185</v>
      </c>
      <c r="D13" s="256">
        <v>697319</v>
      </c>
      <c r="E13" s="252"/>
      <c r="F13" s="349"/>
      <c r="G13" s="252">
        <v>155.33599999999998</v>
      </c>
      <c r="H13" s="347"/>
      <c r="I13" s="344"/>
    </row>
    <row r="14" spans="2:9">
      <c r="B14" s="252" t="s">
        <v>23</v>
      </c>
      <c r="C14" s="256" t="s">
        <v>213</v>
      </c>
      <c r="D14" s="256">
        <v>700047</v>
      </c>
      <c r="E14" s="252"/>
      <c r="F14" s="349"/>
      <c r="G14" s="252">
        <v>142.05900000000003</v>
      </c>
      <c r="H14" s="347"/>
      <c r="I14" s="344"/>
    </row>
    <row r="15" spans="2:9">
      <c r="B15" s="252" t="s">
        <v>23</v>
      </c>
      <c r="C15" s="256" t="s">
        <v>173</v>
      </c>
      <c r="D15" s="256">
        <v>963544</v>
      </c>
      <c r="E15" s="252"/>
      <c r="F15" s="349"/>
      <c r="G15" s="252">
        <v>242.73600000000002</v>
      </c>
      <c r="H15" s="347"/>
      <c r="I15" s="344"/>
    </row>
    <row r="16" spans="2:9">
      <c r="B16" s="252" t="s">
        <v>23</v>
      </c>
      <c r="C16" s="256" t="s">
        <v>174</v>
      </c>
      <c r="D16" s="256">
        <v>963409</v>
      </c>
      <c r="E16" s="252"/>
      <c r="F16" s="349"/>
      <c r="G16" s="252">
        <v>152.07299999999998</v>
      </c>
      <c r="H16" s="347"/>
      <c r="I16" s="344"/>
    </row>
    <row r="17" spans="2:9">
      <c r="B17" s="252" t="s">
        <v>23</v>
      </c>
      <c r="C17" s="256" t="s">
        <v>201</v>
      </c>
      <c r="D17" s="256">
        <v>968111</v>
      </c>
      <c r="E17" s="252"/>
      <c r="F17" s="349"/>
      <c r="G17" s="252">
        <v>193.72399999999999</v>
      </c>
      <c r="H17" s="347"/>
      <c r="I17" s="344"/>
    </row>
    <row r="18" spans="2:9">
      <c r="B18" s="252" t="s">
        <v>23</v>
      </c>
      <c r="C18" s="256" t="s">
        <v>184</v>
      </c>
      <c r="D18" s="256">
        <v>698422</v>
      </c>
      <c r="E18" s="252"/>
      <c r="F18" s="349"/>
      <c r="G18" s="252">
        <v>180.352</v>
      </c>
      <c r="H18" s="347"/>
      <c r="I18" s="344"/>
    </row>
    <row r="19" spans="2:9">
      <c r="B19" s="252" t="s">
        <v>23</v>
      </c>
      <c r="C19" s="256" t="s">
        <v>179</v>
      </c>
      <c r="D19" s="256">
        <v>964506</v>
      </c>
      <c r="E19" s="252"/>
      <c r="F19" s="349"/>
      <c r="G19" s="252">
        <v>115.55800000000001</v>
      </c>
      <c r="H19" s="347"/>
      <c r="I19" s="344"/>
    </row>
    <row r="20" spans="2:9">
      <c r="B20" s="252" t="s">
        <v>23</v>
      </c>
      <c r="C20" s="256" t="s">
        <v>193</v>
      </c>
      <c r="D20" s="256">
        <v>698685</v>
      </c>
      <c r="E20" s="252"/>
      <c r="F20" s="349"/>
      <c r="G20" s="252"/>
      <c r="H20" s="347"/>
      <c r="I20" s="344"/>
    </row>
    <row r="21" spans="2:9">
      <c r="B21" s="252" t="s">
        <v>23</v>
      </c>
      <c r="C21" s="256" t="s">
        <v>183</v>
      </c>
      <c r="D21" s="256">
        <v>697526</v>
      </c>
      <c r="E21" s="252"/>
      <c r="F21" s="349"/>
      <c r="G21" s="252"/>
      <c r="H21" s="347"/>
      <c r="I21" s="344"/>
    </row>
    <row r="22" spans="2:9">
      <c r="B22" s="252" t="s">
        <v>23</v>
      </c>
      <c r="C22" s="256" t="s">
        <v>211</v>
      </c>
      <c r="D22" s="256">
        <v>964706</v>
      </c>
      <c r="E22" s="252"/>
      <c r="F22" s="349"/>
      <c r="G22" s="252"/>
      <c r="H22" s="347"/>
      <c r="I22" s="344"/>
    </row>
    <row r="23" spans="2:9">
      <c r="B23" s="252" t="s">
        <v>23</v>
      </c>
      <c r="C23" s="256" t="s">
        <v>214</v>
      </c>
      <c r="D23" s="256">
        <v>700133</v>
      </c>
      <c r="E23" s="252"/>
      <c r="F23" s="349"/>
      <c r="G23" s="252">
        <v>349.24299999999999</v>
      </c>
      <c r="H23" s="347"/>
      <c r="I23" s="344"/>
    </row>
    <row r="24" spans="2:9">
      <c r="B24" s="252" t="s">
        <v>23</v>
      </c>
      <c r="C24" s="256" t="s">
        <v>192</v>
      </c>
      <c r="D24" s="256">
        <v>913590</v>
      </c>
      <c r="E24" s="252"/>
      <c r="F24" s="349"/>
      <c r="G24" s="252">
        <v>104.75200000000001</v>
      </c>
      <c r="H24" s="347"/>
      <c r="I24" s="344"/>
    </row>
    <row r="25" spans="2:9">
      <c r="B25" s="252" t="s">
        <v>23</v>
      </c>
      <c r="C25" s="256" t="s">
        <v>181</v>
      </c>
      <c r="D25" s="256">
        <v>966916</v>
      </c>
      <c r="E25" s="252"/>
      <c r="F25" s="349"/>
      <c r="G25" s="252">
        <v>181.63800000000001</v>
      </c>
      <c r="H25" s="347"/>
      <c r="I25" s="344"/>
    </row>
    <row r="26" spans="2:9">
      <c r="B26" s="252" t="s">
        <v>23</v>
      </c>
      <c r="C26" s="256" t="s">
        <v>191</v>
      </c>
      <c r="D26" s="256">
        <v>964503</v>
      </c>
      <c r="E26" s="252"/>
      <c r="F26" s="349"/>
      <c r="G26" s="252">
        <v>208.16899999999998</v>
      </c>
      <c r="H26" s="347"/>
      <c r="I26" s="344"/>
    </row>
    <row r="27" spans="2:9">
      <c r="B27" s="252" t="s">
        <v>23</v>
      </c>
      <c r="C27" s="256" t="s">
        <v>206</v>
      </c>
      <c r="D27" s="256">
        <v>969314</v>
      </c>
      <c r="E27" s="252"/>
      <c r="F27" s="349"/>
      <c r="G27" s="252">
        <v>285.91300000000001</v>
      </c>
      <c r="H27" s="347"/>
      <c r="I27" s="344"/>
    </row>
    <row r="28" spans="2:9">
      <c r="B28" s="252" t="s">
        <v>23</v>
      </c>
      <c r="C28" s="256" t="s">
        <v>176</v>
      </c>
      <c r="D28" s="256">
        <v>965738</v>
      </c>
      <c r="E28" s="252"/>
      <c r="F28" s="349"/>
      <c r="G28" s="252"/>
      <c r="H28" s="347"/>
      <c r="I28" s="344"/>
    </row>
    <row r="29" spans="2:9">
      <c r="B29" s="252" t="s">
        <v>23</v>
      </c>
      <c r="C29" s="256" t="s">
        <v>197</v>
      </c>
      <c r="D29" s="256">
        <v>953852</v>
      </c>
      <c r="E29" s="252"/>
      <c r="F29" s="349"/>
      <c r="G29" s="252"/>
      <c r="H29" s="347"/>
      <c r="I29" s="344"/>
    </row>
    <row r="30" spans="2:9">
      <c r="B30" s="252" t="s">
        <v>23</v>
      </c>
      <c r="C30" s="256" t="s">
        <v>200</v>
      </c>
      <c r="D30" s="256">
        <v>698348</v>
      </c>
      <c r="E30" s="252"/>
      <c r="F30" s="349"/>
      <c r="G30" s="252">
        <v>124.48699999999999</v>
      </c>
      <c r="H30" s="347"/>
      <c r="I30" s="344"/>
    </row>
    <row r="31" spans="2:9">
      <c r="B31" s="252" t="s">
        <v>23</v>
      </c>
      <c r="C31" s="256" t="s">
        <v>177</v>
      </c>
      <c r="D31" s="256">
        <v>955856</v>
      </c>
      <c r="E31" s="252"/>
      <c r="F31" s="349"/>
      <c r="G31" s="252"/>
      <c r="H31" s="347"/>
      <c r="I31" s="344"/>
    </row>
    <row r="32" spans="2:9">
      <c r="B32" s="252" t="s">
        <v>23</v>
      </c>
      <c r="C32" s="256" t="s">
        <v>178</v>
      </c>
      <c r="D32" s="256">
        <v>969249</v>
      </c>
      <c r="E32" s="252"/>
      <c r="F32" s="349"/>
      <c r="G32" s="252">
        <v>36.969000000000001</v>
      </c>
      <c r="H32" s="347"/>
      <c r="I32" s="344"/>
    </row>
    <row r="33" spans="2:9">
      <c r="B33" s="252" t="s">
        <v>23</v>
      </c>
      <c r="C33" s="256" t="s">
        <v>212</v>
      </c>
      <c r="D33" s="256">
        <v>700057</v>
      </c>
      <c r="E33" s="252"/>
      <c r="F33" s="349"/>
      <c r="G33" s="252">
        <v>146.56900000000002</v>
      </c>
      <c r="H33" s="347"/>
      <c r="I33" s="344"/>
    </row>
    <row r="34" spans="2:9">
      <c r="B34" s="252" t="s">
        <v>23</v>
      </c>
      <c r="C34" s="256" t="s">
        <v>207</v>
      </c>
      <c r="D34" s="256">
        <v>699580</v>
      </c>
      <c r="E34" s="252"/>
      <c r="F34" s="349"/>
      <c r="G34" s="252"/>
      <c r="H34" s="347"/>
      <c r="I34" s="344"/>
    </row>
    <row r="35" spans="2:9">
      <c r="B35" s="252" t="s">
        <v>23</v>
      </c>
      <c r="C35" s="256" t="s">
        <v>202</v>
      </c>
      <c r="D35" s="256">
        <v>963908</v>
      </c>
      <c r="E35" s="252"/>
      <c r="F35" s="349"/>
      <c r="G35" s="252">
        <v>321.12699999999995</v>
      </c>
      <c r="H35" s="347"/>
      <c r="I35" s="344"/>
    </row>
    <row r="36" spans="2:9">
      <c r="B36" s="252" t="s">
        <v>23</v>
      </c>
      <c r="C36" s="256" t="s">
        <v>196</v>
      </c>
      <c r="D36" s="256">
        <v>960140</v>
      </c>
      <c r="E36" s="252"/>
      <c r="F36" s="349"/>
      <c r="G36" s="252">
        <v>196.28800000000001</v>
      </c>
      <c r="H36" s="347"/>
      <c r="I36" s="344"/>
    </row>
    <row r="37" spans="2:9">
      <c r="B37" s="252" t="s">
        <v>23</v>
      </c>
      <c r="C37" s="256" t="s">
        <v>208</v>
      </c>
      <c r="D37" s="256">
        <v>699756</v>
      </c>
      <c r="E37" s="252"/>
      <c r="F37" s="349"/>
      <c r="G37" s="252">
        <v>135.351</v>
      </c>
      <c r="H37" s="347"/>
      <c r="I37" s="344"/>
    </row>
    <row r="38" spans="2:9">
      <c r="B38" s="252" t="s">
        <v>23</v>
      </c>
      <c r="C38" s="256" t="s">
        <v>204</v>
      </c>
      <c r="D38" s="256">
        <v>914128</v>
      </c>
      <c r="E38" s="252"/>
      <c r="F38" s="349"/>
      <c r="G38" s="252">
        <v>97.067999999999998</v>
      </c>
      <c r="H38" s="347"/>
      <c r="I38" s="344"/>
    </row>
    <row r="39" spans="2:9">
      <c r="B39" s="252" t="s">
        <v>23</v>
      </c>
      <c r="C39" s="256" t="s">
        <v>203</v>
      </c>
      <c r="D39" s="256">
        <v>914124</v>
      </c>
      <c r="E39" s="252"/>
      <c r="F39" s="349"/>
      <c r="G39" s="252">
        <v>75.051999999999992</v>
      </c>
      <c r="H39" s="347"/>
      <c r="I39" s="344"/>
    </row>
    <row r="40" spans="2:9">
      <c r="B40" s="252" t="s">
        <v>23</v>
      </c>
      <c r="C40" s="256" t="s">
        <v>198</v>
      </c>
      <c r="D40" s="256">
        <v>914125</v>
      </c>
      <c r="E40" s="252"/>
      <c r="F40" s="349"/>
      <c r="G40" s="252">
        <v>39.969000000000001</v>
      </c>
      <c r="H40" s="347"/>
      <c r="I40" s="344"/>
    </row>
    <row r="41" spans="2:9">
      <c r="B41" s="252" t="s">
        <v>23</v>
      </c>
      <c r="C41" s="256" t="s">
        <v>195</v>
      </c>
      <c r="D41" s="256">
        <v>914147</v>
      </c>
      <c r="E41" s="252"/>
      <c r="F41" s="349"/>
      <c r="G41" s="252"/>
      <c r="H41" s="347"/>
      <c r="I41" s="344"/>
    </row>
    <row r="42" spans="2:9">
      <c r="B42" s="252" t="s">
        <v>23</v>
      </c>
      <c r="C42" s="256" t="s">
        <v>182</v>
      </c>
      <c r="D42" s="256">
        <v>697783</v>
      </c>
      <c r="E42" s="252"/>
      <c r="F42" s="349"/>
      <c r="G42" s="252">
        <v>112.92399999999999</v>
      </c>
      <c r="H42" s="347"/>
      <c r="I42" s="344"/>
    </row>
    <row r="43" spans="2:9">
      <c r="B43" s="252" t="s">
        <v>23</v>
      </c>
      <c r="C43" s="256" t="s">
        <v>199</v>
      </c>
      <c r="D43" s="256">
        <v>968795</v>
      </c>
      <c r="E43" s="252"/>
      <c r="F43" s="349"/>
      <c r="G43" s="252">
        <v>91.237000000000009</v>
      </c>
      <c r="H43" s="347"/>
      <c r="I43" s="344"/>
    </row>
    <row r="44" spans="2:9">
      <c r="B44" s="252" t="s">
        <v>23</v>
      </c>
      <c r="C44" s="256" t="s">
        <v>175</v>
      </c>
      <c r="D44" s="256">
        <v>966363</v>
      </c>
      <c r="E44" s="252"/>
      <c r="F44" s="349"/>
      <c r="G44" s="252">
        <v>212.37299999999999</v>
      </c>
      <c r="H44" s="347"/>
      <c r="I44" s="344"/>
    </row>
    <row r="45" spans="2:9">
      <c r="B45" s="252" t="s">
        <v>23</v>
      </c>
      <c r="C45" s="256" t="s">
        <v>194</v>
      </c>
      <c r="D45" s="256">
        <v>952277</v>
      </c>
      <c r="E45" s="252"/>
      <c r="F45" s="349"/>
      <c r="G45" s="252">
        <v>168.75000000000003</v>
      </c>
      <c r="H45" s="347"/>
      <c r="I45" s="344"/>
    </row>
    <row r="46" spans="2:9">
      <c r="B46" s="252" t="s">
        <v>23</v>
      </c>
      <c r="C46" s="256" t="s">
        <v>186</v>
      </c>
      <c r="D46" s="256">
        <v>952279</v>
      </c>
      <c r="E46" s="252"/>
      <c r="F46" s="349"/>
      <c r="G46" s="252"/>
      <c r="H46" s="348"/>
      <c r="I46" s="345"/>
    </row>
    <row r="47" spans="2:9">
      <c r="B47" s="252" t="s">
        <v>23</v>
      </c>
      <c r="C47" s="253" t="s">
        <v>215</v>
      </c>
      <c r="D47" s="252">
        <v>699078</v>
      </c>
      <c r="E47" s="252"/>
      <c r="F47" s="349">
        <f>38+1734.343</f>
        <v>1772.3430000000001</v>
      </c>
      <c r="G47" s="252"/>
      <c r="H47" s="346">
        <f>F47-(SUM(G47:G56))</f>
        <v>1772.3430000000001</v>
      </c>
      <c r="I47" s="343">
        <f>(SUM(G47:G56))/F47</f>
        <v>0</v>
      </c>
    </row>
    <row r="48" spans="2:9">
      <c r="B48" s="252" t="s">
        <v>23</v>
      </c>
      <c r="C48" s="252" t="s">
        <v>216</v>
      </c>
      <c r="D48" s="252">
        <v>967544</v>
      </c>
      <c r="E48" s="252"/>
      <c r="F48" s="349"/>
      <c r="G48" s="252"/>
      <c r="H48" s="347"/>
      <c r="I48" s="344"/>
    </row>
    <row r="49" spans="2:9">
      <c r="B49" s="252" t="s">
        <v>23</v>
      </c>
      <c r="C49" s="252" t="s">
        <v>217</v>
      </c>
      <c r="D49" s="252">
        <v>968274</v>
      </c>
      <c r="E49" s="252"/>
      <c r="F49" s="349"/>
      <c r="G49" s="252"/>
      <c r="H49" s="347"/>
      <c r="I49" s="344"/>
    </row>
    <row r="50" spans="2:9">
      <c r="B50" s="252" t="s">
        <v>23</v>
      </c>
      <c r="C50" s="252" t="s">
        <v>218</v>
      </c>
      <c r="D50" s="252">
        <v>968447</v>
      </c>
      <c r="E50" s="252"/>
      <c r="F50" s="349"/>
      <c r="G50" s="252"/>
      <c r="H50" s="347"/>
      <c r="I50" s="344"/>
    </row>
    <row r="51" spans="2:9">
      <c r="B51" s="252" t="s">
        <v>23</v>
      </c>
      <c r="C51" s="252" t="s">
        <v>219</v>
      </c>
      <c r="D51" s="252">
        <v>968466</v>
      </c>
      <c r="E51" s="252"/>
      <c r="F51" s="349"/>
      <c r="G51" s="252"/>
      <c r="H51" s="347"/>
      <c r="I51" s="344"/>
    </row>
    <row r="52" spans="2:9">
      <c r="B52" s="252" t="s">
        <v>23</v>
      </c>
      <c r="C52" s="252" t="s">
        <v>220</v>
      </c>
      <c r="D52" s="252">
        <v>969068</v>
      </c>
      <c r="E52" s="252"/>
      <c r="F52" s="349"/>
      <c r="G52" s="252"/>
      <c r="H52" s="347"/>
      <c r="I52" s="344"/>
    </row>
    <row r="53" spans="2:9">
      <c r="B53" s="252" t="s">
        <v>23</v>
      </c>
      <c r="C53" s="252" t="s">
        <v>221</v>
      </c>
      <c r="D53" s="252">
        <v>698940</v>
      </c>
      <c r="E53" s="252"/>
      <c r="F53" s="349"/>
      <c r="G53" s="252"/>
      <c r="H53" s="347"/>
      <c r="I53" s="344"/>
    </row>
    <row r="54" spans="2:9">
      <c r="B54" s="252" t="s">
        <v>23</v>
      </c>
      <c r="C54" s="252" t="s">
        <v>222</v>
      </c>
      <c r="D54" s="252">
        <v>699329</v>
      </c>
      <c r="E54" s="252"/>
      <c r="F54" s="349"/>
      <c r="G54" s="252"/>
      <c r="H54" s="347"/>
      <c r="I54" s="344"/>
    </row>
    <row r="55" spans="2:9">
      <c r="B55" s="252" t="s">
        <v>23</v>
      </c>
      <c r="C55" s="252" t="s">
        <v>223</v>
      </c>
      <c r="D55" s="252">
        <v>967665</v>
      </c>
      <c r="E55" s="252"/>
      <c r="F55" s="349"/>
      <c r="G55" s="252"/>
      <c r="H55" s="347"/>
      <c r="I55" s="344"/>
    </row>
    <row r="56" spans="2:9">
      <c r="B56" s="252" t="s">
        <v>23</v>
      </c>
      <c r="C56" s="252" t="s">
        <v>224</v>
      </c>
      <c r="D56" s="252">
        <v>699687</v>
      </c>
      <c r="E56" s="252"/>
      <c r="F56" s="349"/>
      <c r="G56" s="252"/>
      <c r="H56" s="348"/>
      <c r="I56" s="345"/>
    </row>
    <row r="57" spans="2:9">
      <c r="B57" s="252" t="s">
        <v>23</v>
      </c>
      <c r="C57" s="252" t="s">
        <v>215</v>
      </c>
      <c r="D57" s="252">
        <v>699078</v>
      </c>
      <c r="E57" s="252"/>
      <c r="F57" s="349">
        <v>4109.9930000000004</v>
      </c>
      <c r="G57" s="252">
        <v>101.09699999999999</v>
      </c>
      <c r="H57" s="346">
        <f>F57-(SUM(G57:G63))</f>
        <v>0</v>
      </c>
      <c r="I57" s="343">
        <f>(SUM(G57:G63))/F57</f>
        <v>1</v>
      </c>
    </row>
    <row r="58" spans="2:9">
      <c r="B58" s="252" t="s">
        <v>23</v>
      </c>
      <c r="C58" s="252" t="s">
        <v>216</v>
      </c>
      <c r="D58" s="252">
        <v>967544</v>
      </c>
      <c r="E58" s="252"/>
      <c r="F58" s="349"/>
      <c r="G58" s="252">
        <v>1103.354</v>
      </c>
      <c r="H58" s="347"/>
      <c r="I58" s="344"/>
    </row>
    <row r="59" spans="2:9">
      <c r="B59" s="252" t="s">
        <v>23</v>
      </c>
      <c r="C59" s="252" t="s">
        <v>217</v>
      </c>
      <c r="D59" s="252">
        <v>968274</v>
      </c>
      <c r="E59" s="252"/>
      <c r="F59" s="349"/>
      <c r="G59" s="252">
        <v>772.10899999999981</v>
      </c>
      <c r="H59" s="347"/>
      <c r="I59" s="344"/>
    </row>
    <row r="60" spans="2:9">
      <c r="B60" s="252" t="s">
        <v>23</v>
      </c>
      <c r="C60" s="252" t="s">
        <v>218</v>
      </c>
      <c r="D60" s="252">
        <v>968447</v>
      </c>
      <c r="E60" s="252"/>
      <c r="F60" s="349"/>
      <c r="G60" s="252">
        <v>951.58900000000006</v>
      </c>
      <c r="H60" s="347"/>
      <c r="I60" s="344"/>
    </row>
    <row r="61" spans="2:9">
      <c r="B61" s="252" t="s">
        <v>23</v>
      </c>
      <c r="C61" s="252" t="s">
        <v>219</v>
      </c>
      <c r="D61" s="252">
        <v>968466</v>
      </c>
      <c r="E61" s="252"/>
      <c r="F61" s="349"/>
      <c r="G61" s="252">
        <v>420.62100000000004</v>
      </c>
      <c r="H61" s="347"/>
      <c r="I61" s="344"/>
    </row>
    <row r="62" spans="2:9">
      <c r="B62" s="252" t="s">
        <v>23</v>
      </c>
      <c r="C62" s="252" t="s">
        <v>220</v>
      </c>
      <c r="D62" s="252">
        <v>969068</v>
      </c>
      <c r="E62" s="252"/>
      <c r="F62" s="349"/>
      <c r="G62" s="252">
        <v>761.22299999999996</v>
      </c>
      <c r="H62" s="347"/>
      <c r="I62" s="344"/>
    </row>
    <row r="63" spans="2:9">
      <c r="B63" s="252" t="s">
        <v>23</v>
      </c>
      <c r="C63" s="252" t="s">
        <v>221</v>
      </c>
      <c r="D63" s="252">
        <v>698940</v>
      </c>
      <c r="E63" s="252"/>
      <c r="F63" s="349"/>
      <c r="G63" s="252"/>
      <c r="H63" s="348"/>
      <c r="I63" s="345"/>
    </row>
    <row r="64" spans="2:9">
      <c r="B64" s="252" t="s">
        <v>23</v>
      </c>
      <c r="C64" s="252" t="s">
        <v>173</v>
      </c>
      <c r="D64" s="252">
        <v>963544</v>
      </c>
      <c r="E64" s="252"/>
      <c r="F64" s="349">
        <f>43.8809999999999+18.7350000000001</f>
        <v>62.616</v>
      </c>
      <c r="G64" s="252">
        <v>31.821000000000002</v>
      </c>
      <c r="H64" s="346">
        <f>F64-(SUM(G64:G70))</f>
        <v>-4.2999999999999261E-2</v>
      </c>
      <c r="I64" s="343">
        <f>(SUM(G64:G70))/F64</f>
        <v>1.0006867254375877</v>
      </c>
    </row>
    <row r="65" spans="2:9">
      <c r="B65" s="252" t="s">
        <v>23</v>
      </c>
      <c r="C65" s="252" t="s">
        <v>174</v>
      </c>
      <c r="D65" s="252">
        <v>963409</v>
      </c>
      <c r="E65" s="252"/>
      <c r="F65" s="349"/>
      <c r="G65" s="252">
        <v>12</v>
      </c>
      <c r="H65" s="347"/>
      <c r="I65" s="344"/>
    </row>
    <row r="66" spans="2:9">
      <c r="B66" s="252" t="s">
        <v>23</v>
      </c>
      <c r="C66" s="252" t="s">
        <v>195</v>
      </c>
      <c r="D66" s="252">
        <v>914147</v>
      </c>
      <c r="E66" s="252"/>
      <c r="F66" s="349"/>
      <c r="G66" s="252"/>
      <c r="H66" s="347"/>
      <c r="I66" s="344"/>
    </row>
    <row r="67" spans="2:9">
      <c r="B67" s="252" t="s">
        <v>23</v>
      </c>
      <c r="C67" s="252" t="s">
        <v>225</v>
      </c>
      <c r="D67" s="252">
        <v>914125</v>
      </c>
      <c r="E67" s="252"/>
      <c r="F67" s="349"/>
      <c r="G67" s="252">
        <v>11.768000000000001</v>
      </c>
      <c r="H67" s="347"/>
      <c r="I67" s="344"/>
    </row>
    <row r="68" spans="2:9">
      <c r="B68" s="252" t="s">
        <v>23</v>
      </c>
      <c r="C68" s="252" t="s">
        <v>211</v>
      </c>
      <c r="D68" s="252">
        <v>964706</v>
      </c>
      <c r="E68" s="252"/>
      <c r="F68" s="349"/>
      <c r="G68" s="252">
        <v>7.07</v>
      </c>
      <c r="H68" s="347"/>
      <c r="I68" s="344"/>
    </row>
    <row r="69" spans="2:9">
      <c r="B69" s="252" t="s">
        <v>23</v>
      </c>
      <c r="C69" s="252" t="s">
        <v>203</v>
      </c>
      <c r="D69" s="252">
        <v>914124</v>
      </c>
      <c r="E69" s="252"/>
      <c r="F69" s="349"/>
      <c r="G69" s="252"/>
      <c r="H69" s="347"/>
      <c r="I69" s="344"/>
    </row>
    <row r="70" spans="2:9">
      <c r="B70" s="252" t="s">
        <v>23</v>
      </c>
      <c r="C70" s="252" t="s">
        <v>199</v>
      </c>
      <c r="D70" s="252">
        <v>968795</v>
      </c>
      <c r="E70" s="252"/>
      <c r="F70" s="349"/>
      <c r="G70" s="252"/>
      <c r="H70" s="348"/>
      <c r="I70" s="345"/>
    </row>
    <row r="71" spans="2:9">
      <c r="B71" s="252" t="s">
        <v>23</v>
      </c>
      <c r="C71" s="253" t="s">
        <v>215</v>
      </c>
      <c r="D71" s="252">
        <v>699078</v>
      </c>
      <c r="E71" s="252"/>
      <c r="F71" s="349">
        <f>6.23700000000008+3000</f>
        <v>3006.2370000000001</v>
      </c>
      <c r="G71" s="252"/>
      <c r="H71" s="346">
        <f>F71-(SUM(G71:G79))</f>
        <v>2911.9079999999999</v>
      </c>
      <c r="I71" s="343">
        <f>(SUM(G71:G79))/F71</f>
        <v>3.1377765625265071E-2</v>
      </c>
    </row>
    <row r="72" spans="2:9">
      <c r="B72" s="252" t="s">
        <v>23</v>
      </c>
      <c r="C72" s="253" t="s">
        <v>216</v>
      </c>
      <c r="D72" s="252">
        <v>967544</v>
      </c>
      <c r="E72" s="252"/>
      <c r="F72" s="349"/>
      <c r="G72" s="252">
        <v>86.69</v>
      </c>
      <c r="H72" s="347"/>
      <c r="I72" s="344"/>
    </row>
    <row r="73" spans="2:9">
      <c r="B73" s="252" t="s">
        <v>23</v>
      </c>
      <c r="C73" s="253" t="s">
        <v>217</v>
      </c>
      <c r="D73" s="252">
        <v>968274</v>
      </c>
      <c r="E73" s="252"/>
      <c r="F73" s="349"/>
      <c r="G73" s="252"/>
      <c r="H73" s="347"/>
      <c r="I73" s="344"/>
    </row>
    <row r="74" spans="2:9">
      <c r="B74" s="252" t="s">
        <v>23</v>
      </c>
      <c r="C74" s="253" t="s">
        <v>218</v>
      </c>
      <c r="D74" s="252">
        <v>968447</v>
      </c>
      <c r="E74" s="252"/>
      <c r="F74" s="349"/>
      <c r="G74" s="252"/>
      <c r="H74" s="347"/>
      <c r="I74" s="344"/>
    </row>
    <row r="75" spans="2:9">
      <c r="B75" s="252" t="s">
        <v>23</v>
      </c>
      <c r="C75" s="253" t="s">
        <v>219</v>
      </c>
      <c r="D75" s="252">
        <v>968466</v>
      </c>
      <c r="E75" s="252"/>
      <c r="F75" s="349"/>
      <c r="G75" s="252"/>
      <c r="H75" s="347"/>
      <c r="I75" s="344"/>
    </row>
    <row r="76" spans="2:9">
      <c r="B76" s="252" t="s">
        <v>23</v>
      </c>
      <c r="C76" s="253" t="s">
        <v>220</v>
      </c>
      <c r="D76" s="252">
        <v>969068</v>
      </c>
      <c r="E76" s="252"/>
      <c r="F76" s="349"/>
      <c r="G76" s="252">
        <v>7.6390000000000002</v>
      </c>
      <c r="H76" s="347"/>
      <c r="I76" s="344"/>
    </row>
    <row r="77" spans="2:9">
      <c r="B77" s="252" t="s">
        <v>23</v>
      </c>
      <c r="C77" s="253" t="s">
        <v>221</v>
      </c>
      <c r="D77" s="252">
        <v>698940</v>
      </c>
      <c r="E77" s="252"/>
      <c r="F77" s="349"/>
      <c r="G77" s="252"/>
      <c r="H77" s="347"/>
      <c r="I77" s="344"/>
    </row>
    <row r="78" spans="2:9">
      <c r="B78" s="252" t="s">
        <v>23</v>
      </c>
      <c r="C78" s="253" t="s">
        <v>222</v>
      </c>
      <c r="D78" s="252">
        <v>699329</v>
      </c>
      <c r="E78" s="252"/>
      <c r="F78" s="349"/>
      <c r="G78" s="252"/>
      <c r="H78" s="347"/>
      <c r="I78" s="344"/>
    </row>
    <row r="79" spans="2:9">
      <c r="B79" s="252" t="s">
        <v>23</v>
      </c>
      <c r="C79" s="253" t="s">
        <v>224</v>
      </c>
      <c r="D79" s="252">
        <v>699687</v>
      </c>
      <c r="E79" s="252"/>
      <c r="F79" s="349"/>
      <c r="G79" s="252"/>
      <c r="H79" s="348"/>
      <c r="I79" s="345"/>
    </row>
    <row r="80" spans="2:9">
      <c r="B80" s="252" t="s">
        <v>23</v>
      </c>
      <c r="C80" s="252" t="s">
        <v>226</v>
      </c>
      <c r="D80" s="252">
        <v>700316</v>
      </c>
      <c r="E80" s="252"/>
      <c r="F80" s="252">
        <v>25.132999999999981</v>
      </c>
      <c r="G80" s="252">
        <v>25.132999999999999</v>
      </c>
      <c r="H80" s="252">
        <f>F80-G80</f>
        <v>0</v>
      </c>
      <c r="I80" s="255">
        <f>G80/F80</f>
        <v>1.0000000000000007</v>
      </c>
    </row>
    <row r="81" spans="2:10">
      <c r="B81" s="252" t="s">
        <v>23</v>
      </c>
      <c r="C81" s="252" t="s">
        <v>223</v>
      </c>
      <c r="D81" s="252">
        <v>967665</v>
      </c>
      <c r="E81" s="252"/>
      <c r="F81" s="252">
        <f>29.0949999999999+827.654</f>
        <v>856.74899999999991</v>
      </c>
      <c r="G81" s="252">
        <v>685.23699999999997</v>
      </c>
      <c r="H81" s="252">
        <f t="shared" ref="H81:H87" si="0">F81-G81</f>
        <v>171.51199999999994</v>
      </c>
      <c r="I81" s="255">
        <f t="shared" ref="I81:I87" si="1">G81/F81</f>
        <v>0.7998106796739769</v>
      </c>
    </row>
    <row r="82" spans="2:10">
      <c r="B82" s="252" t="s">
        <v>23</v>
      </c>
      <c r="C82" s="252" t="s">
        <v>227</v>
      </c>
      <c r="D82" s="252">
        <v>699168</v>
      </c>
      <c r="E82" s="252"/>
      <c r="F82" s="252">
        <v>206.17200000000003</v>
      </c>
      <c r="G82" s="252">
        <v>60.343000000000004</v>
      </c>
      <c r="H82" s="252">
        <f t="shared" si="0"/>
        <v>145.82900000000001</v>
      </c>
      <c r="I82" s="255">
        <f t="shared" si="1"/>
        <v>0.29268280852880119</v>
      </c>
    </row>
    <row r="83" spans="2:10">
      <c r="B83" s="252" t="s">
        <v>23</v>
      </c>
      <c r="C83" s="252" t="s">
        <v>172</v>
      </c>
      <c r="D83" s="252">
        <v>956794</v>
      </c>
      <c r="E83" s="252"/>
      <c r="F83" s="252">
        <f>44.9640000000004+2234.984</f>
        <v>2279.9480000000003</v>
      </c>
      <c r="G83" s="252">
        <v>1576.848</v>
      </c>
      <c r="H83" s="252">
        <f t="shared" si="0"/>
        <v>703.10000000000036</v>
      </c>
      <c r="I83" s="255">
        <f t="shared" si="1"/>
        <v>0.69161577369308413</v>
      </c>
    </row>
    <row r="84" spans="2:10">
      <c r="B84" s="252" t="s">
        <v>23</v>
      </c>
      <c r="C84" s="252" t="s">
        <v>228</v>
      </c>
      <c r="D84" s="252">
        <v>699260</v>
      </c>
      <c r="E84" s="252"/>
      <c r="F84" s="252">
        <v>782.65700000000106</v>
      </c>
      <c r="G84" s="252">
        <v>782.65700000000004</v>
      </c>
      <c r="H84" s="252">
        <f t="shared" si="0"/>
        <v>1.0231815394945443E-12</v>
      </c>
      <c r="I84" s="255">
        <f t="shared" si="1"/>
        <v>0.99999999999999867</v>
      </c>
    </row>
    <row r="85" spans="2:10">
      <c r="B85" s="252" t="s">
        <v>23</v>
      </c>
      <c r="C85" s="252" t="s">
        <v>222</v>
      </c>
      <c r="D85" s="252">
        <v>699329</v>
      </c>
      <c r="E85" s="252"/>
      <c r="F85" s="252">
        <v>572.31999999999971</v>
      </c>
      <c r="G85" s="252">
        <v>422.06200000000001</v>
      </c>
      <c r="H85" s="252">
        <f t="shared" si="0"/>
        <v>150.2579999999997</v>
      </c>
      <c r="I85" s="255">
        <f t="shared" si="1"/>
        <v>0.73745806541794845</v>
      </c>
    </row>
    <row r="86" spans="2:10">
      <c r="B86" s="252" t="s">
        <v>23</v>
      </c>
      <c r="C86" s="252" t="s">
        <v>229</v>
      </c>
      <c r="D86" s="252">
        <v>699558</v>
      </c>
      <c r="E86" s="252"/>
      <c r="F86" s="252">
        <f>582.67+569.554</f>
        <v>1152.2239999999999</v>
      </c>
      <c r="G86" s="252">
        <v>1152.2239999999999</v>
      </c>
      <c r="H86" s="252">
        <f t="shared" si="0"/>
        <v>0</v>
      </c>
      <c r="I86" s="255">
        <f t="shared" si="1"/>
        <v>1</v>
      </c>
    </row>
    <row r="87" spans="2:10">
      <c r="B87" s="252" t="s">
        <v>23</v>
      </c>
      <c r="C87" s="252" t="s">
        <v>224</v>
      </c>
      <c r="D87" s="252">
        <v>699687</v>
      </c>
      <c r="E87" s="252"/>
      <c r="F87" s="252">
        <v>901.14400000000001</v>
      </c>
      <c r="G87" s="252">
        <v>783.12599999999998</v>
      </c>
      <c r="H87" s="252">
        <f t="shared" si="0"/>
        <v>118.01800000000003</v>
      </c>
      <c r="I87" s="255">
        <f t="shared" si="1"/>
        <v>0.8690353594985929</v>
      </c>
    </row>
    <row r="88" spans="2:10">
      <c r="B88" s="254" t="s">
        <v>231</v>
      </c>
      <c r="C88" s="254" t="s">
        <v>232</v>
      </c>
      <c r="D88" s="254">
        <v>698967</v>
      </c>
      <c r="E88" s="254"/>
      <c r="F88" s="349">
        <v>11154.124</v>
      </c>
      <c r="G88" s="254">
        <v>353.94499999999999</v>
      </c>
      <c r="H88" s="349">
        <f>F88-(SUM(G88:G103))</f>
        <v>6737.5070000000005</v>
      </c>
      <c r="I88" s="350">
        <f>(SUM(G88:G103))/F88</f>
        <v>0.39596269505341697</v>
      </c>
      <c r="J88" s="89">
        <v>9643.2720000000008</v>
      </c>
    </row>
    <row r="89" spans="2:10">
      <c r="B89" s="254" t="s">
        <v>231</v>
      </c>
      <c r="C89" s="254" t="s">
        <v>233</v>
      </c>
      <c r="D89" s="254">
        <v>967935</v>
      </c>
      <c r="E89" s="254"/>
      <c r="F89" s="349"/>
      <c r="G89" s="254">
        <v>127.19</v>
      </c>
      <c r="H89" s="349"/>
      <c r="I89" s="350"/>
    </row>
    <row r="90" spans="2:10">
      <c r="B90" s="254" t="s">
        <v>231</v>
      </c>
      <c r="C90" s="254" t="s">
        <v>234</v>
      </c>
      <c r="D90" s="254">
        <v>968808</v>
      </c>
      <c r="E90" s="254"/>
      <c r="F90" s="349"/>
      <c r="G90" s="254">
        <v>288.78500000000003</v>
      </c>
      <c r="H90" s="349"/>
      <c r="I90" s="350"/>
    </row>
    <row r="91" spans="2:10">
      <c r="B91" s="254" t="s">
        <v>231</v>
      </c>
      <c r="C91" s="254" t="s">
        <v>235</v>
      </c>
      <c r="D91" s="254">
        <v>967513</v>
      </c>
      <c r="E91" s="254"/>
      <c r="F91" s="349"/>
      <c r="G91" s="254">
        <v>319.31</v>
      </c>
      <c r="H91" s="349"/>
      <c r="I91" s="350"/>
    </row>
    <row r="92" spans="2:10">
      <c r="B92" s="254" t="s">
        <v>231</v>
      </c>
      <c r="C92" s="254" t="s">
        <v>236</v>
      </c>
      <c r="D92" s="254">
        <v>968789</v>
      </c>
      <c r="E92" s="254"/>
      <c r="F92" s="349"/>
      <c r="G92" s="254">
        <v>302.45999999999998</v>
      </c>
      <c r="H92" s="349"/>
      <c r="I92" s="350"/>
    </row>
    <row r="93" spans="2:10">
      <c r="B93" s="254" t="s">
        <v>231</v>
      </c>
      <c r="C93" s="254" t="s">
        <v>237</v>
      </c>
      <c r="D93" s="254">
        <v>919387</v>
      </c>
      <c r="E93" s="254"/>
      <c r="F93" s="349"/>
      <c r="G93" s="254">
        <v>194.56</v>
      </c>
      <c r="H93" s="349"/>
      <c r="I93" s="350"/>
    </row>
    <row r="94" spans="2:10">
      <c r="B94" s="254" t="s">
        <v>231</v>
      </c>
      <c r="C94" s="254" t="s">
        <v>238</v>
      </c>
      <c r="D94" s="254">
        <v>969203</v>
      </c>
      <c r="E94" s="254"/>
      <c r="F94" s="349"/>
      <c r="G94" s="254">
        <v>124.04</v>
      </c>
      <c r="H94" s="349"/>
      <c r="I94" s="350"/>
    </row>
    <row r="95" spans="2:10">
      <c r="B95" s="254" t="s">
        <v>231</v>
      </c>
      <c r="C95" s="254" t="s">
        <v>239</v>
      </c>
      <c r="D95" s="254">
        <v>969609</v>
      </c>
      <c r="E95" s="254"/>
      <c r="F95" s="349"/>
      <c r="G95" s="254">
        <v>365.399</v>
      </c>
      <c r="H95" s="349"/>
      <c r="I95" s="350"/>
    </row>
    <row r="96" spans="2:10">
      <c r="B96" s="254" t="s">
        <v>231</v>
      </c>
      <c r="C96" s="254" t="s">
        <v>240</v>
      </c>
      <c r="D96" s="254">
        <v>968831</v>
      </c>
      <c r="E96" s="254"/>
      <c r="F96" s="349"/>
      <c r="G96" s="254">
        <v>295.47500000000002</v>
      </c>
      <c r="H96" s="349"/>
      <c r="I96" s="350"/>
    </row>
    <row r="97" spans="2:9">
      <c r="B97" s="254" t="s">
        <v>231</v>
      </c>
      <c r="C97" s="254" t="s">
        <v>241</v>
      </c>
      <c r="D97" s="254">
        <v>966479</v>
      </c>
      <c r="E97" s="254"/>
      <c r="F97" s="349"/>
      <c r="G97" s="254">
        <v>524.33199999999999</v>
      </c>
      <c r="H97" s="349"/>
      <c r="I97" s="350"/>
    </row>
    <row r="98" spans="2:9">
      <c r="B98" s="254" t="s">
        <v>231</v>
      </c>
      <c r="C98" s="254" t="s">
        <v>242</v>
      </c>
      <c r="D98" s="254">
        <v>966548</v>
      </c>
      <c r="E98" s="254"/>
      <c r="F98" s="349"/>
      <c r="G98" s="254">
        <v>489.149</v>
      </c>
      <c r="H98" s="349"/>
      <c r="I98" s="350"/>
    </row>
    <row r="99" spans="2:9">
      <c r="B99" s="254" t="s">
        <v>231</v>
      </c>
      <c r="C99" s="254" t="s">
        <v>243</v>
      </c>
      <c r="D99" s="254">
        <v>699254</v>
      </c>
      <c r="E99" s="254"/>
      <c r="F99" s="349"/>
      <c r="G99" s="254">
        <v>231.31399999999999</v>
      </c>
      <c r="H99" s="349"/>
      <c r="I99" s="350"/>
    </row>
    <row r="100" spans="2:9">
      <c r="B100" s="254" t="s">
        <v>231</v>
      </c>
      <c r="C100" s="254" t="s">
        <v>244</v>
      </c>
      <c r="D100" s="254">
        <v>698811</v>
      </c>
      <c r="E100" s="254"/>
      <c r="F100" s="349"/>
      <c r="G100" s="254">
        <v>231.547</v>
      </c>
      <c r="H100" s="349"/>
      <c r="I100" s="350"/>
    </row>
    <row r="101" spans="2:9">
      <c r="B101" s="254" t="s">
        <v>231</v>
      </c>
      <c r="C101" s="254" t="s">
        <v>245</v>
      </c>
      <c r="D101" s="254">
        <v>699486</v>
      </c>
      <c r="E101" s="254"/>
      <c r="F101" s="349"/>
      <c r="G101" s="254">
        <v>290.892</v>
      </c>
      <c r="H101" s="349"/>
      <c r="I101" s="350"/>
    </row>
    <row r="102" spans="2:9">
      <c r="B102" s="254" t="s">
        <v>231</v>
      </c>
      <c r="C102" s="254" t="s">
        <v>234</v>
      </c>
      <c r="D102" s="254">
        <v>969667</v>
      </c>
      <c r="E102" s="254"/>
      <c r="F102" s="349"/>
      <c r="H102" s="349"/>
      <c r="I102" s="350"/>
    </row>
    <row r="103" spans="2:9">
      <c r="B103" s="254" t="s">
        <v>231</v>
      </c>
      <c r="C103" s="254" t="s">
        <v>246</v>
      </c>
      <c r="D103" s="254">
        <v>699988</v>
      </c>
      <c r="E103" s="254"/>
      <c r="F103" s="349"/>
      <c r="G103" s="254">
        <v>278.21899999999999</v>
      </c>
      <c r="H103" s="349"/>
      <c r="I103" s="350"/>
    </row>
    <row r="104" spans="2:9">
      <c r="B104" s="254" t="s">
        <v>231</v>
      </c>
      <c r="C104" s="254" t="s">
        <v>247</v>
      </c>
      <c r="D104" s="254">
        <v>967226</v>
      </c>
      <c r="E104" s="254"/>
      <c r="F104" s="349">
        <v>17715.269</v>
      </c>
      <c r="G104" s="254">
        <v>393.20600000000002</v>
      </c>
      <c r="H104" s="349">
        <f>F104-(SUM(G104:G117))</f>
        <v>12678.444</v>
      </c>
      <c r="I104" s="350">
        <f>(SUM(G104:G117))/F104</f>
        <v>0.28432111304660401</v>
      </c>
    </row>
    <row r="105" spans="2:9">
      <c r="B105" s="254" t="s">
        <v>231</v>
      </c>
      <c r="C105" s="254" t="s">
        <v>248</v>
      </c>
      <c r="D105" s="254">
        <v>967476</v>
      </c>
      <c r="E105" s="254"/>
      <c r="F105" s="349"/>
      <c r="G105" s="254">
        <v>17.559999999999999</v>
      </c>
      <c r="H105" s="349"/>
      <c r="I105" s="350"/>
    </row>
    <row r="106" spans="2:9">
      <c r="B106" s="254" t="s">
        <v>231</v>
      </c>
      <c r="C106" s="254" t="s">
        <v>249</v>
      </c>
      <c r="D106" s="254">
        <v>961805</v>
      </c>
      <c r="E106" s="254"/>
      <c r="F106" s="349"/>
      <c r="G106" s="254">
        <v>430.07600000000002</v>
      </c>
      <c r="H106" s="349"/>
      <c r="I106" s="350"/>
    </row>
    <row r="107" spans="2:9">
      <c r="B107" s="254" t="s">
        <v>231</v>
      </c>
      <c r="C107" s="254" t="s">
        <v>250</v>
      </c>
      <c r="D107" s="254">
        <v>961948</v>
      </c>
      <c r="E107" s="254"/>
      <c r="F107" s="349"/>
      <c r="G107" s="254"/>
      <c r="H107" s="349"/>
      <c r="I107" s="350"/>
    </row>
    <row r="108" spans="2:9">
      <c r="B108" s="254" t="s">
        <v>231</v>
      </c>
      <c r="C108" s="254" t="s">
        <v>251</v>
      </c>
      <c r="D108" s="254">
        <v>968122</v>
      </c>
      <c r="E108" s="254"/>
      <c r="F108" s="349"/>
      <c r="G108" s="254">
        <v>790.03399999999999</v>
      </c>
      <c r="H108" s="349"/>
      <c r="I108" s="350"/>
    </row>
    <row r="109" spans="2:9">
      <c r="B109" s="254" t="s">
        <v>231</v>
      </c>
      <c r="C109" s="254" t="s">
        <v>252</v>
      </c>
      <c r="D109" s="254">
        <v>697302</v>
      </c>
      <c r="E109" s="254"/>
      <c r="F109" s="349"/>
      <c r="G109" s="254">
        <v>396.23599999999999</v>
      </c>
      <c r="H109" s="349"/>
      <c r="I109" s="350"/>
    </row>
    <row r="110" spans="2:9">
      <c r="B110" s="254" t="s">
        <v>231</v>
      </c>
      <c r="C110" s="254" t="s">
        <v>253</v>
      </c>
      <c r="D110" s="254">
        <v>919376</v>
      </c>
      <c r="E110" s="254"/>
      <c r="F110" s="349"/>
      <c r="G110" s="254">
        <v>231.33</v>
      </c>
      <c r="H110" s="349"/>
      <c r="I110" s="350"/>
    </row>
    <row r="111" spans="2:9">
      <c r="B111" s="254" t="s">
        <v>231</v>
      </c>
      <c r="C111" s="254" t="s">
        <v>254</v>
      </c>
      <c r="D111" s="254">
        <v>958248</v>
      </c>
      <c r="E111" s="254"/>
      <c r="F111" s="349"/>
      <c r="G111" s="254">
        <v>217.08500000000001</v>
      </c>
      <c r="H111" s="349"/>
      <c r="I111" s="350"/>
    </row>
    <row r="112" spans="2:9">
      <c r="B112" s="254" t="s">
        <v>231</v>
      </c>
      <c r="C112" s="254" t="s">
        <v>255</v>
      </c>
      <c r="D112" s="254">
        <v>966135</v>
      </c>
      <c r="E112" s="254"/>
      <c r="F112" s="349"/>
      <c r="G112" s="254">
        <v>523.66999999999996</v>
      </c>
      <c r="H112" s="349"/>
      <c r="I112" s="350"/>
    </row>
    <row r="113" spans="2:9">
      <c r="B113" s="254" t="s">
        <v>231</v>
      </c>
      <c r="C113" s="254" t="s">
        <v>256</v>
      </c>
      <c r="D113" s="254">
        <v>969234</v>
      </c>
      <c r="E113" s="254"/>
      <c r="F113" s="349"/>
      <c r="G113" s="254"/>
      <c r="H113" s="349"/>
      <c r="I113" s="350"/>
    </row>
    <row r="114" spans="2:9">
      <c r="B114" s="254" t="s">
        <v>231</v>
      </c>
      <c r="C114" s="254" t="s">
        <v>257</v>
      </c>
      <c r="D114" s="254">
        <v>698468</v>
      </c>
      <c r="E114" s="254"/>
      <c r="F114" s="349"/>
      <c r="G114" s="254">
        <v>328.10700000000003</v>
      </c>
      <c r="H114" s="349"/>
      <c r="I114" s="350"/>
    </row>
    <row r="115" spans="2:9">
      <c r="B115" s="254" t="s">
        <v>231</v>
      </c>
      <c r="C115" s="254" t="s">
        <v>258</v>
      </c>
      <c r="D115" s="254">
        <v>698513</v>
      </c>
      <c r="E115" s="254"/>
      <c r="F115" s="349"/>
      <c r="G115" s="254">
        <v>673.41499999999996</v>
      </c>
      <c r="H115" s="349"/>
      <c r="I115" s="350"/>
    </row>
    <row r="116" spans="2:9">
      <c r="B116" s="254" t="s">
        <v>231</v>
      </c>
      <c r="C116" s="254" t="s">
        <v>259</v>
      </c>
      <c r="D116" s="254">
        <v>968960</v>
      </c>
      <c r="E116" s="254"/>
      <c r="F116" s="349"/>
      <c r="G116" s="254">
        <v>518.18600000000004</v>
      </c>
      <c r="H116" s="349"/>
      <c r="I116" s="350"/>
    </row>
    <row r="117" spans="2:9">
      <c r="B117" s="254" t="s">
        <v>231</v>
      </c>
      <c r="C117" s="254" t="s">
        <v>260</v>
      </c>
      <c r="D117" s="254">
        <v>968156</v>
      </c>
      <c r="E117" s="254"/>
      <c r="F117" s="349"/>
      <c r="G117" s="254">
        <v>517.91999999999996</v>
      </c>
      <c r="H117" s="349"/>
      <c r="I117" s="350"/>
    </row>
    <row r="118" spans="2:9">
      <c r="B118" s="254" t="s">
        <v>231</v>
      </c>
      <c r="C118" s="254" t="s">
        <v>261</v>
      </c>
      <c r="D118" s="254">
        <v>700305</v>
      </c>
      <c r="E118" s="254"/>
      <c r="F118" s="254">
        <v>600</v>
      </c>
      <c r="G118" s="254">
        <v>189.83</v>
      </c>
      <c r="H118" s="254">
        <f t="shared" ref="H118" si="2">F118-G118</f>
        <v>410.16999999999996</v>
      </c>
      <c r="I118" s="255">
        <f t="shared" ref="I118" si="3">G118/F118</f>
        <v>0.31638333333333335</v>
      </c>
    </row>
    <row r="119" spans="2:9">
      <c r="B119" s="254" t="s">
        <v>29</v>
      </c>
      <c r="C119" s="257" t="s">
        <v>262</v>
      </c>
      <c r="D119" s="257">
        <v>950657</v>
      </c>
      <c r="E119" s="254"/>
      <c r="F119" s="351">
        <v>1.5250000000005457</v>
      </c>
      <c r="G119" s="254"/>
      <c r="H119" s="349">
        <f>F119-(SUM(G119:G128))</f>
        <v>1.5250000000005457</v>
      </c>
      <c r="I119" s="350">
        <f>(SUM(G119:G128))/F119</f>
        <v>0</v>
      </c>
    </row>
    <row r="120" spans="2:9">
      <c r="B120" s="254" t="s">
        <v>29</v>
      </c>
      <c r="C120" s="257" t="s">
        <v>263</v>
      </c>
      <c r="D120" s="257">
        <v>969394</v>
      </c>
      <c r="E120" s="254"/>
      <c r="F120" s="351"/>
      <c r="G120" s="254"/>
      <c r="H120" s="349"/>
      <c r="I120" s="350"/>
    </row>
    <row r="121" spans="2:9">
      <c r="B121" s="254" t="s">
        <v>29</v>
      </c>
      <c r="C121" s="257" t="s">
        <v>264</v>
      </c>
      <c r="D121" s="257">
        <v>960352</v>
      </c>
      <c r="E121" s="254"/>
      <c r="F121" s="351"/>
      <c r="G121" s="254"/>
      <c r="H121" s="349"/>
      <c r="I121" s="350"/>
    </row>
    <row r="122" spans="2:9">
      <c r="B122" s="254" t="s">
        <v>29</v>
      </c>
      <c r="C122" s="257" t="s">
        <v>265</v>
      </c>
      <c r="D122" s="257">
        <v>961267</v>
      </c>
      <c r="E122" s="254"/>
      <c r="F122" s="351"/>
      <c r="G122" s="254"/>
      <c r="H122" s="349"/>
      <c r="I122" s="350"/>
    </row>
    <row r="123" spans="2:9">
      <c r="B123" s="254" t="s">
        <v>29</v>
      </c>
      <c r="C123" s="257" t="s">
        <v>266</v>
      </c>
      <c r="D123" s="257">
        <v>969269</v>
      </c>
      <c r="E123" s="254"/>
      <c r="F123" s="351"/>
      <c r="G123" s="254"/>
      <c r="H123" s="349"/>
      <c r="I123" s="350"/>
    </row>
    <row r="124" spans="2:9">
      <c r="B124" s="254" t="s">
        <v>29</v>
      </c>
      <c r="C124" s="257" t="s">
        <v>267</v>
      </c>
      <c r="D124" s="257">
        <v>963710</v>
      </c>
      <c r="E124" s="254"/>
      <c r="F124" s="351"/>
      <c r="G124" s="254"/>
      <c r="H124" s="349"/>
      <c r="I124" s="350"/>
    </row>
    <row r="125" spans="2:9">
      <c r="B125" s="254" t="s">
        <v>29</v>
      </c>
      <c r="C125" s="257" t="s">
        <v>268</v>
      </c>
      <c r="D125" s="257">
        <v>699245</v>
      </c>
      <c r="E125" s="254"/>
      <c r="F125" s="351"/>
      <c r="G125" s="254"/>
      <c r="H125" s="349"/>
      <c r="I125" s="350"/>
    </row>
    <row r="126" spans="2:9">
      <c r="B126" s="254" t="s">
        <v>29</v>
      </c>
      <c r="C126" s="257" t="s">
        <v>269</v>
      </c>
      <c r="D126" s="257">
        <v>967677</v>
      </c>
      <c r="E126" s="254"/>
      <c r="F126" s="351"/>
      <c r="G126" s="254"/>
      <c r="H126" s="349"/>
      <c r="I126" s="350"/>
    </row>
    <row r="127" spans="2:9">
      <c r="B127" s="254" t="s">
        <v>29</v>
      </c>
      <c r="C127" s="257" t="s">
        <v>270</v>
      </c>
      <c r="D127" s="257">
        <v>955847</v>
      </c>
      <c r="E127" s="254"/>
      <c r="F127" s="351"/>
      <c r="G127" s="254"/>
      <c r="H127" s="349"/>
      <c r="I127" s="350"/>
    </row>
    <row r="128" spans="2:9">
      <c r="B128" s="254" t="s">
        <v>29</v>
      </c>
      <c r="C128" s="257" t="s">
        <v>271</v>
      </c>
      <c r="D128" s="257">
        <v>955947</v>
      </c>
      <c r="E128" s="254"/>
      <c r="F128" s="351"/>
      <c r="G128" s="254"/>
      <c r="H128" s="349"/>
      <c r="I128" s="350"/>
    </row>
    <row r="129" spans="2:9">
      <c r="B129" s="254" t="s">
        <v>29</v>
      </c>
      <c r="C129" s="258" t="s">
        <v>267</v>
      </c>
      <c r="D129" s="258">
        <v>963710</v>
      </c>
      <c r="E129" s="254"/>
      <c r="F129" s="352">
        <v>512.04399999999998</v>
      </c>
      <c r="G129" s="254"/>
      <c r="H129" s="349">
        <f>F129-(G129+G130+G131+G132)</f>
        <v>512.04399999999998</v>
      </c>
      <c r="I129" s="350">
        <f>(G129+G130+G131+G132)/F129</f>
        <v>0</v>
      </c>
    </row>
    <row r="130" spans="2:9">
      <c r="B130" s="254" t="s">
        <v>29</v>
      </c>
      <c r="C130" s="258" t="s">
        <v>270</v>
      </c>
      <c r="D130" s="258">
        <v>955847</v>
      </c>
      <c r="E130" s="254"/>
      <c r="F130" s="352"/>
      <c r="G130" s="254"/>
      <c r="H130" s="349"/>
      <c r="I130" s="350"/>
    </row>
    <row r="131" spans="2:9">
      <c r="B131" s="254" t="s">
        <v>29</v>
      </c>
      <c r="C131" s="258" t="s">
        <v>266</v>
      </c>
      <c r="D131" s="258">
        <v>969269</v>
      </c>
      <c r="E131" s="254"/>
      <c r="F131" s="352"/>
      <c r="G131" s="254"/>
      <c r="H131" s="349"/>
      <c r="I131" s="350"/>
    </row>
    <row r="132" spans="2:9">
      <c r="B132" s="254" t="s">
        <v>29</v>
      </c>
      <c r="C132" s="258" t="s">
        <v>269</v>
      </c>
      <c r="D132" s="258">
        <v>967677</v>
      </c>
      <c r="E132" s="254"/>
      <c r="F132" s="352"/>
      <c r="G132" s="254"/>
      <c r="H132" s="349"/>
      <c r="I132" s="350"/>
    </row>
    <row r="133" spans="2:9">
      <c r="B133" s="254" t="s">
        <v>29</v>
      </c>
      <c r="C133" s="258" t="s">
        <v>267</v>
      </c>
      <c r="D133" s="258">
        <v>963710</v>
      </c>
      <c r="E133" s="254"/>
      <c r="F133" s="352">
        <v>240</v>
      </c>
      <c r="G133" s="254"/>
      <c r="H133" s="349">
        <f>F133-(G133+G134+G135+G136)</f>
        <v>240</v>
      </c>
      <c r="I133" s="350">
        <f>(G133+G134+G135+G136)/F133</f>
        <v>0</v>
      </c>
    </row>
    <row r="134" spans="2:9">
      <c r="B134" s="254" t="s">
        <v>29</v>
      </c>
      <c r="C134" s="258" t="s">
        <v>269</v>
      </c>
      <c r="D134" s="258">
        <v>967677</v>
      </c>
      <c r="E134" s="254"/>
      <c r="F134" s="352"/>
      <c r="G134" s="254"/>
      <c r="H134" s="349"/>
      <c r="I134" s="350"/>
    </row>
    <row r="135" spans="2:9">
      <c r="B135" s="254" t="s">
        <v>29</v>
      </c>
      <c r="C135" s="258" t="s">
        <v>263</v>
      </c>
      <c r="D135" s="258">
        <v>969394</v>
      </c>
      <c r="E135" s="254"/>
      <c r="F135" s="352"/>
      <c r="G135" s="254"/>
      <c r="H135" s="349"/>
      <c r="I135" s="350"/>
    </row>
    <row r="136" spans="2:9">
      <c r="B136" s="254" t="s">
        <v>29</v>
      </c>
      <c r="C136" s="258" t="s">
        <v>272</v>
      </c>
      <c r="D136" s="258">
        <v>968796</v>
      </c>
      <c r="E136" s="254"/>
      <c r="F136" s="352"/>
      <c r="G136" s="254"/>
      <c r="H136" s="349"/>
      <c r="I136" s="350"/>
    </row>
    <row r="137" spans="2:9">
      <c r="B137" s="254" t="s">
        <v>29</v>
      </c>
      <c r="C137" s="258" t="s">
        <v>265</v>
      </c>
      <c r="D137" s="258">
        <v>961267</v>
      </c>
      <c r="E137" s="254"/>
      <c r="F137" s="352">
        <v>294.423</v>
      </c>
      <c r="G137" s="254"/>
      <c r="H137" s="349">
        <f>F137-(G137+G138+G139+G140+G141)</f>
        <v>294.423</v>
      </c>
      <c r="I137" s="350">
        <f>(G137+G138+G139+G140+G141)/F137</f>
        <v>0</v>
      </c>
    </row>
    <row r="138" spans="2:9">
      <c r="B138" s="254" t="s">
        <v>29</v>
      </c>
      <c r="C138" s="258" t="s">
        <v>266</v>
      </c>
      <c r="D138" s="258">
        <v>969269</v>
      </c>
      <c r="E138" s="254"/>
      <c r="F138" s="352"/>
      <c r="G138" s="254"/>
      <c r="H138" s="349"/>
      <c r="I138" s="350"/>
    </row>
    <row r="139" spans="2:9">
      <c r="B139" s="254" t="s">
        <v>29</v>
      </c>
      <c r="C139" s="258" t="s">
        <v>273</v>
      </c>
      <c r="D139" s="258">
        <v>698955</v>
      </c>
      <c r="E139" s="254"/>
      <c r="F139" s="352"/>
      <c r="G139" s="254"/>
      <c r="H139" s="349"/>
      <c r="I139" s="350"/>
    </row>
    <row r="140" spans="2:9">
      <c r="B140" s="254" t="s">
        <v>29</v>
      </c>
      <c r="C140" s="258" t="s">
        <v>274</v>
      </c>
      <c r="D140" s="258">
        <v>699495</v>
      </c>
      <c r="E140" s="254"/>
      <c r="F140" s="352"/>
      <c r="G140" s="254"/>
      <c r="H140" s="349"/>
      <c r="I140" s="350"/>
    </row>
    <row r="141" spans="2:9">
      <c r="B141" s="254" t="s">
        <v>29</v>
      </c>
      <c r="C141" s="258" t="s">
        <v>275</v>
      </c>
      <c r="D141" s="258">
        <v>697575</v>
      </c>
      <c r="E141" s="254"/>
      <c r="F141" s="352"/>
      <c r="G141" s="254"/>
      <c r="H141" s="349"/>
      <c r="I141" s="350"/>
    </row>
    <row r="142" spans="2:9">
      <c r="B142" s="254" t="s">
        <v>29</v>
      </c>
      <c r="C142" s="258" t="s">
        <v>276</v>
      </c>
      <c r="D142" s="258">
        <v>951110</v>
      </c>
      <c r="E142" s="254"/>
      <c r="F142" s="352">
        <v>268.82100000000003</v>
      </c>
      <c r="G142" s="254"/>
      <c r="H142" s="349">
        <f>F142-(G142+G143+G144+G145)</f>
        <v>268.82100000000003</v>
      </c>
      <c r="I142" s="350">
        <f>(G142+G143+G144+G145)/F142</f>
        <v>0</v>
      </c>
    </row>
    <row r="143" spans="2:9">
      <c r="B143" s="254" t="s">
        <v>29</v>
      </c>
      <c r="C143" s="258" t="s">
        <v>267</v>
      </c>
      <c r="D143" s="258">
        <v>963710</v>
      </c>
      <c r="E143" s="254"/>
      <c r="F143" s="352"/>
      <c r="G143" s="254"/>
      <c r="H143" s="349"/>
      <c r="I143" s="350"/>
    </row>
    <row r="144" spans="2:9">
      <c r="B144" s="254" t="s">
        <v>29</v>
      </c>
      <c r="C144" s="258" t="s">
        <v>274</v>
      </c>
      <c r="D144" s="258">
        <v>699495</v>
      </c>
      <c r="E144" s="254"/>
      <c r="F144" s="352"/>
      <c r="G144" s="254"/>
      <c r="H144" s="349"/>
      <c r="I144" s="350"/>
    </row>
    <row r="145" spans="2:9">
      <c r="B145" s="254" t="s">
        <v>29</v>
      </c>
      <c r="C145" s="258" t="s">
        <v>272</v>
      </c>
      <c r="D145" s="258">
        <v>968796</v>
      </c>
      <c r="E145" s="254"/>
      <c r="F145" s="352"/>
      <c r="G145" s="254"/>
      <c r="H145" s="349"/>
      <c r="I145" s="350"/>
    </row>
    <row r="146" spans="2:9">
      <c r="B146" s="254" t="s">
        <v>29</v>
      </c>
      <c r="C146" s="257" t="s">
        <v>277</v>
      </c>
      <c r="D146" s="257">
        <v>968468</v>
      </c>
      <c r="E146" s="254"/>
      <c r="F146" s="257">
        <v>192.01499999999999</v>
      </c>
      <c r="G146" s="254"/>
      <c r="H146" s="254">
        <f t="shared" ref="H146" si="4">F146-G146</f>
        <v>192.01499999999999</v>
      </c>
      <c r="I146" s="255">
        <f t="shared" ref="I146" si="5">G146/F146</f>
        <v>0</v>
      </c>
    </row>
    <row r="147" spans="2:9">
      <c r="B147" s="254" t="s">
        <v>27</v>
      </c>
      <c r="C147" s="257" t="s">
        <v>278</v>
      </c>
      <c r="D147" s="257">
        <v>697578</v>
      </c>
      <c r="E147" s="254"/>
      <c r="F147" s="351">
        <v>99.165000000000873</v>
      </c>
      <c r="G147" s="254"/>
      <c r="H147" s="349">
        <f>F147-(SUM(G147:G163))</f>
        <v>-9.9999999912370185E-4</v>
      </c>
      <c r="I147" s="350">
        <f>(SUM(G147:G163))/F147</f>
        <v>1.000010084203087</v>
      </c>
    </row>
    <row r="148" spans="2:9">
      <c r="B148" s="254" t="s">
        <v>27</v>
      </c>
      <c r="C148" s="257" t="s">
        <v>279</v>
      </c>
      <c r="D148" s="257">
        <v>901588</v>
      </c>
      <c r="E148" s="254"/>
      <c r="F148" s="351"/>
      <c r="G148" s="254"/>
      <c r="H148" s="349"/>
      <c r="I148" s="350"/>
    </row>
    <row r="149" spans="2:9">
      <c r="B149" s="254" t="s">
        <v>27</v>
      </c>
      <c r="C149" s="257" t="s">
        <v>280</v>
      </c>
      <c r="D149" s="257">
        <v>920731</v>
      </c>
      <c r="E149" s="254"/>
      <c r="F149" s="351"/>
      <c r="G149" s="254"/>
      <c r="H149" s="349"/>
      <c r="I149" s="350"/>
    </row>
    <row r="150" spans="2:9">
      <c r="B150" s="254" t="s">
        <v>27</v>
      </c>
      <c r="C150" s="257" t="s">
        <v>281</v>
      </c>
      <c r="D150" s="257">
        <v>966397</v>
      </c>
      <c r="E150" s="254"/>
      <c r="F150" s="351"/>
      <c r="G150" s="254"/>
      <c r="H150" s="349"/>
      <c r="I150" s="350"/>
    </row>
    <row r="151" spans="2:9">
      <c r="B151" s="254" t="s">
        <v>27</v>
      </c>
      <c r="C151" s="259" t="s">
        <v>282</v>
      </c>
      <c r="D151" s="259">
        <v>964933</v>
      </c>
      <c r="E151" s="254"/>
      <c r="F151" s="351"/>
      <c r="G151" s="254"/>
      <c r="H151" s="349"/>
      <c r="I151" s="350"/>
    </row>
    <row r="152" spans="2:9">
      <c r="B152" s="254" t="s">
        <v>27</v>
      </c>
      <c r="C152" s="259" t="s">
        <v>283</v>
      </c>
      <c r="D152" s="259">
        <v>956427</v>
      </c>
      <c r="E152" s="254"/>
      <c r="F152" s="351"/>
      <c r="G152" s="254"/>
      <c r="H152" s="349"/>
      <c r="I152" s="350"/>
    </row>
    <row r="153" spans="2:9">
      <c r="B153" s="254" t="s">
        <v>27</v>
      </c>
      <c r="C153" s="259" t="s">
        <v>284</v>
      </c>
      <c r="D153" s="259">
        <v>960563</v>
      </c>
      <c r="E153" s="254"/>
      <c r="F153" s="351"/>
      <c r="G153" s="254"/>
      <c r="H153" s="349"/>
      <c r="I153" s="350"/>
    </row>
    <row r="154" spans="2:9">
      <c r="B154" s="254" t="s">
        <v>27</v>
      </c>
      <c r="C154" s="259" t="s">
        <v>285</v>
      </c>
      <c r="D154" s="259">
        <v>960673</v>
      </c>
      <c r="E154" s="254"/>
      <c r="F154" s="351"/>
      <c r="G154" s="254"/>
      <c r="H154" s="349"/>
      <c r="I154" s="350"/>
    </row>
    <row r="155" spans="2:9">
      <c r="B155" s="254" t="s">
        <v>27</v>
      </c>
      <c r="C155" s="259" t="s">
        <v>286</v>
      </c>
      <c r="D155" s="259">
        <v>968871</v>
      </c>
      <c r="E155" s="254"/>
      <c r="F155" s="351"/>
      <c r="G155" s="254">
        <v>69.075999999999993</v>
      </c>
      <c r="H155" s="349"/>
      <c r="I155" s="350"/>
    </row>
    <row r="156" spans="2:9">
      <c r="B156" s="254" t="s">
        <v>27</v>
      </c>
      <c r="C156" s="259" t="s">
        <v>287</v>
      </c>
      <c r="D156" s="259">
        <v>923266</v>
      </c>
      <c r="E156" s="254"/>
      <c r="F156" s="351"/>
      <c r="G156" s="254"/>
      <c r="H156" s="349"/>
      <c r="I156" s="350"/>
    </row>
    <row r="157" spans="2:9">
      <c r="B157" s="254" t="s">
        <v>27</v>
      </c>
      <c r="C157" s="259" t="s">
        <v>288</v>
      </c>
      <c r="D157" s="259">
        <v>966707</v>
      </c>
      <c r="E157" s="254"/>
      <c r="F157" s="351"/>
      <c r="G157" s="254"/>
      <c r="H157" s="349"/>
      <c r="I157" s="350"/>
    </row>
    <row r="158" spans="2:9">
      <c r="B158" s="254" t="s">
        <v>27</v>
      </c>
      <c r="C158" s="259" t="s">
        <v>289</v>
      </c>
      <c r="D158" s="259">
        <v>954989</v>
      </c>
      <c r="E158" s="254"/>
      <c r="F158" s="351"/>
      <c r="G158" s="254"/>
      <c r="H158" s="349"/>
      <c r="I158" s="350"/>
    </row>
    <row r="159" spans="2:9">
      <c r="B159" s="254" t="s">
        <v>27</v>
      </c>
      <c r="C159" s="259" t="s">
        <v>290</v>
      </c>
      <c r="D159" s="259">
        <v>698592</v>
      </c>
      <c r="E159" s="254"/>
      <c r="F159" s="351"/>
      <c r="G159" s="254"/>
      <c r="H159" s="349"/>
      <c r="I159" s="350"/>
    </row>
    <row r="160" spans="2:9">
      <c r="B160" s="254" t="s">
        <v>27</v>
      </c>
      <c r="C160" s="259" t="s">
        <v>291</v>
      </c>
      <c r="D160" s="259">
        <v>958708</v>
      </c>
      <c r="E160" s="254"/>
      <c r="F160" s="351"/>
      <c r="G160" s="254">
        <v>7.89</v>
      </c>
      <c r="H160" s="349"/>
      <c r="I160" s="350"/>
    </row>
    <row r="161" spans="2:9">
      <c r="B161" s="254" t="s">
        <v>27</v>
      </c>
      <c r="C161" s="259" t="s">
        <v>292</v>
      </c>
      <c r="D161" s="259">
        <v>966095</v>
      </c>
      <c r="E161" s="254"/>
      <c r="F161" s="351"/>
      <c r="G161" s="254">
        <v>22.2</v>
      </c>
      <c r="H161" s="349"/>
      <c r="I161" s="350"/>
    </row>
    <row r="162" spans="2:9">
      <c r="B162" s="254" t="s">
        <v>27</v>
      </c>
      <c r="C162" s="257" t="s">
        <v>293</v>
      </c>
      <c r="D162" s="257">
        <v>953023</v>
      </c>
      <c r="E162" s="254"/>
      <c r="F162" s="351"/>
      <c r="G162" s="254"/>
      <c r="H162" s="349"/>
      <c r="I162" s="350"/>
    </row>
    <row r="163" spans="2:9">
      <c r="B163" s="254" t="s">
        <v>27</v>
      </c>
      <c r="C163" s="257" t="s">
        <v>294</v>
      </c>
      <c r="D163" s="257">
        <v>950875</v>
      </c>
      <c r="E163" s="254"/>
      <c r="F163" s="351"/>
      <c r="G163" s="254"/>
      <c r="H163" s="349"/>
      <c r="I163" s="350"/>
    </row>
    <row r="164" spans="2:9">
      <c r="B164" s="254" t="s">
        <v>27</v>
      </c>
      <c r="C164" s="257" t="s">
        <v>295</v>
      </c>
      <c r="D164" s="257">
        <v>698764</v>
      </c>
      <c r="E164" s="254"/>
      <c r="F164" s="351">
        <f>5.21000000000004+0.588000000000022+327.18</f>
        <v>332.97800000000007</v>
      </c>
      <c r="G164" s="254"/>
      <c r="H164" s="349">
        <f>F164-(G164+G165+G166+G167+G168+G169)</f>
        <v>0</v>
      </c>
      <c r="I164" s="350">
        <f>(G164+G165+G166+G167+G168+G169)/F164</f>
        <v>0.99999999999999978</v>
      </c>
    </row>
    <row r="165" spans="2:9">
      <c r="B165" s="254" t="s">
        <v>27</v>
      </c>
      <c r="C165" s="257" t="s">
        <v>296</v>
      </c>
      <c r="D165" s="257">
        <v>965267</v>
      </c>
      <c r="E165" s="254"/>
      <c r="F165" s="351"/>
      <c r="G165" s="254"/>
      <c r="H165" s="349"/>
      <c r="I165" s="350"/>
    </row>
    <row r="166" spans="2:9">
      <c r="B166" s="254" t="s">
        <v>27</v>
      </c>
      <c r="C166" s="257" t="s">
        <v>297</v>
      </c>
      <c r="D166" s="257">
        <v>969425</v>
      </c>
      <c r="E166" s="254"/>
      <c r="F166" s="351"/>
      <c r="G166" s="254">
        <v>48.381999999999998</v>
      </c>
      <c r="H166" s="349"/>
      <c r="I166" s="350"/>
    </row>
    <row r="167" spans="2:9">
      <c r="B167" s="254" t="s">
        <v>27</v>
      </c>
      <c r="C167" s="257" t="s">
        <v>298</v>
      </c>
      <c r="D167" s="257">
        <v>968930</v>
      </c>
      <c r="E167" s="254"/>
      <c r="F167" s="351"/>
      <c r="G167" s="254">
        <v>118.04599999999999</v>
      </c>
      <c r="H167" s="349"/>
      <c r="I167" s="350"/>
    </row>
    <row r="168" spans="2:9">
      <c r="B168" s="254" t="s">
        <v>27</v>
      </c>
      <c r="C168" s="257" t="s">
        <v>299</v>
      </c>
      <c r="D168" s="257">
        <v>968704</v>
      </c>
      <c r="E168" s="254"/>
      <c r="F168" s="351"/>
      <c r="G168" s="254">
        <v>89.997</v>
      </c>
      <c r="H168" s="349"/>
      <c r="I168" s="350"/>
    </row>
    <row r="169" spans="2:9">
      <c r="B169" s="254" t="s">
        <v>27</v>
      </c>
      <c r="C169" s="257" t="s">
        <v>300</v>
      </c>
      <c r="D169" s="257">
        <v>957378</v>
      </c>
      <c r="E169" s="254"/>
      <c r="F169" s="351"/>
      <c r="G169" s="254">
        <v>76.552999999999997</v>
      </c>
      <c r="H169" s="349"/>
      <c r="I169" s="350"/>
    </row>
    <row r="170" spans="2:9">
      <c r="B170" s="254" t="s">
        <v>27</v>
      </c>
      <c r="C170" s="257" t="s">
        <v>296</v>
      </c>
      <c r="D170" s="257">
        <v>965267</v>
      </c>
      <c r="E170" s="254"/>
      <c r="F170" s="351">
        <v>26.523000000000138</v>
      </c>
      <c r="G170" s="254"/>
      <c r="H170" s="349">
        <f>F170-(SUM(G170:G179))</f>
        <v>1.3855583347321954E-13</v>
      </c>
      <c r="I170" s="350">
        <f>(SUM(G170:G179))/F170</f>
        <v>0.99999999999999478</v>
      </c>
    </row>
    <row r="171" spans="2:9">
      <c r="B171" s="254" t="s">
        <v>27</v>
      </c>
      <c r="C171" s="257" t="s">
        <v>297</v>
      </c>
      <c r="D171" s="257">
        <v>969425</v>
      </c>
      <c r="E171" s="254"/>
      <c r="F171" s="351"/>
      <c r="G171" s="254"/>
      <c r="H171" s="349"/>
      <c r="I171" s="350"/>
    </row>
    <row r="172" spans="2:9">
      <c r="B172" s="254" t="s">
        <v>27</v>
      </c>
      <c r="C172" s="257" t="s">
        <v>300</v>
      </c>
      <c r="D172" s="257">
        <v>957378</v>
      </c>
      <c r="E172" s="254"/>
      <c r="F172" s="351"/>
      <c r="G172" s="254">
        <v>26.523</v>
      </c>
      <c r="H172" s="349"/>
      <c r="I172" s="350"/>
    </row>
    <row r="173" spans="2:9">
      <c r="B173" s="254" t="s">
        <v>27</v>
      </c>
      <c r="C173" s="257" t="s">
        <v>299</v>
      </c>
      <c r="D173" s="257">
        <v>968704</v>
      </c>
      <c r="E173" s="254"/>
      <c r="F173" s="351"/>
      <c r="G173" s="254"/>
      <c r="H173" s="349"/>
      <c r="I173" s="350"/>
    </row>
    <row r="174" spans="2:9">
      <c r="B174" s="254" t="s">
        <v>27</v>
      </c>
      <c r="C174" s="257" t="s">
        <v>301</v>
      </c>
      <c r="D174" s="257">
        <v>967553</v>
      </c>
      <c r="E174" s="254"/>
      <c r="F174" s="351"/>
      <c r="G174" s="254"/>
      <c r="H174" s="349"/>
      <c r="I174" s="350"/>
    </row>
    <row r="175" spans="2:9">
      <c r="B175" s="254" t="s">
        <v>27</v>
      </c>
      <c r="C175" s="257" t="s">
        <v>298</v>
      </c>
      <c r="D175" s="257">
        <v>968930</v>
      </c>
      <c r="E175" s="254"/>
      <c r="F175" s="351"/>
      <c r="G175" s="254"/>
      <c r="H175" s="349"/>
      <c r="I175" s="350"/>
    </row>
    <row r="176" spans="2:9">
      <c r="B176" s="254" t="s">
        <v>27</v>
      </c>
      <c r="C176" s="257" t="s">
        <v>302</v>
      </c>
      <c r="D176" s="257">
        <v>964853</v>
      </c>
      <c r="E176" s="254"/>
      <c r="F176" s="351"/>
      <c r="G176" s="254"/>
      <c r="H176" s="349"/>
      <c r="I176" s="350"/>
    </row>
    <row r="177" spans="2:9">
      <c r="B177" s="254" t="s">
        <v>27</v>
      </c>
      <c r="C177" s="257" t="s">
        <v>303</v>
      </c>
      <c r="D177" s="257">
        <v>955952</v>
      </c>
      <c r="E177" s="254"/>
      <c r="F177" s="351"/>
      <c r="G177" s="254"/>
      <c r="H177" s="349"/>
      <c r="I177" s="350"/>
    </row>
    <row r="178" spans="2:9">
      <c r="B178" s="254" t="s">
        <v>27</v>
      </c>
      <c r="C178" s="257" t="s">
        <v>295</v>
      </c>
      <c r="D178" s="257">
        <v>698764</v>
      </c>
      <c r="E178" s="254"/>
      <c r="F178" s="351"/>
      <c r="G178" s="254"/>
      <c r="H178" s="349"/>
      <c r="I178" s="350"/>
    </row>
    <row r="179" spans="2:9">
      <c r="B179" s="254" t="s">
        <v>27</v>
      </c>
      <c r="C179" s="257" t="s">
        <v>304</v>
      </c>
      <c r="D179" s="257">
        <v>969467</v>
      </c>
      <c r="E179" s="254"/>
      <c r="F179" s="351"/>
      <c r="G179" s="254"/>
      <c r="H179" s="349"/>
      <c r="I179" s="350"/>
    </row>
    <row r="180" spans="2:9">
      <c r="B180" s="254" t="s">
        <v>27</v>
      </c>
      <c r="C180" s="253" t="s">
        <v>296</v>
      </c>
      <c r="D180" s="257">
        <v>965267</v>
      </c>
      <c r="E180" s="254"/>
      <c r="F180" s="349">
        <v>21.985000000000014</v>
      </c>
      <c r="G180" s="254"/>
      <c r="H180" s="349">
        <f>F180-(G180+G181+G182+G183+G184)</f>
        <v>0</v>
      </c>
      <c r="I180" s="350">
        <f>(G180+G181+G182+G183+G184)/F180</f>
        <v>0.99999999999999956</v>
      </c>
    </row>
    <row r="181" spans="2:9">
      <c r="B181" s="254" t="s">
        <v>27</v>
      </c>
      <c r="C181" s="253" t="s">
        <v>297</v>
      </c>
      <c r="D181" s="257">
        <v>969425</v>
      </c>
      <c r="E181" s="254"/>
      <c r="F181" s="349"/>
      <c r="G181" s="254"/>
      <c r="H181" s="349"/>
      <c r="I181" s="350"/>
    </row>
    <row r="182" spans="2:9">
      <c r="B182" s="254" t="s">
        <v>27</v>
      </c>
      <c r="C182" s="253" t="s">
        <v>298</v>
      </c>
      <c r="D182" s="257">
        <v>968930</v>
      </c>
      <c r="E182" s="254"/>
      <c r="F182" s="349"/>
      <c r="G182" s="254">
        <v>21.949000000000002</v>
      </c>
      <c r="H182" s="349"/>
      <c r="I182" s="350"/>
    </row>
    <row r="183" spans="2:9">
      <c r="B183" s="254" t="s">
        <v>27</v>
      </c>
      <c r="C183" s="253" t="s">
        <v>299</v>
      </c>
      <c r="D183" s="257">
        <v>968704</v>
      </c>
      <c r="E183" s="254"/>
      <c r="F183" s="349"/>
      <c r="G183" s="254"/>
      <c r="H183" s="349"/>
      <c r="I183" s="350"/>
    </row>
    <row r="184" spans="2:9">
      <c r="B184" s="254" t="s">
        <v>27</v>
      </c>
      <c r="C184" s="253" t="s">
        <v>300</v>
      </c>
      <c r="D184" s="257">
        <v>957378</v>
      </c>
      <c r="E184" s="254"/>
      <c r="F184" s="349"/>
      <c r="G184" s="254">
        <v>3.5999999999999997E-2</v>
      </c>
      <c r="H184" s="349"/>
      <c r="I184" s="350"/>
    </row>
    <row r="185" spans="2:9">
      <c r="B185" s="254" t="s">
        <v>27</v>
      </c>
      <c r="C185" s="254" t="s">
        <v>279</v>
      </c>
      <c r="D185" s="254">
        <v>901588</v>
      </c>
      <c r="E185" s="254"/>
      <c r="F185" s="349">
        <v>559.84899999999993</v>
      </c>
      <c r="G185" s="254"/>
      <c r="H185" s="349">
        <f>F185-(SUM(G185:G196))</f>
        <v>301.89799999999991</v>
      </c>
      <c r="I185" s="350">
        <f>(SUM(G185:G196))/F185</f>
        <v>0.46075102393681161</v>
      </c>
    </row>
    <row r="186" spans="2:9">
      <c r="B186" s="254" t="s">
        <v>27</v>
      </c>
      <c r="C186" s="254" t="s">
        <v>281</v>
      </c>
      <c r="D186" s="254">
        <v>966397</v>
      </c>
      <c r="E186" s="254"/>
      <c r="F186" s="349"/>
      <c r="G186" s="254">
        <v>232.95099999999999</v>
      </c>
      <c r="H186" s="349"/>
      <c r="I186" s="350"/>
    </row>
    <row r="187" spans="2:9">
      <c r="B187" s="254" t="s">
        <v>27</v>
      </c>
      <c r="C187" s="254" t="s">
        <v>282</v>
      </c>
      <c r="D187" s="254">
        <v>964933</v>
      </c>
      <c r="E187" s="254"/>
      <c r="F187" s="349"/>
      <c r="G187" s="254"/>
      <c r="H187" s="349"/>
      <c r="I187" s="350"/>
    </row>
    <row r="188" spans="2:9">
      <c r="B188" s="254" t="s">
        <v>27</v>
      </c>
      <c r="C188" s="254" t="s">
        <v>284</v>
      </c>
      <c r="D188" s="254">
        <v>960563</v>
      </c>
      <c r="E188" s="254"/>
      <c r="F188" s="349"/>
      <c r="G188" s="254"/>
      <c r="H188" s="349"/>
      <c r="I188" s="350"/>
    </row>
    <row r="189" spans="2:9">
      <c r="B189" s="254" t="s">
        <v>27</v>
      </c>
      <c r="C189" s="254" t="s">
        <v>285</v>
      </c>
      <c r="D189" s="254">
        <v>960673</v>
      </c>
      <c r="E189" s="254"/>
      <c r="F189" s="349"/>
      <c r="G189" s="254"/>
      <c r="H189" s="349"/>
      <c r="I189" s="350"/>
    </row>
    <row r="190" spans="2:9">
      <c r="B190" s="254" t="s">
        <v>27</v>
      </c>
      <c r="C190" s="254" t="s">
        <v>287</v>
      </c>
      <c r="D190" s="254">
        <v>923266</v>
      </c>
      <c r="E190" s="254"/>
      <c r="F190" s="349"/>
      <c r="G190" s="254"/>
      <c r="H190" s="349"/>
      <c r="I190" s="350"/>
    </row>
    <row r="191" spans="2:9">
      <c r="B191" s="254" t="s">
        <v>27</v>
      </c>
      <c r="C191" s="254" t="s">
        <v>288</v>
      </c>
      <c r="D191" s="254">
        <v>966707</v>
      </c>
      <c r="E191" s="254"/>
      <c r="F191" s="349"/>
      <c r="G191" s="254"/>
      <c r="H191" s="349"/>
      <c r="I191" s="350"/>
    </row>
    <row r="192" spans="2:9">
      <c r="B192" s="254" t="s">
        <v>27</v>
      </c>
      <c r="C192" s="254" t="s">
        <v>289</v>
      </c>
      <c r="D192" s="254">
        <v>954989</v>
      </c>
      <c r="E192" s="254"/>
      <c r="F192" s="349"/>
      <c r="G192" s="254">
        <v>25</v>
      </c>
      <c r="H192" s="349"/>
      <c r="I192" s="350"/>
    </row>
    <row r="193" spans="2:9">
      <c r="B193" s="254" t="s">
        <v>27</v>
      </c>
      <c r="C193" s="254" t="s">
        <v>290</v>
      </c>
      <c r="D193" s="254">
        <v>698592</v>
      </c>
      <c r="E193" s="254"/>
      <c r="F193" s="349"/>
      <c r="G193" s="254"/>
      <c r="H193" s="349"/>
      <c r="I193" s="350"/>
    </row>
    <row r="194" spans="2:9">
      <c r="B194" s="254" t="s">
        <v>27</v>
      </c>
      <c r="C194" s="254" t="s">
        <v>291</v>
      </c>
      <c r="D194" s="254">
        <v>958708</v>
      </c>
      <c r="E194" s="254"/>
      <c r="F194" s="349"/>
      <c r="G194" s="254"/>
      <c r="H194" s="349"/>
      <c r="I194" s="350"/>
    </row>
    <row r="195" spans="2:9">
      <c r="B195" s="254" t="s">
        <v>27</v>
      </c>
      <c r="C195" s="254" t="s">
        <v>283</v>
      </c>
      <c r="D195" s="254">
        <v>956427</v>
      </c>
      <c r="E195" s="254"/>
      <c r="F195" s="349"/>
      <c r="G195" s="254"/>
      <c r="H195" s="349"/>
      <c r="I195" s="350"/>
    </row>
    <row r="196" spans="2:9">
      <c r="B196" s="254" t="s">
        <v>27</v>
      </c>
      <c r="C196" s="254" t="s">
        <v>294</v>
      </c>
      <c r="D196" s="254">
        <v>950875</v>
      </c>
      <c r="E196" s="254"/>
      <c r="F196" s="349"/>
      <c r="G196" s="254"/>
      <c r="H196" s="349"/>
      <c r="I196" s="350"/>
    </row>
  </sheetData>
  <mergeCells count="51">
    <mergeCell ref="I185:I196"/>
    <mergeCell ref="I170:I179"/>
    <mergeCell ref="H180:H184"/>
    <mergeCell ref="I180:I184"/>
    <mergeCell ref="H147:H163"/>
    <mergeCell ref="I147:I163"/>
    <mergeCell ref="H164:H169"/>
    <mergeCell ref="I164:I169"/>
    <mergeCell ref="F164:F169"/>
    <mergeCell ref="F170:F179"/>
    <mergeCell ref="F180:F184"/>
    <mergeCell ref="F185:F196"/>
    <mergeCell ref="H170:H179"/>
    <mergeCell ref="H185:H196"/>
    <mergeCell ref="H142:H145"/>
    <mergeCell ref="I142:I145"/>
    <mergeCell ref="H137:H141"/>
    <mergeCell ref="I137:I141"/>
    <mergeCell ref="F147:F163"/>
    <mergeCell ref="H119:H128"/>
    <mergeCell ref="I119:I128"/>
    <mergeCell ref="H129:H132"/>
    <mergeCell ref="I129:I132"/>
    <mergeCell ref="H133:H136"/>
    <mergeCell ref="I133:I136"/>
    <mergeCell ref="F119:F128"/>
    <mergeCell ref="F129:F132"/>
    <mergeCell ref="F133:F136"/>
    <mergeCell ref="F137:F141"/>
    <mergeCell ref="F142:F145"/>
    <mergeCell ref="F88:F103"/>
    <mergeCell ref="F104:F117"/>
    <mergeCell ref="H88:H103"/>
    <mergeCell ref="I88:I103"/>
    <mergeCell ref="H104:H117"/>
    <mergeCell ref="I104:I117"/>
    <mergeCell ref="F3:F46"/>
    <mergeCell ref="F47:F56"/>
    <mergeCell ref="F57:F63"/>
    <mergeCell ref="F64:F70"/>
    <mergeCell ref="F71:F79"/>
    <mergeCell ref="I71:I79"/>
    <mergeCell ref="I3:I46"/>
    <mergeCell ref="H47:H56"/>
    <mergeCell ref="I47:I56"/>
    <mergeCell ref="H57:H63"/>
    <mergeCell ref="I57:I63"/>
    <mergeCell ref="H64:H70"/>
    <mergeCell ref="I64:I70"/>
    <mergeCell ref="H3:H46"/>
    <mergeCell ref="H71:H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2:R13"/>
  <sheetViews>
    <sheetView workbookViewId="0">
      <selection activeCell="D13" sqref="D13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9.140625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9" customWidth="1"/>
    <col min="17" max="17" width="9" bestFit="1" customWidth="1"/>
    <col min="18" max="18" width="10.85546875" customWidth="1"/>
  </cols>
  <sheetData>
    <row r="2" spans="2:18">
      <c r="B2" s="331" t="s">
        <v>164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2:18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</row>
    <row r="4" spans="2:18">
      <c r="B4" s="322">
        <f>+Resumen!C4</f>
        <v>45291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</row>
    <row r="5" spans="2:18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334" t="s">
        <v>64</v>
      </c>
      <c r="N5" s="334"/>
      <c r="O5" s="334"/>
      <c r="P5" s="334"/>
      <c r="Q5" s="334"/>
      <c r="R5" s="334"/>
    </row>
    <row r="6" spans="2:18" ht="30">
      <c r="B6" s="100" t="s">
        <v>17</v>
      </c>
      <c r="C6" s="101" t="s">
        <v>122</v>
      </c>
      <c r="D6" s="98" t="s">
        <v>26</v>
      </c>
      <c r="E6" s="98" t="s">
        <v>20</v>
      </c>
      <c r="F6" s="100" t="s">
        <v>30</v>
      </c>
      <c r="G6" s="98" t="s">
        <v>4</v>
      </c>
      <c r="H6" s="100" t="s">
        <v>31</v>
      </c>
      <c r="I6" s="98" t="s">
        <v>6</v>
      </c>
      <c r="J6" s="98" t="s">
        <v>7</v>
      </c>
      <c r="K6" s="98" t="s">
        <v>32</v>
      </c>
      <c r="L6" s="98" t="s">
        <v>33</v>
      </c>
      <c r="M6" s="18" t="s">
        <v>30</v>
      </c>
      <c r="N6" s="19" t="s">
        <v>4</v>
      </c>
      <c r="O6" s="18" t="s">
        <v>31</v>
      </c>
      <c r="P6" s="19" t="s">
        <v>6</v>
      </c>
      <c r="Q6" s="19" t="s">
        <v>7</v>
      </c>
      <c r="R6" s="18" t="s">
        <v>32</v>
      </c>
    </row>
    <row r="7" spans="2:18" ht="30">
      <c r="B7" s="354" t="s">
        <v>19</v>
      </c>
      <c r="C7" s="181" t="s">
        <v>23</v>
      </c>
      <c r="D7" s="183" t="s">
        <v>90</v>
      </c>
      <c r="E7" s="15" t="s">
        <v>50</v>
      </c>
      <c r="F7" s="95">
        <v>675</v>
      </c>
      <c r="G7" s="90"/>
      <c r="H7" s="90">
        <f t="shared" ref="H7:H12" si="0">+F7+G7</f>
        <v>675</v>
      </c>
      <c r="I7" s="96">
        <v>86.320999999999998</v>
      </c>
      <c r="J7" s="90">
        <f t="shared" ref="J7:J12" si="1">+H7-I7</f>
        <v>588.67899999999997</v>
      </c>
      <c r="K7" s="17">
        <f t="shared" ref="K7:K12" si="2">+I7/H7</f>
        <v>0.12788296296296295</v>
      </c>
      <c r="L7" s="99"/>
      <c r="M7" s="186">
        <f t="shared" ref="M7:N12" si="3">+F7</f>
        <v>675</v>
      </c>
      <c r="N7" s="186">
        <f t="shared" si="3"/>
        <v>0</v>
      </c>
      <c r="O7" s="186">
        <f>+M7+N7</f>
        <v>675</v>
      </c>
      <c r="P7" s="186">
        <f t="shared" ref="P7:P12" si="4">+I7</f>
        <v>86.320999999999998</v>
      </c>
      <c r="Q7" s="186">
        <f t="shared" ref="Q7:Q12" si="5">+O7-P7</f>
        <v>588.67899999999997</v>
      </c>
      <c r="R7" s="187">
        <f t="shared" ref="R7:R12" si="6">+P7/O7</f>
        <v>0.12788296296296295</v>
      </c>
    </row>
    <row r="8" spans="2:18">
      <c r="B8" s="355"/>
      <c r="C8" s="188" t="s">
        <v>24</v>
      </c>
      <c r="D8" s="183" t="s">
        <v>91</v>
      </c>
      <c r="E8" s="15" t="s">
        <v>50</v>
      </c>
      <c r="F8" s="95">
        <v>2385</v>
      </c>
      <c r="G8" s="90"/>
      <c r="H8" s="90">
        <f t="shared" si="0"/>
        <v>2385</v>
      </c>
      <c r="I8" s="96">
        <v>2475.6959999999999</v>
      </c>
      <c r="J8" s="90">
        <f t="shared" si="1"/>
        <v>-90.695999999999913</v>
      </c>
      <c r="K8" s="17">
        <f t="shared" si="2"/>
        <v>1.0380276729559748</v>
      </c>
      <c r="L8" s="277">
        <v>45015</v>
      </c>
      <c r="M8" s="186">
        <f t="shared" si="3"/>
        <v>2385</v>
      </c>
      <c r="N8" s="186">
        <f t="shared" si="3"/>
        <v>0</v>
      </c>
      <c r="O8" s="186">
        <f>+M8+N8</f>
        <v>2385</v>
      </c>
      <c r="P8" s="186">
        <f t="shared" si="4"/>
        <v>2475.6959999999999</v>
      </c>
      <c r="Q8" s="186">
        <f t="shared" si="5"/>
        <v>-90.695999999999913</v>
      </c>
      <c r="R8" s="187">
        <f t="shared" si="6"/>
        <v>1.0380276729559748</v>
      </c>
    </row>
    <row r="9" spans="2:18" s="77" customFormat="1">
      <c r="B9" s="356"/>
      <c r="C9" s="109" t="s">
        <v>123</v>
      </c>
      <c r="D9" s="105" t="s">
        <v>15</v>
      </c>
      <c r="E9" s="15" t="s">
        <v>50</v>
      </c>
      <c r="F9" s="95">
        <v>455</v>
      </c>
      <c r="G9" s="90"/>
      <c r="H9" s="90">
        <f t="shared" si="0"/>
        <v>455</v>
      </c>
      <c r="I9" s="171"/>
      <c r="J9" s="90">
        <f t="shared" si="1"/>
        <v>455</v>
      </c>
      <c r="K9" s="17">
        <f>+I9/H9</f>
        <v>0</v>
      </c>
      <c r="L9" s="102"/>
      <c r="M9" s="103">
        <f t="shared" si="3"/>
        <v>455</v>
      </c>
      <c r="N9" s="103">
        <f t="shared" si="3"/>
        <v>0</v>
      </c>
      <c r="O9" s="103">
        <f>+H9</f>
        <v>455</v>
      </c>
      <c r="P9" s="103">
        <f t="shared" si="4"/>
        <v>0</v>
      </c>
      <c r="Q9" s="103">
        <f t="shared" si="5"/>
        <v>455</v>
      </c>
      <c r="R9" s="104">
        <f t="shared" si="6"/>
        <v>0</v>
      </c>
    </row>
    <row r="10" spans="2:18" ht="15" customHeight="1">
      <c r="B10" s="353" t="s">
        <v>28</v>
      </c>
      <c r="C10" s="14" t="s">
        <v>29</v>
      </c>
      <c r="D10" s="69" t="s">
        <v>92</v>
      </c>
      <c r="E10" s="15" t="s">
        <v>50</v>
      </c>
      <c r="F10" s="95">
        <v>650</v>
      </c>
      <c r="G10" s="90"/>
      <c r="H10" s="90">
        <f t="shared" si="0"/>
        <v>650</v>
      </c>
      <c r="I10" s="96">
        <v>630.36300000000006</v>
      </c>
      <c r="J10" s="90">
        <f t="shared" si="1"/>
        <v>19.636999999999944</v>
      </c>
      <c r="K10" s="129">
        <f t="shared" si="2"/>
        <v>0.96978923076923085</v>
      </c>
      <c r="L10" s="277">
        <v>45255</v>
      </c>
      <c r="M10" s="91">
        <f t="shared" si="3"/>
        <v>650</v>
      </c>
      <c r="N10" s="91">
        <f t="shared" si="3"/>
        <v>0</v>
      </c>
      <c r="O10" s="91">
        <f>+M10+N10</f>
        <v>650</v>
      </c>
      <c r="P10" s="91">
        <f t="shared" si="4"/>
        <v>630.36300000000006</v>
      </c>
      <c r="Q10" s="91">
        <f t="shared" si="5"/>
        <v>19.636999999999944</v>
      </c>
      <c r="R10" s="127">
        <f t="shared" si="6"/>
        <v>0.96978923076923085</v>
      </c>
    </row>
    <row r="11" spans="2:18">
      <c r="B11" s="353"/>
      <c r="C11" s="14" t="s">
        <v>27</v>
      </c>
      <c r="D11" s="69" t="s">
        <v>93</v>
      </c>
      <c r="E11" s="15" t="s">
        <v>50</v>
      </c>
      <c r="F11" s="95">
        <v>650</v>
      </c>
      <c r="G11" s="90"/>
      <c r="H11" s="90">
        <f t="shared" si="0"/>
        <v>650</v>
      </c>
      <c r="I11" s="96">
        <v>320.404</v>
      </c>
      <c r="J11" s="90">
        <f t="shared" si="1"/>
        <v>329.596</v>
      </c>
      <c r="K11" s="17">
        <f>+I11/H11</f>
        <v>0.49292923076923079</v>
      </c>
      <c r="L11" s="99"/>
      <c r="M11" s="91">
        <f t="shared" si="3"/>
        <v>650</v>
      </c>
      <c r="N11" s="91">
        <f t="shared" si="3"/>
        <v>0</v>
      </c>
      <c r="O11" s="91">
        <f>+M11+N11</f>
        <v>650</v>
      </c>
      <c r="P11" s="91">
        <f t="shared" si="4"/>
        <v>320.404</v>
      </c>
      <c r="Q11" s="91">
        <f t="shared" si="5"/>
        <v>329.596</v>
      </c>
      <c r="R11" s="127">
        <f t="shared" si="6"/>
        <v>0.49292923076923079</v>
      </c>
    </row>
    <row r="12" spans="2:18" s="77" customFormat="1">
      <c r="B12" s="353"/>
      <c r="C12" s="14" t="s">
        <v>123</v>
      </c>
      <c r="D12" s="69" t="s">
        <v>16</v>
      </c>
      <c r="E12" s="15" t="s">
        <v>50</v>
      </c>
      <c r="F12" s="95">
        <v>200</v>
      </c>
      <c r="G12" s="90"/>
      <c r="H12" s="90">
        <f t="shared" si="0"/>
        <v>200</v>
      </c>
      <c r="I12" s="96">
        <v>40.116</v>
      </c>
      <c r="J12" s="90">
        <f t="shared" si="1"/>
        <v>159.88400000000001</v>
      </c>
      <c r="K12" s="17">
        <f t="shared" si="2"/>
        <v>0.20058000000000001</v>
      </c>
      <c r="L12" s="102"/>
      <c r="M12" s="91">
        <f t="shared" si="3"/>
        <v>200</v>
      </c>
      <c r="N12" s="91">
        <f t="shared" si="3"/>
        <v>0</v>
      </c>
      <c r="O12" s="91">
        <f>+M12+N12</f>
        <v>200</v>
      </c>
      <c r="P12" s="91">
        <f t="shared" si="4"/>
        <v>40.116</v>
      </c>
      <c r="Q12" s="91">
        <f t="shared" si="5"/>
        <v>159.88400000000001</v>
      </c>
      <c r="R12" s="20">
        <f t="shared" si="6"/>
        <v>0.20058000000000001</v>
      </c>
    </row>
    <row r="13" spans="2:18">
      <c r="F13" s="111"/>
    </row>
  </sheetData>
  <mergeCells count="5">
    <mergeCell ref="B10:B12"/>
    <mergeCell ref="B7:B9"/>
    <mergeCell ref="B2:R3"/>
    <mergeCell ref="B4:R4"/>
    <mergeCell ref="M5:R5"/>
  </mergeCells>
  <conditionalFormatting sqref="J7:J9">
    <cfRule type="cellIs" dxfId="5" priority="6" operator="lessThan">
      <formula>0</formula>
    </cfRule>
  </conditionalFormatting>
  <conditionalFormatting sqref="K7:K9 R7:R9">
    <cfRule type="cellIs" dxfId="4" priority="5" operator="greaterThan">
      <formula>0.9</formula>
    </cfRule>
  </conditionalFormatting>
  <conditionalFormatting sqref="J10:J12">
    <cfRule type="cellIs" dxfId="3" priority="3" operator="lessThan">
      <formula>0</formula>
    </cfRule>
  </conditionalFormatting>
  <conditionalFormatting sqref="K10:K12">
    <cfRule type="cellIs" dxfId="2" priority="2" operator="greaterThan">
      <formula>0.9</formula>
    </cfRule>
  </conditionalFormatting>
  <conditionalFormatting sqref="R10:R12">
    <cfRule type="cellIs" dxfId="1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P105"/>
  <sheetViews>
    <sheetView zoomScale="90" zoomScaleNormal="90" workbookViewId="0">
      <selection activeCell="I13" sqref="I13"/>
    </sheetView>
  </sheetViews>
  <sheetFormatPr baseColWidth="10" defaultRowHeight="15"/>
  <cols>
    <col min="3" max="3" width="51.1406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25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77" customFormat="1">
      <c r="N4" s="3"/>
    </row>
    <row r="5" spans="2:16" s="77" customFormat="1">
      <c r="B5" s="357" t="s">
        <v>165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</row>
    <row r="6" spans="2:16" s="77" customFormat="1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pans="2:16" s="77" customFormat="1">
      <c r="B7" s="322">
        <f>+Resumen!C4</f>
        <v>45291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</row>
    <row r="8" spans="2:16" s="77" customFormat="1" ht="15.75" thickBot="1">
      <c r="N8" s="3"/>
    </row>
    <row r="9" spans="2:16" ht="15.75" thickBot="1">
      <c r="E9" s="358" t="s">
        <v>118</v>
      </c>
      <c r="F9" s="359"/>
      <c r="G9" s="360"/>
      <c r="H9" s="358" t="s">
        <v>117</v>
      </c>
      <c r="I9" s="359"/>
      <c r="J9" s="360"/>
      <c r="K9" s="358" t="s">
        <v>64</v>
      </c>
      <c r="L9" s="359"/>
      <c r="M9" s="359"/>
      <c r="N9" s="359"/>
      <c r="O9" s="359"/>
      <c r="P9" s="360"/>
    </row>
    <row r="10" spans="2:16" ht="60.75" thickBot="1">
      <c r="B10" s="146" t="s">
        <v>17</v>
      </c>
      <c r="C10" s="147" t="s">
        <v>60</v>
      </c>
      <c r="D10" s="148" t="s">
        <v>34</v>
      </c>
      <c r="E10" s="149" t="s">
        <v>30</v>
      </c>
      <c r="F10" s="149" t="s">
        <v>61</v>
      </c>
      <c r="G10" s="149" t="s">
        <v>31</v>
      </c>
      <c r="H10" s="148" t="s">
        <v>62</v>
      </c>
      <c r="I10" s="148" t="s">
        <v>63</v>
      </c>
      <c r="J10" s="150" t="s">
        <v>35</v>
      </c>
      <c r="K10" s="151" t="s">
        <v>30</v>
      </c>
      <c r="L10" s="149" t="s">
        <v>61</v>
      </c>
      <c r="M10" s="149" t="s">
        <v>31</v>
      </c>
      <c r="N10" s="148" t="s">
        <v>62</v>
      </c>
      <c r="O10" s="148" t="s">
        <v>63</v>
      </c>
      <c r="P10" s="150" t="s">
        <v>35</v>
      </c>
    </row>
    <row r="11" spans="2:16" ht="15.75" thickBot="1">
      <c r="B11" s="365" t="s">
        <v>18</v>
      </c>
      <c r="C11" s="198" t="s">
        <v>36</v>
      </c>
      <c r="D11" s="152" t="s">
        <v>50</v>
      </c>
      <c r="E11" s="242">
        <v>5544.3370000000004</v>
      </c>
      <c r="F11" s="5"/>
      <c r="G11" s="26">
        <f>+E11+F11</f>
        <v>5544.3370000000004</v>
      </c>
      <c r="H11" s="5"/>
      <c r="I11" s="26">
        <f>+G11-H11</f>
        <v>5544.3370000000004</v>
      </c>
      <c r="J11" s="67">
        <f>+H11/G11</f>
        <v>0</v>
      </c>
      <c r="K11" s="194">
        <f t="shared" ref="K11:L15" si="0">E11</f>
        <v>5544.3370000000004</v>
      </c>
      <c r="L11" s="191">
        <f t="shared" si="0"/>
        <v>0</v>
      </c>
      <c r="M11" s="192">
        <f>+K11+L11</f>
        <v>5544.3370000000004</v>
      </c>
      <c r="N11" s="191">
        <f>H11</f>
        <v>0</v>
      </c>
      <c r="O11" s="192">
        <f>+M11-N11</f>
        <v>5544.3370000000004</v>
      </c>
      <c r="P11" s="189">
        <f t="shared" ref="P11:P17" si="1">+N11/M11</f>
        <v>0</v>
      </c>
    </row>
    <row r="12" spans="2:16" ht="15.75" thickBot="1">
      <c r="B12" s="366"/>
      <c r="C12" s="199" t="s">
        <v>37</v>
      </c>
      <c r="D12" s="152" t="s">
        <v>50</v>
      </c>
      <c r="E12" s="154">
        <v>152210.935</v>
      </c>
      <c r="F12" s="4"/>
      <c r="G12" s="24">
        <f>+E12+F12</f>
        <v>152210.935</v>
      </c>
      <c r="H12" s="172"/>
      <c r="I12" s="24">
        <f>+G12-H12</f>
        <v>152210.935</v>
      </c>
      <c r="J12" s="66">
        <f>+H12/G12</f>
        <v>0</v>
      </c>
      <c r="K12" s="194">
        <f t="shared" si="0"/>
        <v>152210.935</v>
      </c>
      <c r="L12" s="191">
        <f t="shared" si="0"/>
        <v>0</v>
      </c>
      <c r="M12" s="192">
        <f>+K12+L12</f>
        <v>152210.935</v>
      </c>
      <c r="N12" s="191">
        <f>H12</f>
        <v>0</v>
      </c>
      <c r="O12" s="192">
        <f>+M12-N12</f>
        <v>152210.935</v>
      </c>
      <c r="P12" s="189">
        <f t="shared" si="1"/>
        <v>0</v>
      </c>
    </row>
    <row r="13" spans="2:16" s="77" customFormat="1" ht="15.75" thickBot="1">
      <c r="B13" s="366"/>
      <c r="C13" s="199" t="s">
        <v>38</v>
      </c>
      <c r="D13" s="152" t="s">
        <v>50</v>
      </c>
      <c r="E13" s="247">
        <v>448824.69900000002</v>
      </c>
      <c r="F13" s="248">
        <f>-10000-2000</f>
        <v>-12000</v>
      </c>
      <c r="G13" s="24">
        <f t="shared" ref="G13:G14" si="2">+E13+F13</f>
        <v>436824.69900000002</v>
      </c>
      <c r="H13" s="249">
        <v>55.451999999999998</v>
      </c>
      <c r="I13" s="24">
        <f t="shared" ref="I13:I14" si="3">+G13-H13</f>
        <v>436769.24700000003</v>
      </c>
      <c r="J13" s="66">
        <f t="shared" ref="J13:J14" si="4">+H13/G13</f>
        <v>1.269433713957644E-4</v>
      </c>
      <c r="K13" s="194">
        <f t="shared" ref="K13:K14" si="5">E13</f>
        <v>448824.69900000002</v>
      </c>
      <c r="L13" s="191">
        <f t="shared" ref="L13:L14" si="6">F13</f>
        <v>-12000</v>
      </c>
      <c r="M13" s="192">
        <f t="shared" ref="M13:M14" si="7">+K13+L13</f>
        <v>436824.69900000002</v>
      </c>
      <c r="N13" s="191">
        <f t="shared" ref="N13:N14" si="8">H13</f>
        <v>55.451999999999998</v>
      </c>
      <c r="O13" s="192">
        <f t="shared" ref="O13:O14" si="9">+M13-N13</f>
        <v>436769.24700000003</v>
      </c>
      <c r="P13" s="280">
        <f>+N13/M13</f>
        <v>1.269433713957644E-4</v>
      </c>
    </row>
    <row r="14" spans="2:16" s="77" customFormat="1" ht="15.75" thickBot="1">
      <c r="B14" s="366"/>
      <c r="C14" s="310" t="s">
        <v>169</v>
      </c>
      <c r="D14" s="152" t="s">
        <v>50</v>
      </c>
      <c r="E14" s="154">
        <v>19516.329000000002</v>
      </c>
      <c r="F14" s="248">
        <f>-17756.298-1557.57</f>
        <v>-19313.867999999999</v>
      </c>
      <c r="G14" s="24">
        <f t="shared" si="2"/>
        <v>202.46100000000297</v>
      </c>
      <c r="H14" s="249"/>
      <c r="I14" s="24">
        <f t="shared" si="3"/>
        <v>202.46100000000297</v>
      </c>
      <c r="J14" s="66">
        <f t="shared" si="4"/>
        <v>0</v>
      </c>
      <c r="K14" s="194">
        <f t="shared" si="5"/>
        <v>19516.329000000002</v>
      </c>
      <c r="L14" s="191">
        <f t="shared" si="6"/>
        <v>-19313.867999999999</v>
      </c>
      <c r="M14" s="192">
        <f t="shared" si="7"/>
        <v>202.46100000000297</v>
      </c>
      <c r="N14" s="191">
        <f t="shared" si="8"/>
        <v>0</v>
      </c>
      <c r="O14" s="192">
        <f t="shared" si="9"/>
        <v>202.46100000000297</v>
      </c>
      <c r="P14" s="189">
        <f t="shared" ref="P14" si="10">+N14/M14</f>
        <v>0</v>
      </c>
    </row>
    <row r="15" spans="2:16" s="77" customFormat="1">
      <c r="B15" s="366"/>
      <c r="C15" s="199" t="s">
        <v>170</v>
      </c>
      <c r="D15" s="152" t="s">
        <v>50</v>
      </c>
      <c r="E15" s="250">
        <v>3462.5749999999998</v>
      </c>
      <c r="F15" s="4">
        <f>-3426.654</f>
        <v>-3426.654</v>
      </c>
      <c r="G15" s="24">
        <f>+E15+F15</f>
        <v>35.920999999999822</v>
      </c>
      <c r="H15" s="4"/>
      <c r="I15" s="24">
        <f>+G15-H15</f>
        <v>35.920999999999822</v>
      </c>
      <c r="J15" s="66">
        <f>+H15/G15</f>
        <v>0</v>
      </c>
      <c r="K15" s="194">
        <f>E14</f>
        <v>19516.329000000002</v>
      </c>
      <c r="L15" s="191">
        <f t="shared" si="0"/>
        <v>-3426.654</v>
      </c>
      <c r="M15" s="192">
        <f>+K15+L15</f>
        <v>16089.675000000001</v>
      </c>
      <c r="N15" s="191">
        <f>H15</f>
        <v>0</v>
      </c>
      <c r="O15" s="192">
        <f>+M15-N15</f>
        <v>16089.675000000001</v>
      </c>
      <c r="P15" s="189">
        <f t="shared" si="1"/>
        <v>0</v>
      </c>
    </row>
    <row r="16" spans="2:16" s="7" customFormat="1" ht="15.75" thickBot="1">
      <c r="B16" s="27"/>
      <c r="C16" s="28"/>
      <c r="D16" s="29"/>
      <c r="E16" s="244">
        <f>SUM(E11:E15)</f>
        <v>629558.875</v>
      </c>
      <c r="F16" s="6"/>
      <c r="G16" s="30"/>
      <c r="H16" s="6"/>
      <c r="I16" s="6"/>
      <c r="J16" s="48"/>
      <c r="K16" s="94">
        <f>SUM(K11:K15)</f>
        <v>645612.62900000007</v>
      </c>
      <c r="L16" s="115">
        <f>SUM(L11:L15)</f>
        <v>-34740.521999999997</v>
      </c>
      <c r="M16" s="79">
        <f>SUM(M11:M15)</f>
        <v>610872.10700000008</v>
      </c>
      <c r="N16" s="82">
        <f>SUM(N11:N15)</f>
        <v>55.451999999999998</v>
      </c>
      <c r="O16" s="79">
        <f>SUM(O11:O15)</f>
        <v>610816.65500000014</v>
      </c>
      <c r="P16" s="81">
        <f t="shared" si="1"/>
        <v>9.077513830566828E-5</v>
      </c>
    </row>
    <row r="17" spans="2:16" ht="20.100000000000001" customHeight="1" thickBot="1">
      <c r="B17" s="364" t="s">
        <v>21</v>
      </c>
      <c r="C17" s="200" t="s">
        <v>47</v>
      </c>
      <c r="D17" s="155" t="s">
        <v>50</v>
      </c>
      <c r="E17" s="156">
        <v>332.084</v>
      </c>
      <c r="F17" s="130">
        <f>-181.713</f>
        <v>-181.71299999999999</v>
      </c>
      <c r="G17" s="37">
        <f>+E17+F17</f>
        <v>150.37100000000001</v>
      </c>
      <c r="H17" s="31"/>
      <c r="I17" s="37">
        <f>+G17-H17</f>
        <v>150.37100000000001</v>
      </c>
      <c r="J17" s="49">
        <f>+H17/G17</f>
        <v>0</v>
      </c>
      <c r="K17" s="61">
        <f>+E17</f>
        <v>332.084</v>
      </c>
      <c r="L17" s="62">
        <f>+F17</f>
        <v>-181.71299999999999</v>
      </c>
      <c r="M17" s="63">
        <f>+K17+L17</f>
        <v>150.37100000000001</v>
      </c>
      <c r="N17" s="62">
        <f>+H17</f>
        <v>0</v>
      </c>
      <c r="O17" s="63">
        <f>+M17-N17</f>
        <v>150.37100000000001</v>
      </c>
      <c r="P17" s="64">
        <f t="shared" si="1"/>
        <v>0</v>
      </c>
    </row>
    <row r="18" spans="2:16" s="77" customFormat="1" ht="20.100000000000001" customHeight="1" thickBot="1">
      <c r="B18" s="365"/>
      <c r="C18" s="274" t="s">
        <v>54</v>
      </c>
      <c r="D18" s="155" t="s">
        <v>50</v>
      </c>
      <c r="E18" s="275">
        <v>1771.0229999999999</v>
      </c>
      <c r="F18" s="130">
        <f>-968</f>
        <v>-968</v>
      </c>
      <c r="G18" s="37">
        <f>+E18+F18</f>
        <v>803.02299999999991</v>
      </c>
      <c r="H18" s="31"/>
      <c r="I18" s="37">
        <f>+G18-H18</f>
        <v>803.02299999999991</v>
      </c>
      <c r="J18" s="49">
        <f>+H18/G18</f>
        <v>0</v>
      </c>
      <c r="K18" s="61">
        <f>+E18</f>
        <v>1771.0229999999999</v>
      </c>
      <c r="L18" s="62">
        <f>+F18</f>
        <v>-968</v>
      </c>
      <c r="M18" s="63">
        <f>+K18+L18</f>
        <v>803.02299999999991</v>
      </c>
      <c r="N18" s="62">
        <f>+H18</f>
        <v>0</v>
      </c>
      <c r="O18" s="63">
        <f>+M18-N18</f>
        <v>803.02299999999991</v>
      </c>
      <c r="P18" s="64">
        <f t="shared" ref="P18" si="11">+N18/M18</f>
        <v>0</v>
      </c>
    </row>
    <row r="19" spans="2:16" ht="20.100000000000001" customHeight="1" thickBot="1">
      <c r="B19" s="366"/>
      <c r="C19" s="202" t="s">
        <v>46</v>
      </c>
      <c r="D19" s="153" t="s">
        <v>50</v>
      </c>
      <c r="E19" s="154">
        <v>237.203</v>
      </c>
      <c r="F19" s="131"/>
      <c r="G19" s="24">
        <f t="shared" ref="G19:G32" si="12">+E19+F19</f>
        <v>237.203</v>
      </c>
      <c r="H19" s="4"/>
      <c r="I19" s="24">
        <f t="shared" ref="I19:I29" si="13">+G19-H19</f>
        <v>237.203</v>
      </c>
      <c r="J19" s="47">
        <f t="shared" ref="J19:J29" si="14">+H19/G19</f>
        <v>0</v>
      </c>
      <c r="K19" s="65">
        <f t="shared" ref="K19:K29" si="15">+E19</f>
        <v>237.203</v>
      </c>
      <c r="L19" s="54">
        <f t="shared" ref="L19:L29" si="16">+F19</f>
        <v>0</v>
      </c>
      <c r="M19" s="53">
        <f t="shared" ref="M19:M29" si="17">+K19+L19</f>
        <v>237.203</v>
      </c>
      <c r="N19" s="54">
        <f t="shared" ref="N19:N29" si="18">+H19</f>
        <v>0</v>
      </c>
      <c r="O19" s="53">
        <f t="shared" ref="O19:O29" si="19">+M19-N19</f>
        <v>237.203</v>
      </c>
      <c r="P19" s="64">
        <f t="shared" ref="P19:P32" si="20">+N19/M19</f>
        <v>0</v>
      </c>
    </row>
    <row r="20" spans="2:16" ht="20.100000000000001" customHeight="1" thickBot="1">
      <c r="B20" s="366"/>
      <c r="C20" s="201" t="s">
        <v>39</v>
      </c>
      <c r="D20" s="153" t="s">
        <v>50</v>
      </c>
      <c r="E20" s="154">
        <v>13836.123</v>
      </c>
      <c r="F20" s="131">
        <f>-7571</f>
        <v>-7571</v>
      </c>
      <c r="G20" s="24">
        <f t="shared" si="12"/>
        <v>6265.1229999999996</v>
      </c>
      <c r="H20" s="4"/>
      <c r="I20" s="24">
        <f t="shared" si="13"/>
        <v>6265.1229999999996</v>
      </c>
      <c r="J20" s="47">
        <f t="shared" si="14"/>
        <v>0</v>
      </c>
      <c r="K20" s="65">
        <f t="shared" si="15"/>
        <v>13836.123</v>
      </c>
      <c r="L20" s="54">
        <f t="shared" si="16"/>
        <v>-7571</v>
      </c>
      <c r="M20" s="53">
        <f t="shared" si="17"/>
        <v>6265.1229999999996</v>
      </c>
      <c r="N20" s="54">
        <f t="shared" si="18"/>
        <v>0</v>
      </c>
      <c r="O20" s="53">
        <f t="shared" si="19"/>
        <v>6265.1229999999996</v>
      </c>
      <c r="P20" s="64">
        <f t="shared" si="20"/>
        <v>0</v>
      </c>
    </row>
    <row r="21" spans="2:16" ht="20.100000000000001" customHeight="1" thickBot="1">
      <c r="B21" s="366"/>
      <c r="C21" s="201" t="s">
        <v>40</v>
      </c>
      <c r="D21" s="153" t="s">
        <v>50</v>
      </c>
      <c r="E21" s="154">
        <v>102.16200000000001</v>
      </c>
      <c r="F21" s="131"/>
      <c r="G21" s="24">
        <f t="shared" si="12"/>
        <v>102.16200000000001</v>
      </c>
      <c r="H21" s="4"/>
      <c r="I21" s="24">
        <f t="shared" si="13"/>
        <v>102.16200000000001</v>
      </c>
      <c r="J21" s="47">
        <f t="shared" si="14"/>
        <v>0</v>
      </c>
      <c r="K21" s="65">
        <f t="shared" si="15"/>
        <v>102.16200000000001</v>
      </c>
      <c r="L21" s="54">
        <f t="shared" si="16"/>
        <v>0</v>
      </c>
      <c r="M21" s="53">
        <f t="shared" si="17"/>
        <v>102.16200000000001</v>
      </c>
      <c r="N21" s="54">
        <f t="shared" si="18"/>
        <v>0</v>
      </c>
      <c r="O21" s="53">
        <f t="shared" si="19"/>
        <v>102.16200000000001</v>
      </c>
      <c r="P21" s="64">
        <f t="shared" si="20"/>
        <v>0</v>
      </c>
    </row>
    <row r="22" spans="2:16" ht="20.100000000000001" customHeight="1" thickBot="1">
      <c r="B22" s="366"/>
      <c r="C22" s="201" t="s">
        <v>43</v>
      </c>
      <c r="D22" s="153" t="s">
        <v>50</v>
      </c>
      <c r="E22" s="251">
        <v>856.03499999999997</v>
      </c>
      <c r="F22" s="131">
        <f>-460</f>
        <v>-460</v>
      </c>
      <c r="G22" s="24">
        <f t="shared" si="12"/>
        <v>396.03499999999997</v>
      </c>
      <c r="H22" s="4"/>
      <c r="I22" s="24">
        <f t="shared" si="13"/>
        <v>396.03499999999997</v>
      </c>
      <c r="J22" s="47">
        <f t="shared" si="14"/>
        <v>0</v>
      </c>
      <c r="K22" s="65">
        <f t="shared" si="15"/>
        <v>856.03499999999997</v>
      </c>
      <c r="L22" s="54">
        <f t="shared" si="16"/>
        <v>-460</v>
      </c>
      <c r="M22" s="53">
        <f t="shared" si="17"/>
        <v>396.03499999999997</v>
      </c>
      <c r="N22" s="54">
        <f t="shared" si="18"/>
        <v>0</v>
      </c>
      <c r="O22" s="53">
        <f t="shared" si="19"/>
        <v>396.03499999999997</v>
      </c>
      <c r="P22" s="64">
        <f t="shared" si="20"/>
        <v>0</v>
      </c>
    </row>
    <row r="23" spans="2:16" ht="20.100000000000001" customHeight="1" thickBot="1">
      <c r="B23" s="366"/>
      <c r="C23" s="201" t="s">
        <v>41</v>
      </c>
      <c r="D23" s="153" t="s">
        <v>50</v>
      </c>
      <c r="E23" s="154">
        <v>24.463000000000001</v>
      </c>
      <c r="F23" s="131"/>
      <c r="G23" s="24">
        <f t="shared" si="12"/>
        <v>24.463000000000001</v>
      </c>
      <c r="H23" s="4"/>
      <c r="I23" s="24">
        <f t="shared" si="13"/>
        <v>24.463000000000001</v>
      </c>
      <c r="J23" s="47">
        <f t="shared" si="14"/>
        <v>0</v>
      </c>
      <c r="K23" s="65">
        <f t="shared" si="15"/>
        <v>24.463000000000001</v>
      </c>
      <c r="L23" s="54">
        <f t="shared" si="16"/>
        <v>0</v>
      </c>
      <c r="M23" s="53">
        <f t="shared" si="17"/>
        <v>24.463000000000001</v>
      </c>
      <c r="N23" s="54">
        <f t="shared" si="18"/>
        <v>0</v>
      </c>
      <c r="O23" s="53">
        <f t="shared" si="19"/>
        <v>24.463000000000001</v>
      </c>
      <c r="P23" s="64">
        <f t="shared" si="20"/>
        <v>0</v>
      </c>
    </row>
    <row r="24" spans="2:16" ht="20.100000000000001" customHeight="1" thickBot="1">
      <c r="B24" s="366"/>
      <c r="C24" s="202" t="s">
        <v>48</v>
      </c>
      <c r="D24" s="153" t="s">
        <v>50</v>
      </c>
      <c r="E24" s="154">
        <v>126.508</v>
      </c>
      <c r="F24" s="131"/>
      <c r="G24" s="24">
        <f t="shared" si="12"/>
        <v>126.508</v>
      </c>
      <c r="H24" s="4"/>
      <c r="I24" s="24">
        <f t="shared" si="13"/>
        <v>126.508</v>
      </c>
      <c r="J24" s="47">
        <v>0</v>
      </c>
      <c r="K24" s="65">
        <f t="shared" si="15"/>
        <v>126.508</v>
      </c>
      <c r="L24" s="54">
        <f t="shared" si="16"/>
        <v>0</v>
      </c>
      <c r="M24" s="53">
        <f t="shared" si="17"/>
        <v>126.508</v>
      </c>
      <c r="N24" s="54">
        <f t="shared" si="18"/>
        <v>0</v>
      </c>
      <c r="O24" s="53">
        <f t="shared" si="19"/>
        <v>126.508</v>
      </c>
      <c r="P24" s="64">
        <f t="shared" si="20"/>
        <v>0</v>
      </c>
    </row>
    <row r="25" spans="2:16" ht="20.100000000000001" customHeight="1" thickBot="1">
      <c r="B25" s="366"/>
      <c r="C25" s="201" t="s">
        <v>45</v>
      </c>
      <c r="D25" s="153" t="s">
        <v>50</v>
      </c>
      <c r="E25" s="154">
        <v>79.067999999999998</v>
      </c>
      <c r="F25" s="131"/>
      <c r="G25" s="24">
        <f t="shared" si="12"/>
        <v>79.067999999999998</v>
      </c>
      <c r="H25" s="4"/>
      <c r="I25" s="24">
        <f t="shared" si="13"/>
        <v>79.067999999999998</v>
      </c>
      <c r="J25" s="47">
        <f t="shared" si="14"/>
        <v>0</v>
      </c>
      <c r="K25" s="65">
        <f t="shared" si="15"/>
        <v>79.067999999999998</v>
      </c>
      <c r="L25" s="54">
        <f t="shared" si="16"/>
        <v>0</v>
      </c>
      <c r="M25" s="53">
        <f t="shared" si="17"/>
        <v>79.067999999999998</v>
      </c>
      <c r="N25" s="54">
        <f t="shared" si="18"/>
        <v>0</v>
      </c>
      <c r="O25" s="53">
        <f t="shared" si="19"/>
        <v>79.067999999999998</v>
      </c>
      <c r="P25" s="64">
        <f t="shared" si="20"/>
        <v>0</v>
      </c>
    </row>
    <row r="26" spans="2:16" ht="20.100000000000001" customHeight="1" thickBot="1">
      <c r="B26" s="366"/>
      <c r="C26" s="202" t="s">
        <v>49</v>
      </c>
      <c r="D26" s="153" t="s">
        <v>50</v>
      </c>
      <c r="E26" s="154">
        <v>126.508</v>
      </c>
      <c r="F26" s="131"/>
      <c r="G26" s="24">
        <f t="shared" si="12"/>
        <v>126.508</v>
      </c>
      <c r="H26" s="4"/>
      <c r="I26" s="24">
        <f t="shared" si="13"/>
        <v>126.508</v>
      </c>
      <c r="J26" s="47">
        <v>0</v>
      </c>
      <c r="K26" s="65">
        <f t="shared" si="15"/>
        <v>126.508</v>
      </c>
      <c r="L26" s="54">
        <f t="shared" si="16"/>
        <v>0</v>
      </c>
      <c r="M26" s="53">
        <f t="shared" si="17"/>
        <v>126.508</v>
      </c>
      <c r="N26" s="54">
        <f t="shared" si="18"/>
        <v>0</v>
      </c>
      <c r="O26" s="53">
        <f t="shared" si="19"/>
        <v>126.508</v>
      </c>
      <c r="P26" s="64">
        <f t="shared" si="20"/>
        <v>0</v>
      </c>
    </row>
    <row r="27" spans="2:16" ht="20.100000000000001" customHeight="1" thickBot="1">
      <c r="B27" s="366"/>
      <c r="C27" s="201" t="s">
        <v>44</v>
      </c>
      <c r="D27" s="153" t="s">
        <v>50</v>
      </c>
      <c r="E27" s="154">
        <v>2.9540000000000002</v>
      </c>
      <c r="F27" s="131">
        <f>-0.174</f>
        <v>-0.17399999999999999</v>
      </c>
      <c r="G27" s="24">
        <f t="shared" si="12"/>
        <v>2.7800000000000002</v>
      </c>
      <c r="H27" s="4"/>
      <c r="I27" s="24">
        <f t="shared" si="13"/>
        <v>2.7800000000000002</v>
      </c>
      <c r="J27" s="47">
        <f t="shared" si="14"/>
        <v>0</v>
      </c>
      <c r="K27" s="65">
        <f t="shared" si="15"/>
        <v>2.9540000000000002</v>
      </c>
      <c r="L27" s="54">
        <f t="shared" si="16"/>
        <v>-0.17399999999999999</v>
      </c>
      <c r="M27" s="53">
        <f t="shared" si="17"/>
        <v>2.7800000000000002</v>
      </c>
      <c r="N27" s="54">
        <f t="shared" si="18"/>
        <v>0</v>
      </c>
      <c r="O27" s="53">
        <f t="shared" si="19"/>
        <v>2.7800000000000002</v>
      </c>
      <c r="P27" s="64">
        <f t="shared" si="20"/>
        <v>0</v>
      </c>
    </row>
    <row r="28" spans="2:16" ht="20.100000000000001" customHeight="1" thickBot="1">
      <c r="B28" s="366"/>
      <c r="C28" s="201" t="s">
        <v>42</v>
      </c>
      <c r="D28" s="153" t="s">
        <v>50</v>
      </c>
      <c r="E28" s="154">
        <v>13462.001</v>
      </c>
      <c r="F28" s="131">
        <f>-830-6500-2720-700-2550-130</f>
        <v>-13430</v>
      </c>
      <c r="G28" s="24">
        <f t="shared" si="12"/>
        <v>32.001000000000204</v>
      </c>
      <c r="H28" s="4"/>
      <c r="I28" s="24">
        <f t="shared" si="13"/>
        <v>32.001000000000204</v>
      </c>
      <c r="J28" s="47">
        <f t="shared" si="14"/>
        <v>0</v>
      </c>
      <c r="K28" s="65">
        <f t="shared" si="15"/>
        <v>13462.001</v>
      </c>
      <c r="L28" s="54">
        <f t="shared" si="16"/>
        <v>-13430</v>
      </c>
      <c r="M28" s="53">
        <f t="shared" si="17"/>
        <v>32.001000000000204</v>
      </c>
      <c r="N28" s="54">
        <f t="shared" si="18"/>
        <v>0</v>
      </c>
      <c r="O28" s="53">
        <f t="shared" si="19"/>
        <v>32.001000000000204</v>
      </c>
      <c r="P28" s="64">
        <f t="shared" si="20"/>
        <v>0</v>
      </c>
    </row>
    <row r="29" spans="2:16" ht="20.100000000000001" customHeight="1" thickBot="1">
      <c r="B29" s="366"/>
      <c r="C29" s="201" t="s">
        <v>168</v>
      </c>
      <c r="D29" s="153" t="s">
        <v>50</v>
      </c>
      <c r="E29" s="154">
        <f>307.158-144.523</f>
        <v>162.63500000000002</v>
      </c>
      <c r="F29" s="131">
        <f>-159.561</f>
        <v>-159.56100000000001</v>
      </c>
      <c r="G29" s="24">
        <f t="shared" si="12"/>
        <v>3.0740000000000123</v>
      </c>
      <c r="H29" s="4"/>
      <c r="I29" s="24">
        <f t="shared" si="13"/>
        <v>3.0740000000000123</v>
      </c>
      <c r="J29" s="47">
        <f t="shared" si="14"/>
        <v>0</v>
      </c>
      <c r="K29" s="65">
        <f t="shared" si="15"/>
        <v>162.63500000000002</v>
      </c>
      <c r="L29" s="54">
        <f t="shared" si="16"/>
        <v>-159.56100000000001</v>
      </c>
      <c r="M29" s="53">
        <f t="shared" si="17"/>
        <v>3.0740000000000123</v>
      </c>
      <c r="N29" s="54">
        <f t="shared" si="18"/>
        <v>0</v>
      </c>
      <c r="O29" s="53">
        <f t="shared" si="19"/>
        <v>3.0740000000000123</v>
      </c>
      <c r="P29" s="64">
        <f t="shared" si="20"/>
        <v>0</v>
      </c>
    </row>
    <row r="30" spans="2:16" s="77" customFormat="1" ht="20.100000000000001" customHeight="1" thickBot="1">
      <c r="B30" s="367"/>
      <c r="C30" s="285" t="s">
        <v>327</v>
      </c>
      <c r="D30" s="153" t="s">
        <v>50</v>
      </c>
      <c r="E30" s="286">
        <v>0</v>
      </c>
      <c r="F30" s="287">
        <f>0.174</f>
        <v>0.17399999999999999</v>
      </c>
      <c r="G30" s="24">
        <f t="shared" ref="G30" si="21">+E30+F30</f>
        <v>0.17399999999999999</v>
      </c>
      <c r="H30" s="4"/>
      <c r="I30" s="24">
        <f t="shared" ref="I30" si="22">+G30-H30</f>
        <v>0.17399999999999999</v>
      </c>
      <c r="J30" s="47">
        <f t="shared" ref="J30" si="23">+H30/G30</f>
        <v>0</v>
      </c>
      <c r="K30" s="65">
        <f t="shared" ref="K30" si="24">+E30</f>
        <v>0</v>
      </c>
      <c r="L30" s="54">
        <f t="shared" ref="L30" si="25">+F30</f>
        <v>0.17399999999999999</v>
      </c>
      <c r="M30" s="53">
        <f t="shared" ref="M30" si="26">+K30+L30</f>
        <v>0.17399999999999999</v>
      </c>
      <c r="N30" s="54">
        <f t="shared" ref="N30" si="27">+H30</f>
        <v>0</v>
      </c>
      <c r="O30" s="53">
        <f t="shared" ref="O30" si="28">+M30-N30</f>
        <v>0.17399999999999999</v>
      </c>
      <c r="P30" s="64">
        <f t="shared" ref="P30" si="29">+N30/M30</f>
        <v>0</v>
      </c>
    </row>
    <row r="31" spans="2:16" s="77" customFormat="1" ht="20.100000000000001" customHeight="1" thickBot="1">
      <c r="B31" s="367"/>
      <c r="C31" s="306" t="s">
        <v>337</v>
      </c>
      <c r="D31" s="153" t="s">
        <v>50</v>
      </c>
      <c r="E31" s="307">
        <v>144.523</v>
      </c>
      <c r="F31" s="308"/>
      <c r="G31" s="24">
        <f t="shared" ref="G31" si="30">+E31+F31</f>
        <v>144.523</v>
      </c>
      <c r="H31" s="4"/>
      <c r="I31" s="24">
        <f t="shared" ref="I31" si="31">+G31-H31</f>
        <v>144.523</v>
      </c>
      <c r="J31" s="47">
        <f t="shared" ref="J31" si="32">+H31/G31</f>
        <v>0</v>
      </c>
      <c r="K31" s="65">
        <f t="shared" ref="K31" si="33">+E31</f>
        <v>144.523</v>
      </c>
      <c r="L31" s="54">
        <f t="shared" ref="L31" si="34">+F31</f>
        <v>0</v>
      </c>
      <c r="M31" s="53">
        <f t="shared" ref="M31" si="35">+K31+L31</f>
        <v>144.523</v>
      </c>
      <c r="N31" s="54">
        <f t="shared" ref="N31" si="36">+H31</f>
        <v>0</v>
      </c>
      <c r="O31" s="53">
        <f t="shared" ref="O31" si="37">+M31-N31</f>
        <v>144.523</v>
      </c>
      <c r="P31" s="64">
        <f t="shared" ref="P31" si="38">+N31/M31</f>
        <v>0</v>
      </c>
    </row>
    <row r="32" spans="2:16" s="77" customFormat="1" ht="20.100000000000001" customHeight="1">
      <c r="B32" s="367"/>
      <c r="C32" s="203" t="s">
        <v>116</v>
      </c>
      <c r="D32" s="157" t="s">
        <v>50</v>
      </c>
      <c r="E32" s="158">
        <v>363.71100000000001</v>
      </c>
      <c r="F32" s="144">
        <f>-199.019</f>
        <v>-199.01900000000001</v>
      </c>
      <c r="G32" s="24">
        <f t="shared" si="12"/>
        <v>164.69200000000001</v>
      </c>
      <c r="H32" s="145"/>
      <c r="I32" s="24">
        <f>+G32-H32</f>
        <v>164.69200000000001</v>
      </c>
      <c r="J32" s="47">
        <f>+H32/G32</f>
        <v>0</v>
      </c>
      <c r="K32" s="65">
        <f t="shared" ref="K32:L32" si="39">+E32</f>
        <v>363.71100000000001</v>
      </c>
      <c r="L32" s="54">
        <f t="shared" si="39"/>
        <v>-199.01900000000001</v>
      </c>
      <c r="M32" s="53">
        <f>+K32+L32</f>
        <v>164.69200000000001</v>
      </c>
      <c r="N32" s="54">
        <f>+H32</f>
        <v>0</v>
      </c>
      <c r="O32" s="53">
        <f>+M32-N32</f>
        <v>164.69200000000001</v>
      </c>
      <c r="P32" s="64">
        <f t="shared" si="20"/>
        <v>0</v>
      </c>
    </row>
    <row r="33" spans="2:16" s="8" customFormat="1" ht="15.75" thickBot="1">
      <c r="B33" s="27"/>
      <c r="C33" s="32"/>
      <c r="D33" s="29"/>
      <c r="E33" s="244">
        <f>SUM(E17:E32)</f>
        <v>31627.001000000004</v>
      </c>
      <c r="F33" s="6"/>
      <c r="G33" s="6"/>
      <c r="H33" s="6"/>
      <c r="I33" s="6"/>
      <c r="J33" s="48"/>
      <c r="K33" s="93">
        <f>SUM(K17:K32)</f>
        <v>31627.001000000004</v>
      </c>
      <c r="L33" s="85">
        <f>SUM(L17:L32)</f>
        <v>-22969.293000000005</v>
      </c>
      <c r="M33" s="85">
        <f>SUM(M17:M32)</f>
        <v>8657.7080000000024</v>
      </c>
      <c r="N33" s="115">
        <f>SUM(N17:N32)</f>
        <v>0</v>
      </c>
      <c r="O33" s="85">
        <f>SUM(O17:O32)</f>
        <v>8657.7080000000024</v>
      </c>
      <c r="P33" s="52">
        <f t="shared" ref="P33:P38" si="40">+N33/M33</f>
        <v>0</v>
      </c>
    </row>
    <row r="34" spans="2:16" ht="15.75" thickBot="1">
      <c r="B34" s="368" t="s">
        <v>19</v>
      </c>
      <c r="C34" s="195" t="s">
        <v>51</v>
      </c>
      <c r="D34" s="40" t="s">
        <v>50</v>
      </c>
      <c r="E34" s="41">
        <v>4.8810000000000002</v>
      </c>
      <c r="F34" s="36"/>
      <c r="G34" s="45">
        <f>+E34+F34</f>
        <v>4.8810000000000002</v>
      </c>
      <c r="H34" s="36"/>
      <c r="I34" s="45">
        <f>+G34-H34</f>
        <v>4.8810000000000002</v>
      </c>
      <c r="J34" s="59">
        <f>+H34/G34</f>
        <v>0</v>
      </c>
      <c r="K34" s="190">
        <f t="shared" ref="K34:L36" si="41">E34</f>
        <v>4.8810000000000002</v>
      </c>
      <c r="L34" s="191">
        <f t="shared" si="41"/>
        <v>0</v>
      </c>
      <c r="M34" s="192">
        <f>+K34+L34</f>
        <v>4.8810000000000002</v>
      </c>
      <c r="N34" s="191">
        <f>H34</f>
        <v>0</v>
      </c>
      <c r="O34" s="192">
        <f>+M34-N34</f>
        <v>4.8810000000000002</v>
      </c>
      <c r="P34" s="193">
        <f t="shared" si="40"/>
        <v>0</v>
      </c>
    </row>
    <row r="35" spans="2:16" ht="15.75" thickBot="1">
      <c r="B35" s="369"/>
      <c r="C35" s="196" t="s">
        <v>52</v>
      </c>
      <c r="D35" s="40" t="s">
        <v>50</v>
      </c>
      <c r="E35" s="42">
        <v>313.08800000000002</v>
      </c>
      <c r="F35" s="10"/>
      <c r="G35" s="46">
        <f>+E35+F35</f>
        <v>313.08800000000002</v>
      </c>
      <c r="H35" s="122"/>
      <c r="I35" s="46">
        <f>+G35-H35</f>
        <v>313.08800000000002</v>
      </c>
      <c r="J35" s="60">
        <f>+H35/G35</f>
        <v>0</v>
      </c>
      <c r="K35" s="190">
        <f t="shared" si="41"/>
        <v>313.08800000000002</v>
      </c>
      <c r="L35" s="191">
        <f t="shared" si="41"/>
        <v>0</v>
      </c>
      <c r="M35" s="192">
        <f>+K35+L35</f>
        <v>313.08800000000002</v>
      </c>
      <c r="N35" s="191">
        <f>H35</f>
        <v>0</v>
      </c>
      <c r="O35" s="192">
        <f>+M35-N35</f>
        <v>313.08800000000002</v>
      </c>
      <c r="P35" s="193">
        <f t="shared" si="40"/>
        <v>0</v>
      </c>
    </row>
    <row r="36" spans="2:16">
      <c r="B36" s="369"/>
      <c r="C36" s="196" t="s">
        <v>53</v>
      </c>
      <c r="D36" s="40" t="s">
        <v>50</v>
      </c>
      <c r="E36" s="42">
        <v>1167.0309999999999</v>
      </c>
      <c r="F36" s="10"/>
      <c r="G36" s="46">
        <f>+E36+F36</f>
        <v>1167.0309999999999</v>
      </c>
      <c r="H36" s="132"/>
      <c r="I36" s="46">
        <f>+G36-H36</f>
        <v>1167.0309999999999</v>
      </c>
      <c r="J36" s="60">
        <f>+H36/G36</f>
        <v>0</v>
      </c>
      <c r="K36" s="190">
        <f t="shared" si="41"/>
        <v>1167.0309999999999</v>
      </c>
      <c r="L36" s="191">
        <f t="shared" si="41"/>
        <v>0</v>
      </c>
      <c r="M36" s="192">
        <f>+K36+L36</f>
        <v>1167.0309999999999</v>
      </c>
      <c r="N36" s="191">
        <f>H36</f>
        <v>0</v>
      </c>
      <c r="O36" s="192">
        <f>+M36-N36</f>
        <v>1167.0309999999999</v>
      </c>
      <c r="P36" s="193">
        <f t="shared" si="40"/>
        <v>0</v>
      </c>
    </row>
    <row r="37" spans="2:16" s="9" customFormat="1" ht="15.75" thickBot="1">
      <c r="B37" s="33"/>
      <c r="C37" s="34"/>
      <c r="D37" s="29"/>
      <c r="E37" s="244">
        <f>SUM(E34:E36)</f>
        <v>1485</v>
      </c>
      <c r="F37" s="35"/>
      <c r="G37" s="35"/>
      <c r="H37" s="35"/>
      <c r="I37" s="35"/>
      <c r="J37" s="52"/>
      <c r="K37" s="92">
        <f>SUM(K34:K36)</f>
        <v>1485</v>
      </c>
      <c r="L37" s="82">
        <f>SUM(L34:L36)</f>
        <v>0</v>
      </c>
      <c r="M37" s="82">
        <f>SUM(M34:M36)</f>
        <v>1485</v>
      </c>
      <c r="N37" s="82">
        <f>SUM(N34:N36)</f>
        <v>0</v>
      </c>
      <c r="O37" s="82">
        <f>SUM(O34:O36)</f>
        <v>1485</v>
      </c>
      <c r="P37" s="126">
        <f t="shared" si="40"/>
        <v>0</v>
      </c>
    </row>
    <row r="38" spans="2:16">
      <c r="B38" s="361" t="s">
        <v>28</v>
      </c>
      <c r="C38" s="38" t="s">
        <v>54</v>
      </c>
      <c r="D38" s="43" t="s">
        <v>55</v>
      </c>
      <c r="E38" s="41">
        <v>204.947</v>
      </c>
      <c r="F38" s="36"/>
      <c r="G38" s="45">
        <f>+E38+F38</f>
        <v>204.947</v>
      </c>
      <c r="H38" s="36"/>
      <c r="I38" s="45">
        <f>+G38-H38</f>
        <v>204.947</v>
      </c>
      <c r="J38" s="50">
        <f>+H38/G38</f>
        <v>0</v>
      </c>
      <c r="K38" s="56">
        <f>+E38</f>
        <v>204.947</v>
      </c>
      <c r="L38" s="23">
        <f>+F38</f>
        <v>0</v>
      </c>
      <c r="M38" s="57">
        <f>+K38+L38</f>
        <v>204.947</v>
      </c>
      <c r="N38" s="134">
        <f t="shared" ref="N38:N45" si="42">+H38</f>
        <v>0</v>
      </c>
      <c r="O38" s="57">
        <f>+M38-N38</f>
        <v>204.947</v>
      </c>
      <c r="P38" s="50">
        <f t="shared" si="40"/>
        <v>0</v>
      </c>
    </row>
    <row r="39" spans="2:16">
      <c r="B39" s="362"/>
      <c r="C39" s="39" t="s">
        <v>39</v>
      </c>
      <c r="D39" s="44" t="s">
        <v>55</v>
      </c>
      <c r="E39" s="42">
        <v>892.30700000000002</v>
      </c>
      <c r="F39" s="10">
        <f>-890</f>
        <v>-890</v>
      </c>
      <c r="G39" s="46">
        <f t="shared" ref="G39:G45" si="43">+E39+F39</f>
        <v>2.3070000000000164</v>
      </c>
      <c r="H39" s="10"/>
      <c r="I39" s="46">
        <f t="shared" ref="I39:I45" si="44">+G39-H39</f>
        <v>2.3070000000000164</v>
      </c>
      <c r="J39" s="51">
        <f t="shared" ref="J39:J45" si="45">+H39/G39</f>
        <v>0</v>
      </c>
      <c r="K39" s="58">
        <f t="shared" ref="K39:K45" si="46">+E39</f>
        <v>892.30700000000002</v>
      </c>
      <c r="L39" s="22">
        <f>+F39</f>
        <v>-890</v>
      </c>
      <c r="M39" s="55">
        <f t="shared" ref="M39:M45" si="47">+K39+L39</f>
        <v>2.3070000000000164</v>
      </c>
      <c r="N39" s="133">
        <f t="shared" si="42"/>
        <v>0</v>
      </c>
      <c r="O39" s="55">
        <f t="shared" ref="O39:O45" si="48">+M39-N39</f>
        <v>2.3070000000000164</v>
      </c>
      <c r="P39" s="51">
        <f t="shared" ref="P39:P45" si="49">+N39/M39</f>
        <v>0</v>
      </c>
    </row>
    <row r="40" spans="2:16">
      <c r="B40" s="362"/>
      <c r="C40" s="39" t="s">
        <v>45</v>
      </c>
      <c r="D40" s="44" t="s">
        <v>55</v>
      </c>
      <c r="E40" s="42">
        <v>0.15</v>
      </c>
      <c r="F40" s="10"/>
      <c r="G40" s="46">
        <f t="shared" si="43"/>
        <v>0.15</v>
      </c>
      <c r="H40" s="10"/>
      <c r="I40" s="46">
        <f t="shared" si="44"/>
        <v>0.15</v>
      </c>
      <c r="J40" s="51">
        <f t="shared" si="45"/>
        <v>0</v>
      </c>
      <c r="K40" s="58">
        <f t="shared" si="46"/>
        <v>0.15</v>
      </c>
      <c r="L40" s="22">
        <f t="shared" ref="L40:L45" si="50">+F40</f>
        <v>0</v>
      </c>
      <c r="M40" s="55">
        <f t="shared" si="47"/>
        <v>0.15</v>
      </c>
      <c r="N40" s="133">
        <f t="shared" si="42"/>
        <v>0</v>
      </c>
      <c r="O40" s="55">
        <f t="shared" si="48"/>
        <v>0.15</v>
      </c>
      <c r="P40" s="51">
        <f t="shared" si="49"/>
        <v>0</v>
      </c>
    </row>
    <row r="41" spans="2:16">
      <c r="B41" s="362"/>
      <c r="C41" s="39" t="s">
        <v>56</v>
      </c>
      <c r="D41" s="44" t="s">
        <v>55</v>
      </c>
      <c r="E41" s="42">
        <v>5.7460000000000004</v>
      </c>
      <c r="F41" s="10"/>
      <c r="G41" s="46">
        <f t="shared" si="43"/>
        <v>5.7460000000000004</v>
      </c>
      <c r="H41" s="10"/>
      <c r="I41" s="46">
        <f t="shared" si="44"/>
        <v>5.7460000000000004</v>
      </c>
      <c r="J41" s="51">
        <f t="shared" si="45"/>
        <v>0</v>
      </c>
      <c r="K41" s="58">
        <f t="shared" si="46"/>
        <v>5.7460000000000004</v>
      </c>
      <c r="L41" s="22">
        <f t="shared" si="50"/>
        <v>0</v>
      </c>
      <c r="M41" s="55">
        <f t="shared" si="47"/>
        <v>5.7460000000000004</v>
      </c>
      <c r="N41" s="133">
        <f t="shared" si="42"/>
        <v>0</v>
      </c>
      <c r="O41" s="55">
        <f t="shared" si="48"/>
        <v>5.7460000000000004</v>
      </c>
      <c r="P41" s="51">
        <f t="shared" si="49"/>
        <v>0</v>
      </c>
    </row>
    <row r="42" spans="2:16">
      <c r="B42" s="362"/>
      <c r="C42" s="39" t="s">
        <v>167</v>
      </c>
      <c r="D42" s="44" t="s">
        <v>55</v>
      </c>
      <c r="E42" s="42">
        <v>6.4950000000000001</v>
      </c>
      <c r="F42" s="10"/>
      <c r="G42" s="46">
        <f t="shared" si="43"/>
        <v>6.4950000000000001</v>
      </c>
      <c r="H42" s="10"/>
      <c r="I42" s="46">
        <f t="shared" si="44"/>
        <v>6.4950000000000001</v>
      </c>
      <c r="J42" s="51">
        <f t="shared" si="45"/>
        <v>0</v>
      </c>
      <c r="K42" s="58">
        <f t="shared" si="46"/>
        <v>6.4950000000000001</v>
      </c>
      <c r="L42" s="22">
        <f t="shared" si="50"/>
        <v>0</v>
      </c>
      <c r="M42" s="55">
        <f t="shared" si="47"/>
        <v>6.4950000000000001</v>
      </c>
      <c r="N42" s="133">
        <f t="shared" si="42"/>
        <v>0</v>
      </c>
      <c r="O42" s="55">
        <f t="shared" si="48"/>
        <v>6.4950000000000001</v>
      </c>
      <c r="P42" s="51">
        <f t="shared" si="49"/>
        <v>0</v>
      </c>
    </row>
    <row r="43" spans="2:16">
      <c r="B43" s="362"/>
      <c r="C43" s="97" t="s">
        <v>168</v>
      </c>
      <c r="D43" s="44" t="s">
        <v>55</v>
      </c>
      <c r="E43" s="42">
        <v>0</v>
      </c>
      <c r="F43" s="10"/>
      <c r="G43" s="46">
        <f t="shared" si="43"/>
        <v>0</v>
      </c>
      <c r="H43" s="10"/>
      <c r="I43" s="46">
        <f t="shared" si="44"/>
        <v>0</v>
      </c>
      <c r="J43" s="51" t="e">
        <f t="shared" si="45"/>
        <v>#DIV/0!</v>
      </c>
      <c r="K43" s="58">
        <f t="shared" si="46"/>
        <v>0</v>
      </c>
      <c r="L43" s="22">
        <f t="shared" si="50"/>
        <v>0</v>
      </c>
      <c r="M43" s="55">
        <f t="shared" si="47"/>
        <v>0</v>
      </c>
      <c r="N43" s="133">
        <f t="shared" si="42"/>
        <v>0</v>
      </c>
      <c r="O43" s="55">
        <f t="shared" si="48"/>
        <v>0</v>
      </c>
      <c r="P43" s="51" t="e">
        <f t="shared" si="49"/>
        <v>#DIV/0!</v>
      </c>
    </row>
    <row r="44" spans="2:16">
      <c r="B44" s="362"/>
      <c r="C44" s="39" t="s">
        <v>57</v>
      </c>
      <c r="D44" s="44" t="s">
        <v>55</v>
      </c>
      <c r="E44" s="42">
        <v>383.03</v>
      </c>
      <c r="F44" s="10"/>
      <c r="G44" s="46">
        <f t="shared" si="43"/>
        <v>383.03</v>
      </c>
      <c r="H44" s="10"/>
      <c r="I44" s="46">
        <f t="shared" si="44"/>
        <v>383.03</v>
      </c>
      <c r="J44" s="51">
        <f t="shared" si="45"/>
        <v>0</v>
      </c>
      <c r="K44" s="58">
        <f t="shared" si="46"/>
        <v>383.03</v>
      </c>
      <c r="L44" s="22">
        <f t="shared" si="50"/>
        <v>0</v>
      </c>
      <c r="M44" s="55">
        <f t="shared" si="47"/>
        <v>383.03</v>
      </c>
      <c r="N44" s="133">
        <f t="shared" si="42"/>
        <v>0</v>
      </c>
      <c r="O44" s="55">
        <f t="shared" si="48"/>
        <v>383.03</v>
      </c>
      <c r="P44" s="51">
        <f t="shared" si="49"/>
        <v>0</v>
      </c>
    </row>
    <row r="45" spans="2:16">
      <c r="B45" s="362"/>
      <c r="C45" s="39" t="s">
        <v>58</v>
      </c>
      <c r="D45" s="44" t="s">
        <v>55</v>
      </c>
      <c r="E45" s="42">
        <v>2.593</v>
      </c>
      <c r="F45" s="10"/>
      <c r="G45" s="46">
        <f t="shared" si="43"/>
        <v>2.593</v>
      </c>
      <c r="H45" s="10"/>
      <c r="I45" s="46">
        <f t="shared" si="44"/>
        <v>2.593</v>
      </c>
      <c r="J45" s="51">
        <f t="shared" si="45"/>
        <v>0</v>
      </c>
      <c r="K45" s="58">
        <f t="shared" si="46"/>
        <v>2.593</v>
      </c>
      <c r="L45" s="22">
        <f t="shared" si="50"/>
        <v>0</v>
      </c>
      <c r="M45" s="55">
        <f t="shared" si="47"/>
        <v>2.593</v>
      </c>
      <c r="N45" s="133">
        <f t="shared" si="42"/>
        <v>0</v>
      </c>
      <c r="O45" s="55">
        <f t="shared" si="48"/>
        <v>2.593</v>
      </c>
      <c r="P45" s="51">
        <f t="shared" si="49"/>
        <v>0</v>
      </c>
    </row>
    <row r="46" spans="2:16" s="77" customFormat="1">
      <c r="B46" s="363"/>
      <c r="C46" s="288" t="s">
        <v>327</v>
      </c>
      <c r="D46" s="44" t="s">
        <v>55</v>
      </c>
      <c r="E46" s="289">
        <v>0</v>
      </c>
      <c r="F46" s="290">
        <f>0.12</f>
        <v>0.12</v>
      </c>
      <c r="G46" s="46">
        <f t="shared" ref="G46" si="51">+E46+F46</f>
        <v>0.12</v>
      </c>
      <c r="H46" s="10"/>
      <c r="I46" s="46">
        <f t="shared" ref="I46" si="52">+G46-H46</f>
        <v>0.12</v>
      </c>
      <c r="J46" s="51">
        <f t="shared" ref="J46" si="53">+H46/G46</f>
        <v>0</v>
      </c>
      <c r="K46" s="58">
        <f t="shared" ref="K46" si="54">+E46</f>
        <v>0</v>
      </c>
      <c r="L46" s="78">
        <f t="shared" ref="L46" si="55">+F46</f>
        <v>0.12</v>
      </c>
      <c r="M46" s="55">
        <f t="shared" ref="M46" si="56">+K46+L46</f>
        <v>0.12</v>
      </c>
      <c r="N46" s="180">
        <f t="shared" ref="N46" si="57">+H46</f>
        <v>0</v>
      </c>
      <c r="O46" s="55">
        <f t="shared" ref="O46" si="58">+M46-N46</f>
        <v>0.12</v>
      </c>
      <c r="P46" s="51">
        <f t="shared" ref="P46" si="59">+N46/M46</f>
        <v>0</v>
      </c>
    </row>
    <row r="47" spans="2:16" s="77" customFormat="1">
      <c r="B47" s="363"/>
      <c r="C47" s="303" t="s">
        <v>337</v>
      </c>
      <c r="D47" s="44" t="s">
        <v>55</v>
      </c>
      <c r="E47" s="304">
        <v>2.97</v>
      </c>
      <c r="F47" s="305"/>
      <c r="G47" s="46">
        <f t="shared" ref="G47" si="60">+E47+F47</f>
        <v>2.97</v>
      </c>
      <c r="H47" s="10"/>
      <c r="I47" s="46">
        <f t="shared" ref="I47" si="61">+G47-H47</f>
        <v>2.97</v>
      </c>
      <c r="J47" s="51">
        <f t="shared" ref="J47" si="62">+H47/G47</f>
        <v>0</v>
      </c>
      <c r="K47" s="58">
        <f t="shared" ref="K47" si="63">+E47</f>
        <v>2.97</v>
      </c>
      <c r="L47" s="78">
        <f t="shared" ref="L47" si="64">+F47</f>
        <v>0</v>
      </c>
      <c r="M47" s="55">
        <f t="shared" ref="M47" si="65">+K47+L47</f>
        <v>2.97</v>
      </c>
      <c r="N47" s="180">
        <f t="shared" ref="N47" si="66">+H47</f>
        <v>0</v>
      </c>
      <c r="O47" s="55">
        <f t="shared" ref="O47" si="67">+M47-N47</f>
        <v>2.97</v>
      </c>
      <c r="P47" s="51">
        <f t="shared" ref="P47" si="68">+N47/M47</f>
        <v>0</v>
      </c>
    </row>
    <row r="48" spans="2:16" s="77" customFormat="1">
      <c r="B48" s="363"/>
      <c r="C48" s="232" t="s">
        <v>59</v>
      </c>
      <c r="D48" s="233" t="s">
        <v>55</v>
      </c>
      <c r="E48" s="234">
        <v>1.7549999999999999</v>
      </c>
      <c r="F48" s="235">
        <f>-0.12</f>
        <v>-0.12</v>
      </c>
      <c r="G48" s="236">
        <f>+E48+F48</f>
        <v>1.6349999999999998</v>
      </c>
      <c r="H48" s="235"/>
      <c r="I48" s="236">
        <f>+G48-H48</f>
        <v>1.6349999999999998</v>
      </c>
      <c r="J48" s="237">
        <f>+H48/G48</f>
        <v>0</v>
      </c>
      <c r="K48" s="238">
        <f>+E48</f>
        <v>1.7549999999999999</v>
      </c>
      <c r="L48" s="239">
        <f>+F48</f>
        <v>-0.12</v>
      </c>
      <c r="M48" s="240">
        <f>+K48+L48</f>
        <v>1.6349999999999998</v>
      </c>
      <c r="N48" s="241">
        <f t="shared" ref="N48" si="69">+H48</f>
        <v>0</v>
      </c>
      <c r="O48" s="240">
        <f>+M48-N48</f>
        <v>1.6349999999999998</v>
      </c>
      <c r="P48" s="237">
        <f>+N48/M48</f>
        <v>0</v>
      </c>
    </row>
    <row r="49" spans="2:16">
      <c r="E49" s="246">
        <f>SUM(E38:E48)</f>
        <v>1499.9930000000002</v>
      </c>
      <c r="F49">
        <f>SUM(F38:F48)</f>
        <v>-890</v>
      </c>
      <c r="K49" s="83">
        <f>SUM(K38:K48)</f>
        <v>1499.9930000000002</v>
      </c>
      <c r="L49" s="83">
        <f>SUM(L38:L48)</f>
        <v>-890</v>
      </c>
      <c r="M49" s="83">
        <f>SUM(M38:M48)</f>
        <v>609.99299999999994</v>
      </c>
      <c r="N49" s="137">
        <f>SUM(N38:N48)</f>
        <v>0</v>
      </c>
      <c r="O49" s="83">
        <f>SUM(O38:O48)</f>
        <v>609.99299999999994</v>
      </c>
      <c r="P49" s="84">
        <f>+N49/M49</f>
        <v>0</v>
      </c>
    </row>
    <row r="52" spans="2:16">
      <c r="C52" s="245"/>
      <c r="D52" s="245"/>
      <c r="E52" s="245"/>
      <c r="F52" s="245"/>
      <c r="G52" s="245"/>
      <c r="H52" s="245"/>
      <c r="I52" s="245"/>
    </row>
    <row r="53" spans="2:16">
      <c r="B53" s="243"/>
      <c r="C53" s="245"/>
      <c r="D53" s="245"/>
      <c r="E53" s="245"/>
      <c r="F53" s="245"/>
      <c r="G53" s="245"/>
      <c r="H53" s="245"/>
      <c r="I53" s="245"/>
      <c r="J53" s="77"/>
      <c r="K53" s="77"/>
      <c r="L53" s="77"/>
    </row>
    <row r="54" spans="2:16">
      <c r="K54" s="77"/>
      <c r="L54" s="77"/>
    </row>
    <row r="55" spans="2:16" ht="16.5" customHeight="1">
      <c r="K55" s="77"/>
      <c r="M55" s="3"/>
      <c r="N55"/>
    </row>
    <row r="56" spans="2:16" ht="15" customHeight="1">
      <c r="K56" s="77"/>
      <c r="M56" s="3"/>
      <c r="N56"/>
    </row>
    <row r="57" spans="2:16" ht="15.75" customHeight="1">
      <c r="K57" s="77"/>
      <c r="M57" s="3"/>
      <c r="N57"/>
    </row>
    <row r="58" spans="2:16">
      <c r="N58"/>
    </row>
    <row r="59" spans="2:16">
      <c r="N59"/>
    </row>
    <row r="60" spans="2:16">
      <c r="N60"/>
    </row>
    <row r="61" spans="2:16">
      <c r="N61"/>
    </row>
    <row r="62" spans="2:16">
      <c r="N62"/>
    </row>
    <row r="63" spans="2:16">
      <c r="N63"/>
    </row>
    <row r="64" spans="2:16">
      <c r="N64"/>
    </row>
    <row r="65" spans="14:14">
      <c r="N65"/>
    </row>
    <row r="66" spans="14:14">
      <c r="N66"/>
    </row>
    <row r="67" spans="14:14">
      <c r="N67"/>
    </row>
    <row r="68" spans="14:14">
      <c r="N68"/>
    </row>
    <row r="69" spans="14:14">
      <c r="N69"/>
    </row>
    <row r="70" spans="14:14">
      <c r="N70"/>
    </row>
    <row r="71" spans="14:14">
      <c r="N71"/>
    </row>
    <row r="72" spans="14:14">
      <c r="N72"/>
    </row>
    <row r="73" spans="14:14">
      <c r="N73"/>
    </row>
    <row r="74" spans="14:14">
      <c r="N74"/>
    </row>
    <row r="75" spans="14:14">
      <c r="N75"/>
    </row>
    <row r="76" spans="14:14">
      <c r="N76"/>
    </row>
    <row r="77" spans="14:14">
      <c r="N77"/>
    </row>
    <row r="78" spans="14:14">
      <c r="N78"/>
    </row>
    <row r="79" spans="14:14">
      <c r="N79"/>
    </row>
    <row r="80" spans="14:14">
      <c r="N80"/>
    </row>
    <row r="81" spans="14:14">
      <c r="N81"/>
    </row>
    <row r="82" spans="14:14">
      <c r="N82"/>
    </row>
    <row r="83" spans="14:14"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  <row r="97" spans="14:14">
      <c r="N97"/>
    </row>
    <row r="98" spans="14:14">
      <c r="N98"/>
    </row>
    <row r="99" spans="14:14">
      <c r="N99"/>
    </row>
    <row r="100" spans="14:14">
      <c r="N100"/>
    </row>
    <row r="101" spans="14:14">
      <c r="N101"/>
    </row>
    <row r="102" spans="14:14">
      <c r="N102"/>
    </row>
    <row r="103" spans="14:14">
      <c r="N103"/>
    </row>
    <row r="104" spans="14:14" ht="15" customHeight="1"/>
    <row r="105" spans="14:14" ht="15.75" customHeight="1"/>
  </sheetData>
  <sortState ref="C16:C32">
    <sortCondition ref="C16"/>
  </sortState>
  <mergeCells count="9">
    <mergeCell ref="B5:P6"/>
    <mergeCell ref="B7:P7"/>
    <mergeCell ref="H9:J9"/>
    <mergeCell ref="E9:G9"/>
    <mergeCell ref="B38:B48"/>
    <mergeCell ref="K9:P9"/>
    <mergeCell ref="B17:B32"/>
    <mergeCell ref="B34:B36"/>
    <mergeCell ref="B11:B15"/>
  </mergeCells>
  <conditionalFormatting sqref="J11:J48 P11:P49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35 M34 M33:O33 M11 G12 M17 M38:M45 G36 M19:M29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21"/>
  <sheetViews>
    <sheetView workbookViewId="0">
      <pane ySplit="4" topLeftCell="A125" activePane="bottomLeft" state="frozen"/>
      <selection pane="bottomLeft" activeCell="H132" sqref="H132:H145"/>
    </sheetView>
  </sheetViews>
  <sheetFormatPr baseColWidth="10" defaultRowHeight="15"/>
  <cols>
    <col min="1" max="1" width="4.5703125" style="89" customWidth="1"/>
    <col min="2" max="2" width="9.140625" style="138" bestFit="1" customWidth="1"/>
    <col min="3" max="3" width="13.140625" style="138" customWidth="1"/>
    <col min="4" max="5" width="11.42578125" style="138"/>
    <col min="6" max="6" width="19.85546875" style="138" bestFit="1" customWidth="1"/>
    <col min="7" max="8" width="11.42578125" style="138"/>
    <col min="9" max="9" width="10.42578125" style="138" bestFit="1" customWidth="1"/>
    <col min="10" max="10" width="11.85546875" style="138" bestFit="1" customWidth="1"/>
    <col min="11" max="11" width="12.7109375" style="138" bestFit="1" customWidth="1"/>
    <col min="12" max="13" width="10" style="138" customWidth="1"/>
    <col min="14" max="14" width="13.42578125" style="138" customWidth="1"/>
    <col min="15" max="15" width="13.5703125" style="138" customWidth="1"/>
    <col min="16" max="17" width="11.42578125" style="89"/>
    <col min="18" max="18" width="15" style="89" bestFit="1" customWidth="1"/>
    <col min="19" max="20" width="17.7109375" style="89" customWidth="1"/>
    <col min="21" max="21" width="13" style="89" bestFit="1" customWidth="1"/>
    <col min="22" max="22" width="15" style="89" bestFit="1" customWidth="1"/>
    <col min="23" max="23" width="16.42578125" style="89" bestFit="1" customWidth="1"/>
    <col min="24" max="16384" width="11.42578125" style="89"/>
  </cols>
  <sheetData>
    <row r="1" spans="2:23" ht="15.75" thickBo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2:23" ht="15.75" thickBot="1">
      <c r="B2" s="89"/>
      <c r="C2" s="89"/>
      <c r="D2" s="89"/>
      <c r="E2" s="89"/>
      <c r="F2" s="89"/>
      <c r="G2" s="89"/>
      <c r="H2" s="380" t="s">
        <v>158</v>
      </c>
      <c r="I2" s="376"/>
      <c r="J2" s="376"/>
      <c r="K2" s="377"/>
      <c r="L2" s="376" t="s">
        <v>159</v>
      </c>
      <c r="M2" s="376"/>
      <c r="N2" s="376"/>
      <c r="O2" s="377"/>
    </row>
    <row r="3" spans="2:23" ht="15.75" thickBot="1">
      <c r="B3" s="89"/>
      <c r="C3" s="89"/>
      <c r="D3" s="89"/>
      <c r="E3" s="89"/>
      <c r="F3" s="89"/>
      <c r="G3" s="89"/>
      <c r="H3" s="135" t="s">
        <v>112</v>
      </c>
      <c r="I3" s="135" t="s">
        <v>113</v>
      </c>
      <c r="J3" s="135" t="s">
        <v>114</v>
      </c>
      <c r="K3" s="135" t="s">
        <v>115</v>
      </c>
      <c r="L3" s="136" t="s">
        <v>112</v>
      </c>
      <c r="M3" s="136" t="s">
        <v>113</v>
      </c>
      <c r="N3" s="136" t="s">
        <v>114</v>
      </c>
      <c r="O3" s="136" t="s">
        <v>115</v>
      </c>
      <c r="S3" s="378" t="s">
        <v>157</v>
      </c>
      <c r="T3" s="378"/>
      <c r="U3" s="379"/>
      <c r="V3" s="379"/>
      <c r="W3" s="379"/>
    </row>
    <row r="4" spans="2:23" ht="30">
      <c r="B4" s="140" t="s">
        <v>107</v>
      </c>
      <c r="C4" s="141" t="s">
        <v>108</v>
      </c>
      <c r="D4" s="142" t="s">
        <v>109</v>
      </c>
      <c r="E4" s="141" t="s">
        <v>22</v>
      </c>
      <c r="F4" s="141" t="s">
        <v>110</v>
      </c>
      <c r="G4" s="141" t="s">
        <v>111</v>
      </c>
      <c r="H4" s="141" t="s">
        <v>100</v>
      </c>
      <c r="I4" s="141" t="s">
        <v>100</v>
      </c>
      <c r="J4" s="141" t="s">
        <v>100</v>
      </c>
      <c r="K4" s="141" t="s">
        <v>100</v>
      </c>
      <c r="L4" s="118" t="s">
        <v>101</v>
      </c>
      <c r="M4" s="118" t="s">
        <v>101</v>
      </c>
      <c r="N4" s="118" t="s">
        <v>101</v>
      </c>
      <c r="O4" s="119" t="s">
        <v>101</v>
      </c>
      <c r="S4" s="121" t="s">
        <v>112</v>
      </c>
      <c r="T4" s="263" t="s">
        <v>112</v>
      </c>
      <c r="U4" s="121" t="s">
        <v>113</v>
      </c>
      <c r="V4" s="121" t="s">
        <v>114</v>
      </c>
      <c r="W4" s="121" t="s">
        <v>115</v>
      </c>
    </row>
    <row r="5" spans="2:23" ht="15" customHeight="1">
      <c r="B5" s="260" t="s">
        <v>305</v>
      </c>
      <c r="C5" s="262">
        <v>44960</v>
      </c>
      <c r="D5" s="261">
        <v>296</v>
      </c>
      <c r="E5" s="261" t="s">
        <v>10</v>
      </c>
      <c r="F5" s="261" t="s">
        <v>306</v>
      </c>
      <c r="G5" s="261" t="s">
        <v>338</v>
      </c>
      <c r="H5" s="351">
        <v>0</v>
      </c>
      <c r="I5" s="260"/>
      <c r="J5" s="349">
        <f>H5-(SUM(I5:I21))</f>
        <v>0</v>
      </c>
      <c r="K5" s="350" t="e">
        <f>(SUM(I5:I21))/H5</f>
        <v>#DIV/0!</v>
      </c>
      <c r="L5" s="89"/>
      <c r="M5" s="89"/>
      <c r="N5" s="89"/>
      <c r="O5" s="89"/>
      <c r="S5" s="124" t="s">
        <v>100</v>
      </c>
      <c r="T5" s="180">
        <f>SUM(H5:H1009)</f>
        <v>57709.81500000001</v>
      </c>
      <c r="U5" s="180">
        <f>SUM(I5:I1009)</f>
        <v>15181.979000000001</v>
      </c>
      <c r="V5" s="180">
        <f>+T5-U5</f>
        <v>42527.83600000001</v>
      </c>
      <c r="W5" s="86">
        <f>+U5/T5</f>
        <v>0.26307447008797374</v>
      </c>
    </row>
    <row r="6" spans="2:23" ht="15" customHeight="1">
      <c r="B6" s="260" t="s">
        <v>305</v>
      </c>
      <c r="C6" s="262">
        <v>44960</v>
      </c>
      <c r="D6" s="261">
        <v>296</v>
      </c>
      <c r="E6" s="261" t="s">
        <v>10</v>
      </c>
      <c r="F6" s="261" t="s">
        <v>234</v>
      </c>
      <c r="G6" s="261">
        <v>969667</v>
      </c>
      <c r="H6" s="351"/>
      <c r="I6" s="260"/>
      <c r="J6" s="349"/>
      <c r="K6" s="350"/>
      <c r="L6" s="89"/>
      <c r="M6" s="89"/>
      <c r="N6" s="89"/>
      <c r="O6" s="89"/>
      <c r="S6" s="124" t="s">
        <v>120</v>
      </c>
      <c r="T6" s="180">
        <f>L158</f>
        <v>890</v>
      </c>
      <c r="U6" s="180">
        <f>M158+M159+M160+M161+M162</f>
        <v>645.29999999999995</v>
      </c>
      <c r="V6" s="180">
        <f>+T6-U6</f>
        <v>244.70000000000005</v>
      </c>
      <c r="W6" s="86">
        <f>+U6/T6</f>
        <v>0.72505617977528081</v>
      </c>
    </row>
    <row r="7" spans="2:23" ht="15" customHeight="1">
      <c r="B7" s="260" t="s">
        <v>305</v>
      </c>
      <c r="C7" s="262">
        <v>44960</v>
      </c>
      <c r="D7" s="261">
        <v>296</v>
      </c>
      <c r="E7" s="261" t="s">
        <v>10</v>
      </c>
      <c r="F7" s="261" t="s">
        <v>307</v>
      </c>
      <c r="G7" s="261">
        <v>700408</v>
      </c>
      <c r="H7" s="351"/>
      <c r="I7" s="260"/>
      <c r="J7" s="349"/>
      <c r="K7" s="350"/>
      <c r="L7" s="89"/>
      <c r="M7" s="89"/>
      <c r="N7" s="89"/>
      <c r="O7" s="89"/>
      <c r="S7" s="124" t="s">
        <v>121</v>
      </c>
      <c r="T7" s="123">
        <f>SUM(T5:T6)</f>
        <v>58599.81500000001</v>
      </c>
      <c r="U7" s="124">
        <f>SUM(U5:U6)</f>
        <v>15827.279</v>
      </c>
      <c r="V7" s="123">
        <f>+T7-U7</f>
        <v>42772.536000000007</v>
      </c>
      <c r="W7" s="125">
        <f>+U7/T7</f>
        <v>0.27009093800040151</v>
      </c>
    </row>
    <row r="8" spans="2:23" ht="15" customHeight="1">
      <c r="B8" s="260" t="s">
        <v>305</v>
      </c>
      <c r="C8" s="262">
        <v>44960</v>
      </c>
      <c r="D8" s="261">
        <v>296</v>
      </c>
      <c r="E8" s="261" t="s">
        <v>10</v>
      </c>
      <c r="F8" s="261" t="s">
        <v>233</v>
      </c>
      <c r="G8" s="261">
        <v>967935</v>
      </c>
      <c r="H8" s="351"/>
      <c r="I8" s="260"/>
      <c r="J8" s="349"/>
      <c r="K8" s="350"/>
      <c r="L8" s="89"/>
      <c r="M8" s="89"/>
      <c r="N8" s="89"/>
      <c r="O8" s="89"/>
      <c r="S8" s="223" t="s">
        <v>147</v>
      </c>
      <c r="T8" s="221">
        <f>H22+H89+H146+H195+H205</f>
        <v>29756.297999999999</v>
      </c>
      <c r="U8" s="221">
        <f>I22+(SUM(I89:I131))+I146+(SUM(I195:I202))+I205</f>
        <v>5660.643</v>
      </c>
      <c r="V8" s="221">
        <f>T8-U8</f>
        <v>24095.654999999999</v>
      </c>
      <c r="W8" s="222">
        <f>U8/T8</f>
        <v>0.19023344234554984</v>
      </c>
    </row>
    <row r="9" spans="2:23" ht="15" customHeight="1">
      <c r="B9" s="260" t="s">
        <v>305</v>
      </c>
      <c r="C9" s="262">
        <v>44960</v>
      </c>
      <c r="D9" s="261">
        <v>296</v>
      </c>
      <c r="E9" s="261" t="s">
        <v>10</v>
      </c>
      <c r="F9" s="261" t="s">
        <v>235</v>
      </c>
      <c r="G9" s="261">
        <v>967513</v>
      </c>
      <c r="H9" s="351"/>
      <c r="I9" s="260"/>
      <c r="J9" s="349"/>
      <c r="K9" s="350"/>
      <c r="L9" s="89"/>
      <c r="M9" s="89"/>
      <c r="N9" s="89"/>
      <c r="O9" s="89"/>
      <c r="S9" s="223" t="s">
        <v>148</v>
      </c>
      <c r="T9" s="221">
        <f>H5+H132+H193+H203</f>
        <v>4984.2240000000002</v>
      </c>
      <c r="U9" s="221">
        <f>(SUM(I5:I21))+(SUM(I132:I145))</f>
        <v>0</v>
      </c>
      <c r="V9" s="221">
        <f>T9-U9</f>
        <v>4984.2240000000002</v>
      </c>
      <c r="W9" s="222">
        <f>U9/T9</f>
        <v>0</v>
      </c>
    </row>
    <row r="10" spans="2:23" ht="15" customHeight="1">
      <c r="B10" s="260" t="s">
        <v>305</v>
      </c>
      <c r="C10" s="262">
        <v>44960</v>
      </c>
      <c r="D10" s="261">
        <v>296</v>
      </c>
      <c r="E10" s="261" t="s">
        <v>10</v>
      </c>
      <c r="F10" s="261" t="s">
        <v>308</v>
      </c>
      <c r="G10" s="261">
        <v>968789</v>
      </c>
      <c r="H10" s="351"/>
      <c r="I10" s="260"/>
      <c r="J10" s="349"/>
      <c r="K10" s="350"/>
      <c r="L10" s="89"/>
      <c r="M10" s="89"/>
      <c r="N10" s="89"/>
      <c r="O10" s="89"/>
      <c r="S10" s="223" t="s">
        <v>146</v>
      </c>
      <c r="T10" s="221">
        <f>H51</f>
        <v>7571</v>
      </c>
      <c r="U10" s="221">
        <f>(SUM(I51:I65))</f>
        <v>0</v>
      </c>
      <c r="V10" s="221">
        <f>T10-U10</f>
        <v>7571</v>
      </c>
      <c r="W10" s="222">
        <f>U10/T10</f>
        <v>0</v>
      </c>
    </row>
    <row r="11" spans="2:23" ht="15" customHeight="1">
      <c r="B11" s="260" t="s">
        <v>305</v>
      </c>
      <c r="C11" s="262">
        <v>44960</v>
      </c>
      <c r="D11" s="261">
        <v>296</v>
      </c>
      <c r="E11" s="261" t="s">
        <v>10</v>
      </c>
      <c r="F11" s="261" t="s">
        <v>237</v>
      </c>
      <c r="G11" s="261">
        <v>919387</v>
      </c>
      <c r="H11" s="351"/>
      <c r="I11" s="260"/>
      <c r="J11" s="349"/>
      <c r="K11" s="350"/>
      <c r="L11" s="89"/>
      <c r="M11" s="89"/>
      <c r="N11" s="89"/>
      <c r="O11" s="89"/>
      <c r="S11" s="223" t="s">
        <v>149</v>
      </c>
      <c r="T11" s="221">
        <f>H23+H31+H37+H45+H48+H66+H86+H147+H157+H163+H173+H206</f>
        <v>15398.293000000001</v>
      </c>
      <c r="U11" s="221">
        <f>(SUM(I23:I30))+(SUM(I31:I36))+(SUM(I37:I44))+I45+I46+I47+I48+I49+I50+(SUM(I66:I85))+I86+I87+I88+(SUM(I147:I156))+I157</f>
        <v>9521.3359999999993</v>
      </c>
      <c r="V11" s="221">
        <f>T11-U11</f>
        <v>5876.9570000000022</v>
      </c>
      <c r="W11" s="222">
        <f>U11/T11</f>
        <v>0.61833711048360995</v>
      </c>
    </row>
    <row r="12" spans="2:23" ht="15" customHeight="1">
      <c r="B12" s="260" t="s">
        <v>305</v>
      </c>
      <c r="C12" s="262">
        <v>44960</v>
      </c>
      <c r="D12" s="261">
        <v>296</v>
      </c>
      <c r="E12" s="261" t="s">
        <v>10</v>
      </c>
      <c r="F12" s="260" t="s">
        <v>244</v>
      </c>
      <c r="G12" s="260">
        <v>698811</v>
      </c>
      <c r="H12" s="351"/>
      <c r="I12" s="260"/>
      <c r="J12" s="349"/>
      <c r="K12" s="350"/>
      <c r="L12" s="89"/>
      <c r="M12" s="89"/>
      <c r="N12" s="89"/>
      <c r="O12" s="89"/>
    </row>
    <row r="13" spans="2:23" ht="15" customHeight="1">
      <c r="B13" s="260" t="s">
        <v>305</v>
      </c>
      <c r="C13" s="262">
        <v>44960</v>
      </c>
      <c r="D13" s="261">
        <v>296</v>
      </c>
      <c r="E13" s="261" t="s">
        <v>10</v>
      </c>
      <c r="F13" s="260" t="s">
        <v>245</v>
      </c>
      <c r="G13" s="260">
        <v>699486</v>
      </c>
      <c r="H13" s="351"/>
      <c r="I13" s="260"/>
      <c r="J13" s="349"/>
      <c r="K13" s="350"/>
      <c r="L13" s="89"/>
      <c r="M13" s="89"/>
      <c r="N13" s="89"/>
      <c r="O13" s="89"/>
    </row>
    <row r="14" spans="2:23" ht="15" customHeight="1">
      <c r="B14" s="260" t="s">
        <v>305</v>
      </c>
      <c r="C14" s="262">
        <v>44960</v>
      </c>
      <c r="D14" s="261">
        <v>296</v>
      </c>
      <c r="E14" s="261" t="s">
        <v>10</v>
      </c>
      <c r="F14" s="260" t="s">
        <v>243</v>
      </c>
      <c r="G14" s="260">
        <v>699254</v>
      </c>
      <c r="H14" s="351"/>
      <c r="I14" s="260"/>
      <c r="J14" s="349"/>
      <c r="K14" s="350"/>
      <c r="L14" s="89"/>
      <c r="M14" s="89"/>
      <c r="N14" s="89"/>
      <c r="O14" s="89"/>
    </row>
    <row r="15" spans="2:23" ht="15" customHeight="1">
      <c r="B15" s="260" t="s">
        <v>305</v>
      </c>
      <c r="C15" s="262">
        <v>44960</v>
      </c>
      <c r="D15" s="261">
        <v>296</v>
      </c>
      <c r="E15" s="261" t="s">
        <v>10</v>
      </c>
      <c r="F15" s="260" t="s">
        <v>238</v>
      </c>
      <c r="G15" s="260">
        <v>969203</v>
      </c>
      <c r="H15" s="351"/>
      <c r="I15" s="260"/>
      <c r="J15" s="349"/>
      <c r="K15" s="350"/>
      <c r="L15" s="89"/>
      <c r="M15" s="89"/>
      <c r="N15" s="89"/>
      <c r="O15" s="89"/>
    </row>
    <row r="16" spans="2:23" ht="15" customHeight="1">
      <c r="B16" s="260" t="s">
        <v>305</v>
      </c>
      <c r="C16" s="262">
        <v>44960</v>
      </c>
      <c r="D16" s="261">
        <v>296</v>
      </c>
      <c r="E16" s="261" t="s">
        <v>10</v>
      </c>
      <c r="F16" s="260" t="s">
        <v>239</v>
      </c>
      <c r="G16" s="260" t="s">
        <v>339</v>
      </c>
      <c r="H16" s="351"/>
      <c r="I16" s="260"/>
      <c r="J16" s="349"/>
      <c r="K16" s="350"/>
      <c r="L16" s="89"/>
      <c r="M16" s="89"/>
      <c r="N16" s="89"/>
      <c r="O16" s="89"/>
    </row>
    <row r="17" spans="2:15" ht="15" customHeight="1">
      <c r="B17" s="260" t="s">
        <v>305</v>
      </c>
      <c r="C17" s="262">
        <v>44960</v>
      </c>
      <c r="D17" s="261">
        <v>296</v>
      </c>
      <c r="E17" s="261" t="s">
        <v>10</v>
      </c>
      <c r="F17" s="260" t="s">
        <v>309</v>
      </c>
      <c r="G17" s="260">
        <v>968831</v>
      </c>
      <c r="H17" s="351"/>
      <c r="I17" s="260"/>
      <c r="J17" s="349"/>
      <c r="K17" s="350"/>
      <c r="L17" s="89"/>
      <c r="M17" s="89"/>
      <c r="N17" s="89"/>
      <c r="O17" s="89"/>
    </row>
    <row r="18" spans="2:15" ht="15" customHeight="1">
      <c r="B18" s="260" t="s">
        <v>305</v>
      </c>
      <c r="C18" s="262">
        <v>44960</v>
      </c>
      <c r="D18" s="261">
        <v>296</v>
      </c>
      <c r="E18" s="261" t="s">
        <v>10</v>
      </c>
      <c r="F18" s="260" t="s">
        <v>246</v>
      </c>
      <c r="G18" s="260">
        <v>699988</v>
      </c>
      <c r="H18" s="351"/>
      <c r="I18" s="260"/>
      <c r="J18" s="349"/>
      <c r="K18" s="350"/>
      <c r="L18" s="89"/>
      <c r="M18" s="89"/>
      <c r="N18" s="89"/>
      <c r="O18" s="89"/>
    </row>
    <row r="19" spans="2:15" ht="15" customHeight="1">
      <c r="B19" s="260" t="s">
        <v>305</v>
      </c>
      <c r="C19" s="262">
        <v>44960</v>
      </c>
      <c r="D19" s="261">
        <v>296</v>
      </c>
      <c r="E19" s="261" t="s">
        <v>10</v>
      </c>
      <c r="F19" s="260" t="s">
        <v>241</v>
      </c>
      <c r="G19" s="260">
        <v>966479</v>
      </c>
      <c r="H19" s="351"/>
      <c r="I19" s="260"/>
      <c r="J19" s="349"/>
      <c r="K19" s="350"/>
      <c r="L19" s="89"/>
      <c r="M19" s="89"/>
      <c r="N19" s="89"/>
      <c r="O19" s="89"/>
    </row>
    <row r="20" spans="2:15" ht="15" customHeight="1">
      <c r="B20" s="293" t="s">
        <v>305</v>
      </c>
      <c r="C20" s="262">
        <v>44960</v>
      </c>
      <c r="D20" s="294">
        <v>296</v>
      </c>
      <c r="E20" s="294" t="s">
        <v>10</v>
      </c>
      <c r="F20" s="293" t="s">
        <v>242</v>
      </c>
      <c r="G20" s="293">
        <v>966548</v>
      </c>
      <c r="H20" s="381"/>
      <c r="I20" s="295"/>
      <c r="J20" s="372"/>
      <c r="K20" s="373"/>
      <c r="L20" s="89"/>
      <c r="M20" s="89"/>
      <c r="N20" s="89"/>
      <c r="O20" s="89"/>
    </row>
    <row r="21" spans="2:15" ht="15" customHeight="1">
      <c r="B21" s="260" t="s">
        <v>305</v>
      </c>
      <c r="C21" s="262">
        <v>44960</v>
      </c>
      <c r="D21" s="261">
        <v>296</v>
      </c>
      <c r="E21" s="261" t="s">
        <v>10</v>
      </c>
      <c r="F21" s="260" t="s">
        <v>333</v>
      </c>
      <c r="G21" s="260">
        <v>700895</v>
      </c>
      <c r="H21" s="351"/>
      <c r="I21" s="260"/>
      <c r="J21" s="349"/>
      <c r="K21" s="350"/>
      <c r="L21" s="89"/>
      <c r="M21" s="89"/>
      <c r="N21" s="89"/>
      <c r="O21" s="89"/>
    </row>
    <row r="22" spans="2:15" ht="15" customHeight="1">
      <c r="B22" s="271" t="s">
        <v>305</v>
      </c>
      <c r="C22" s="262">
        <v>44995</v>
      </c>
      <c r="D22" s="271">
        <v>613</v>
      </c>
      <c r="E22" s="271" t="s">
        <v>311</v>
      </c>
      <c r="F22" s="271" t="s">
        <v>223</v>
      </c>
      <c r="G22" s="271">
        <v>967665</v>
      </c>
      <c r="H22" s="271">
        <v>0</v>
      </c>
      <c r="I22" s="271"/>
      <c r="J22" s="271">
        <f>H22-I22</f>
        <v>0</v>
      </c>
      <c r="K22" s="270" t="e">
        <f>I22/H22</f>
        <v>#DIV/0!</v>
      </c>
      <c r="L22" s="89"/>
      <c r="M22" s="89"/>
      <c r="N22" s="89"/>
      <c r="O22" s="89"/>
    </row>
    <row r="23" spans="2:15">
      <c r="B23" s="272" t="s">
        <v>305</v>
      </c>
      <c r="C23" s="262">
        <v>45009</v>
      </c>
      <c r="D23" s="272">
        <v>732</v>
      </c>
      <c r="E23" s="272" t="s">
        <v>12</v>
      </c>
      <c r="F23" s="272" t="s">
        <v>296</v>
      </c>
      <c r="G23" s="272">
        <v>965267</v>
      </c>
      <c r="H23" s="349">
        <v>460</v>
      </c>
      <c r="I23" s="272">
        <v>0</v>
      </c>
      <c r="J23" s="349">
        <f>H23-(I23+I24+I25+I26+I27+I28+I29+I30)</f>
        <v>0</v>
      </c>
      <c r="K23" s="350">
        <f>(I23+I24+I25+I26+I27+I28+I29+I30)/H23</f>
        <v>0.99999999999999989</v>
      </c>
      <c r="L23" s="89"/>
      <c r="M23" s="89"/>
      <c r="N23" s="89"/>
      <c r="O23" s="89"/>
    </row>
    <row r="24" spans="2:15">
      <c r="B24" s="272" t="s">
        <v>305</v>
      </c>
      <c r="C24" s="262">
        <v>45009</v>
      </c>
      <c r="D24" s="272">
        <v>732</v>
      </c>
      <c r="E24" s="272" t="s">
        <v>12</v>
      </c>
      <c r="F24" s="272" t="s">
        <v>297</v>
      </c>
      <c r="G24" s="272">
        <v>969425</v>
      </c>
      <c r="H24" s="349"/>
      <c r="I24" s="281">
        <v>68.177999999999997</v>
      </c>
      <c r="J24" s="349"/>
      <c r="K24" s="350"/>
      <c r="L24" s="89"/>
      <c r="M24" s="89"/>
      <c r="N24" s="89"/>
      <c r="O24" s="89"/>
    </row>
    <row r="25" spans="2:15">
      <c r="B25" s="272" t="s">
        <v>305</v>
      </c>
      <c r="C25" s="262">
        <v>45009</v>
      </c>
      <c r="D25" s="272">
        <v>732</v>
      </c>
      <c r="E25" s="272" t="s">
        <v>12</v>
      </c>
      <c r="F25" s="272" t="s">
        <v>298</v>
      </c>
      <c r="G25" s="272">
        <v>968930</v>
      </c>
      <c r="H25" s="349"/>
      <c r="I25" s="281">
        <v>45.695999999999998</v>
      </c>
      <c r="J25" s="349"/>
      <c r="K25" s="350"/>
      <c r="L25" s="89"/>
      <c r="M25" s="89"/>
      <c r="N25" s="89"/>
      <c r="O25" s="89"/>
    </row>
    <row r="26" spans="2:15">
      <c r="B26" s="272" t="s">
        <v>305</v>
      </c>
      <c r="C26" s="262">
        <v>45009</v>
      </c>
      <c r="D26" s="272">
        <v>732</v>
      </c>
      <c r="E26" s="272" t="s">
        <v>12</v>
      </c>
      <c r="F26" s="272" t="s">
        <v>299</v>
      </c>
      <c r="G26" s="272">
        <v>968704</v>
      </c>
      <c r="H26" s="349"/>
      <c r="I26" s="281">
        <v>81.864999999999995</v>
      </c>
      <c r="J26" s="349"/>
      <c r="K26" s="350"/>
      <c r="L26" s="89"/>
      <c r="M26" s="89"/>
      <c r="N26" s="89"/>
      <c r="O26" s="89"/>
    </row>
    <row r="27" spans="2:15">
      <c r="B27" s="272" t="s">
        <v>305</v>
      </c>
      <c r="C27" s="262">
        <v>45009</v>
      </c>
      <c r="D27" s="272">
        <v>732</v>
      </c>
      <c r="E27" s="272" t="s">
        <v>12</v>
      </c>
      <c r="F27" s="272" t="s">
        <v>300</v>
      </c>
      <c r="G27" s="272">
        <v>699979</v>
      </c>
      <c r="H27" s="349"/>
      <c r="I27" s="281">
        <v>108.965</v>
      </c>
      <c r="J27" s="349"/>
      <c r="K27" s="350"/>
      <c r="L27" s="89"/>
      <c r="M27" s="89"/>
      <c r="N27" s="89"/>
      <c r="O27" s="89"/>
    </row>
    <row r="28" spans="2:15">
      <c r="B28" s="272" t="s">
        <v>305</v>
      </c>
      <c r="C28" s="262">
        <v>45009</v>
      </c>
      <c r="D28" s="272">
        <v>732</v>
      </c>
      <c r="E28" s="272" t="s">
        <v>12</v>
      </c>
      <c r="F28" s="272" t="s">
        <v>304</v>
      </c>
      <c r="G28" s="272">
        <v>969467</v>
      </c>
      <c r="H28" s="349"/>
      <c r="I28" s="281">
        <v>72.906000000000006</v>
      </c>
      <c r="J28" s="349"/>
      <c r="K28" s="350"/>
      <c r="L28" s="89"/>
      <c r="M28" s="89"/>
      <c r="N28" s="89"/>
      <c r="O28" s="89"/>
    </row>
    <row r="29" spans="2:15">
      <c r="B29" s="272" t="s">
        <v>305</v>
      </c>
      <c r="C29" s="262">
        <v>45009</v>
      </c>
      <c r="D29" s="272">
        <v>732</v>
      </c>
      <c r="E29" s="272" t="s">
        <v>12</v>
      </c>
      <c r="F29" s="272" t="s">
        <v>295</v>
      </c>
      <c r="G29" s="272">
        <v>698764</v>
      </c>
      <c r="H29" s="349"/>
      <c r="I29" s="272"/>
      <c r="J29" s="349"/>
      <c r="K29" s="350"/>
      <c r="L29" s="89"/>
      <c r="M29" s="89"/>
      <c r="N29" s="89"/>
      <c r="O29" s="89"/>
    </row>
    <row r="30" spans="2:15">
      <c r="B30" s="272" t="s">
        <v>305</v>
      </c>
      <c r="C30" s="262">
        <v>45009</v>
      </c>
      <c r="D30" s="272">
        <v>732</v>
      </c>
      <c r="E30" s="272" t="s">
        <v>12</v>
      </c>
      <c r="F30" s="272" t="s">
        <v>312</v>
      </c>
      <c r="G30" s="272">
        <v>700755</v>
      </c>
      <c r="H30" s="349"/>
      <c r="I30" s="281">
        <v>82.39</v>
      </c>
      <c r="J30" s="349"/>
      <c r="K30" s="350"/>
      <c r="L30" s="89"/>
      <c r="M30" s="89"/>
      <c r="N30" s="89"/>
      <c r="O30" s="89"/>
    </row>
    <row r="31" spans="2:15">
      <c r="B31" s="273" t="s">
        <v>305</v>
      </c>
      <c r="C31" s="262">
        <v>45012</v>
      </c>
      <c r="D31" s="273">
        <v>792</v>
      </c>
      <c r="E31" s="273" t="s">
        <v>12</v>
      </c>
      <c r="F31" s="273" t="s">
        <v>284</v>
      </c>
      <c r="G31" s="273">
        <v>960563</v>
      </c>
      <c r="H31" s="349">
        <v>968</v>
      </c>
      <c r="I31" s="273">
        <v>168.97399999999999</v>
      </c>
      <c r="J31" s="349">
        <f>H31-(I31+I32+I33+I34+I35+I36)</f>
        <v>0</v>
      </c>
      <c r="K31" s="350">
        <f>(I31+I32+I33+I34+I35+I36)/H31</f>
        <v>1</v>
      </c>
      <c r="L31" s="89"/>
      <c r="M31" s="89"/>
      <c r="N31" s="89"/>
      <c r="O31" s="89"/>
    </row>
    <row r="32" spans="2:15">
      <c r="B32" s="273" t="s">
        <v>305</v>
      </c>
      <c r="C32" s="262">
        <v>45012</v>
      </c>
      <c r="D32" s="273">
        <v>792</v>
      </c>
      <c r="E32" s="273" t="s">
        <v>12</v>
      </c>
      <c r="F32" s="273" t="s">
        <v>287</v>
      </c>
      <c r="G32" s="273">
        <v>923266</v>
      </c>
      <c r="H32" s="349"/>
      <c r="I32" s="273">
        <v>154.78299999999999</v>
      </c>
      <c r="J32" s="349"/>
      <c r="K32" s="350"/>
      <c r="L32" s="89"/>
      <c r="M32" s="89"/>
      <c r="N32" s="89"/>
      <c r="O32" s="89"/>
    </row>
    <row r="33" spans="2:15">
      <c r="B33" s="273" t="s">
        <v>305</v>
      </c>
      <c r="C33" s="262">
        <v>45012</v>
      </c>
      <c r="D33" s="273">
        <v>792</v>
      </c>
      <c r="E33" s="273" t="s">
        <v>12</v>
      </c>
      <c r="F33" s="273" t="s">
        <v>288</v>
      </c>
      <c r="G33" s="273">
        <v>966707</v>
      </c>
      <c r="H33" s="349"/>
      <c r="I33" s="273">
        <v>161.24299999999999</v>
      </c>
      <c r="J33" s="349"/>
      <c r="K33" s="350"/>
      <c r="L33" s="89"/>
      <c r="M33" s="89"/>
      <c r="N33" s="89"/>
      <c r="O33" s="89"/>
    </row>
    <row r="34" spans="2:15">
      <c r="B34" s="273" t="s">
        <v>305</v>
      </c>
      <c r="C34" s="262">
        <v>45012</v>
      </c>
      <c r="D34" s="273">
        <v>792</v>
      </c>
      <c r="E34" s="273" t="s">
        <v>12</v>
      </c>
      <c r="F34" s="273" t="s">
        <v>289</v>
      </c>
      <c r="G34" s="273">
        <v>957989</v>
      </c>
      <c r="H34" s="349"/>
      <c r="I34" s="273">
        <v>161</v>
      </c>
      <c r="J34" s="349"/>
      <c r="K34" s="350"/>
      <c r="L34" s="89"/>
      <c r="M34" s="89"/>
      <c r="N34" s="89"/>
      <c r="O34" s="89"/>
    </row>
    <row r="35" spans="2:15">
      <c r="B35" s="273" t="s">
        <v>305</v>
      </c>
      <c r="C35" s="262">
        <v>45012</v>
      </c>
      <c r="D35" s="273">
        <v>792</v>
      </c>
      <c r="E35" s="273" t="s">
        <v>12</v>
      </c>
      <c r="F35" s="273" t="s">
        <v>290</v>
      </c>
      <c r="G35" s="273">
        <v>698592</v>
      </c>
      <c r="H35" s="349"/>
      <c r="I35" s="273">
        <v>161</v>
      </c>
      <c r="J35" s="349"/>
      <c r="K35" s="350"/>
      <c r="L35" s="89"/>
      <c r="M35" s="89"/>
      <c r="N35" s="89"/>
      <c r="O35" s="89"/>
    </row>
    <row r="36" spans="2:15">
      <c r="B36" s="273" t="s">
        <v>305</v>
      </c>
      <c r="C36" s="262">
        <v>45012</v>
      </c>
      <c r="D36" s="273">
        <v>792</v>
      </c>
      <c r="E36" s="273" t="s">
        <v>12</v>
      </c>
      <c r="F36" s="273" t="s">
        <v>294</v>
      </c>
      <c r="G36" s="273">
        <v>950875</v>
      </c>
      <c r="H36" s="349"/>
      <c r="I36" s="273">
        <v>161</v>
      </c>
      <c r="J36" s="349"/>
      <c r="K36" s="350"/>
      <c r="L36" s="89"/>
      <c r="M36" s="89"/>
      <c r="N36" s="89"/>
      <c r="O36" s="89"/>
    </row>
    <row r="37" spans="2:15">
      <c r="B37" s="276" t="s">
        <v>305</v>
      </c>
      <c r="C37" s="262">
        <v>45014</v>
      </c>
      <c r="D37" s="276">
        <v>814</v>
      </c>
      <c r="E37" s="276" t="s">
        <v>12</v>
      </c>
      <c r="F37" s="276" t="s">
        <v>296</v>
      </c>
      <c r="G37" s="276">
        <v>965267</v>
      </c>
      <c r="H37" s="349">
        <v>830</v>
      </c>
      <c r="I37" s="276">
        <v>188.95</v>
      </c>
      <c r="J37" s="349">
        <f>H37-(I37+I38+I39+I40+I41+I42+I43+I44)</f>
        <v>-0.44799999999997908</v>
      </c>
      <c r="K37" s="350">
        <f>(I37+I38+I39+I40+I41+I42+I43+I44)/H37</f>
        <v>1.0005397590361444</v>
      </c>
      <c r="L37" s="89"/>
      <c r="M37" s="89"/>
      <c r="N37" s="89"/>
      <c r="O37" s="89"/>
    </row>
    <row r="38" spans="2:15">
      <c r="B38" s="276" t="s">
        <v>305</v>
      </c>
      <c r="C38" s="262">
        <v>45014</v>
      </c>
      <c r="D38" s="276">
        <v>814</v>
      </c>
      <c r="E38" s="276" t="s">
        <v>12</v>
      </c>
      <c r="F38" s="276" t="s">
        <v>297</v>
      </c>
      <c r="G38" s="276">
        <v>969425</v>
      </c>
      <c r="H38" s="349"/>
      <c r="I38" s="276">
        <v>114.77</v>
      </c>
      <c r="J38" s="349"/>
      <c r="K38" s="350"/>
      <c r="L38" s="89"/>
      <c r="M38" s="89"/>
      <c r="N38" s="89"/>
      <c r="O38" s="89"/>
    </row>
    <row r="39" spans="2:15">
      <c r="B39" s="276" t="s">
        <v>305</v>
      </c>
      <c r="C39" s="262">
        <v>45014</v>
      </c>
      <c r="D39" s="276">
        <v>814</v>
      </c>
      <c r="E39" s="276" t="s">
        <v>12</v>
      </c>
      <c r="F39" s="276" t="s">
        <v>298</v>
      </c>
      <c r="G39" s="276">
        <v>968930</v>
      </c>
      <c r="H39" s="349"/>
      <c r="I39" s="276">
        <v>58.732999999999997</v>
      </c>
      <c r="J39" s="349"/>
      <c r="K39" s="350"/>
      <c r="L39" s="89"/>
      <c r="M39" s="89"/>
      <c r="N39" s="89"/>
      <c r="O39" s="89"/>
    </row>
    <row r="40" spans="2:15">
      <c r="B40" s="276" t="s">
        <v>305</v>
      </c>
      <c r="C40" s="262">
        <v>45014</v>
      </c>
      <c r="D40" s="276">
        <v>814</v>
      </c>
      <c r="E40" s="276" t="s">
        <v>12</v>
      </c>
      <c r="F40" s="276" t="s">
        <v>299</v>
      </c>
      <c r="G40" s="276">
        <v>968704</v>
      </c>
      <c r="H40" s="349"/>
      <c r="I40" s="276">
        <v>117.127</v>
      </c>
      <c r="J40" s="349"/>
      <c r="K40" s="350"/>
      <c r="L40" s="89"/>
      <c r="M40" s="89"/>
      <c r="N40" s="89"/>
      <c r="O40" s="89"/>
    </row>
    <row r="41" spans="2:15">
      <c r="B41" s="276" t="s">
        <v>305</v>
      </c>
      <c r="C41" s="262">
        <v>45014</v>
      </c>
      <c r="D41" s="276">
        <v>814</v>
      </c>
      <c r="E41" s="276" t="s">
        <v>12</v>
      </c>
      <c r="F41" s="276" t="s">
        <v>300</v>
      </c>
      <c r="G41" s="276">
        <v>699979</v>
      </c>
      <c r="H41" s="349"/>
      <c r="I41" s="276">
        <v>42.624000000000002</v>
      </c>
      <c r="J41" s="349"/>
      <c r="K41" s="350"/>
      <c r="L41" s="89"/>
      <c r="M41" s="89"/>
      <c r="N41" s="89"/>
      <c r="O41" s="89"/>
    </row>
    <row r="42" spans="2:15">
      <c r="B42" s="276" t="s">
        <v>305</v>
      </c>
      <c r="C42" s="262">
        <v>45014</v>
      </c>
      <c r="D42" s="276">
        <v>814</v>
      </c>
      <c r="E42" s="276" t="s">
        <v>12</v>
      </c>
      <c r="F42" s="276" t="s">
        <v>304</v>
      </c>
      <c r="G42" s="276">
        <v>969467</v>
      </c>
      <c r="H42" s="349"/>
      <c r="I42" s="276">
        <v>93.614000000000004</v>
      </c>
      <c r="J42" s="349"/>
      <c r="K42" s="350"/>
      <c r="L42" s="89"/>
      <c r="M42" s="89"/>
      <c r="N42" s="89"/>
      <c r="O42" s="89"/>
    </row>
    <row r="43" spans="2:15">
      <c r="B43" s="276" t="s">
        <v>305</v>
      </c>
      <c r="C43" s="262">
        <v>45014</v>
      </c>
      <c r="D43" s="276">
        <v>814</v>
      </c>
      <c r="E43" s="276" t="s">
        <v>12</v>
      </c>
      <c r="F43" s="276" t="s">
        <v>295</v>
      </c>
      <c r="G43" s="276">
        <v>698764</v>
      </c>
      <c r="H43" s="349"/>
      <c r="I43" s="276">
        <v>131.11500000000001</v>
      </c>
      <c r="J43" s="349"/>
      <c r="K43" s="350"/>
      <c r="L43" s="89"/>
      <c r="M43" s="89"/>
      <c r="N43" s="89"/>
      <c r="O43" s="89"/>
    </row>
    <row r="44" spans="2:15">
      <c r="B44" s="276" t="s">
        <v>305</v>
      </c>
      <c r="C44" s="262">
        <v>45014</v>
      </c>
      <c r="D44" s="276">
        <v>814</v>
      </c>
      <c r="E44" s="276" t="s">
        <v>12</v>
      </c>
      <c r="F44" s="276" t="s">
        <v>312</v>
      </c>
      <c r="G44" s="276">
        <v>700755</v>
      </c>
      <c r="H44" s="349"/>
      <c r="I44" s="276">
        <v>83.515000000000001</v>
      </c>
      <c r="J44" s="349"/>
      <c r="K44" s="350"/>
      <c r="L44" s="89"/>
      <c r="M44" s="89"/>
      <c r="N44" s="89"/>
      <c r="O44" s="89"/>
    </row>
    <row r="45" spans="2:15">
      <c r="B45" s="278" t="s">
        <v>305</v>
      </c>
      <c r="C45" s="279">
        <v>45022</v>
      </c>
      <c r="D45" s="278">
        <v>937</v>
      </c>
      <c r="E45" s="278" t="s">
        <v>12</v>
      </c>
      <c r="F45" s="278" t="s">
        <v>281</v>
      </c>
      <c r="G45" s="278">
        <v>966397</v>
      </c>
      <c r="H45" s="374">
        <v>181.71299999999999</v>
      </c>
      <c r="I45" s="278">
        <v>92.680999999999997</v>
      </c>
      <c r="J45" s="374">
        <f>H45-(I45+I46+I47)</f>
        <v>0</v>
      </c>
      <c r="K45" s="375">
        <f>(I45+I46+I47)/H45</f>
        <v>1</v>
      </c>
      <c r="L45" s="89"/>
      <c r="M45" s="89"/>
      <c r="N45" s="89"/>
      <c r="O45" s="89"/>
    </row>
    <row r="46" spans="2:15">
      <c r="B46" s="278" t="s">
        <v>305</v>
      </c>
      <c r="C46" s="279">
        <v>45022</v>
      </c>
      <c r="D46" s="278">
        <v>937</v>
      </c>
      <c r="E46" s="278" t="s">
        <v>12</v>
      </c>
      <c r="F46" s="278" t="s">
        <v>282</v>
      </c>
      <c r="G46" s="278">
        <v>964933</v>
      </c>
      <c r="H46" s="374"/>
      <c r="I46" s="278">
        <v>89.031999999999996</v>
      </c>
      <c r="J46" s="374"/>
      <c r="K46" s="375"/>
      <c r="L46" s="89"/>
      <c r="M46" s="89"/>
      <c r="N46" s="89"/>
      <c r="O46" s="89"/>
    </row>
    <row r="47" spans="2:15">
      <c r="B47" s="278" t="s">
        <v>305</v>
      </c>
      <c r="C47" s="279">
        <v>45022</v>
      </c>
      <c r="D47" s="278">
        <v>937</v>
      </c>
      <c r="E47" s="278" t="s">
        <v>12</v>
      </c>
      <c r="F47" s="278" t="s">
        <v>291</v>
      </c>
      <c r="G47" s="278">
        <v>958708</v>
      </c>
      <c r="H47" s="374"/>
      <c r="I47" s="278"/>
      <c r="J47" s="374"/>
      <c r="K47" s="375"/>
      <c r="L47" s="89"/>
      <c r="M47" s="89"/>
      <c r="N47" s="89"/>
      <c r="O47" s="89"/>
    </row>
    <row r="48" spans="2:15">
      <c r="B48" s="278" t="s">
        <v>305</v>
      </c>
      <c r="C48" s="279">
        <v>45022</v>
      </c>
      <c r="D48" s="278">
        <v>938</v>
      </c>
      <c r="E48" s="278" t="s">
        <v>12</v>
      </c>
      <c r="F48" s="278" t="s">
        <v>286</v>
      </c>
      <c r="G48" s="278">
        <v>968871</v>
      </c>
      <c r="H48" s="374">
        <v>159.56100000000001</v>
      </c>
      <c r="I48" s="278">
        <v>53.186999999999998</v>
      </c>
      <c r="J48" s="374">
        <f>H48-(I48+I49+I50)</f>
        <v>0</v>
      </c>
      <c r="K48" s="375">
        <f>(I48+I49+I50)/H48</f>
        <v>1</v>
      </c>
      <c r="L48" s="89"/>
      <c r="M48" s="89"/>
      <c r="N48" s="89"/>
      <c r="O48" s="89"/>
    </row>
    <row r="49" spans="2:15">
      <c r="B49" s="278" t="s">
        <v>305</v>
      </c>
      <c r="C49" s="279">
        <v>45022</v>
      </c>
      <c r="D49" s="278">
        <v>938</v>
      </c>
      <c r="E49" s="278" t="s">
        <v>12</v>
      </c>
      <c r="F49" s="278" t="s">
        <v>292</v>
      </c>
      <c r="G49" s="278">
        <v>700697</v>
      </c>
      <c r="H49" s="374"/>
      <c r="I49" s="278">
        <v>65.765000000000001</v>
      </c>
      <c r="J49" s="374"/>
      <c r="K49" s="375"/>
      <c r="L49" s="89"/>
      <c r="M49" s="89"/>
      <c r="N49" s="89"/>
      <c r="O49" s="89"/>
    </row>
    <row r="50" spans="2:15">
      <c r="B50" s="278" t="s">
        <v>305</v>
      </c>
      <c r="C50" s="279">
        <v>45022</v>
      </c>
      <c r="D50" s="278">
        <v>938</v>
      </c>
      <c r="E50" s="278" t="s">
        <v>12</v>
      </c>
      <c r="F50" s="278" t="s">
        <v>313</v>
      </c>
      <c r="G50" s="278">
        <v>923167</v>
      </c>
      <c r="H50" s="374"/>
      <c r="I50" s="278">
        <v>40.609000000000002</v>
      </c>
      <c r="J50" s="374"/>
      <c r="K50" s="375"/>
      <c r="L50" s="89"/>
      <c r="M50" s="89"/>
      <c r="N50" s="89"/>
      <c r="O50" s="89"/>
    </row>
    <row r="51" spans="2:15">
      <c r="B51" s="278" t="s">
        <v>305</v>
      </c>
      <c r="C51" s="279">
        <v>45022</v>
      </c>
      <c r="D51" s="278">
        <v>939</v>
      </c>
      <c r="E51" s="278" t="s">
        <v>11</v>
      </c>
      <c r="F51" s="278" t="s">
        <v>314</v>
      </c>
      <c r="G51" s="278">
        <v>697270</v>
      </c>
      <c r="H51" s="374">
        <v>7571</v>
      </c>
      <c r="I51" s="278"/>
      <c r="J51" s="374">
        <f>H51-(SUM(I51:I65))</f>
        <v>7571</v>
      </c>
      <c r="K51" s="375">
        <f>(SUM(I51:I65))/H51</f>
        <v>0</v>
      </c>
      <c r="L51" s="89"/>
      <c r="M51" s="89"/>
      <c r="N51" s="89"/>
      <c r="O51" s="89"/>
    </row>
    <row r="52" spans="2:15">
      <c r="B52" s="278" t="s">
        <v>305</v>
      </c>
      <c r="C52" s="279">
        <v>45022</v>
      </c>
      <c r="D52" s="278">
        <v>939</v>
      </c>
      <c r="E52" s="278" t="s">
        <v>11</v>
      </c>
      <c r="F52" s="278" t="s">
        <v>315</v>
      </c>
      <c r="G52" s="278">
        <v>966244</v>
      </c>
      <c r="H52" s="374"/>
      <c r="I52" s="278"/>
      <c r="J52" s="374"/>
      <c r="K52" s="375"/>
      <c r="L52" s="89"/>
      <c r="M52" s="89"/>
      <c r="N52" s="89"/>
      <c r="O52" s="89"/>
    </row>
    <row r="53" spans="2:15">
      <c r="B53" s="278" t="s">
        <v>305</v>
      </c>
      <c r="C53" s="279">
        <v>45022</v>
      </c>
      <c r="D53" s="278">
        <v>939</v>
      </c>
      <c r="E53" s="278" t="s">
        <v>11</v>
      </c>
      <c r="F53" s="278" t="s">
        <v>262</v>
      </c>
      <c r="G53" s="278">
        <v>950657</v>
      </c>
      <c r="H53" s="374"/>
      <c r="I53" s="278"/>
      <c r="J53" s="374"/>
      <c r="K53" s="375"/>
      <c r="L53" s="89"/>
      <c r="M53" s="89"/>
      <c r="N53" s="89"/>
      <c r="O53" s="89"/>
    </row>
    <row r="54" spans="2:15">
      <c r="B54" s="278" t="s">
        <v>305</v>
      </c>
      <c r="C54" s="279">
        <v>45022</v>
      </c>
      <c r="D54" s="278">
        <v>939</v>
      </c>
      <c r="E54" s="278" t="s">
        <v>11</v>
      </c>
      <c r="F54" s="278" t="s">
        <v>263</v>
      </c>
      <c r="G54" s="278">
        <v>969394</v>
      </c>
      <c r="H54" s="374"/>
      <c r="I54" s="278"/>
      <c r="J54" s="374"/>
      <c r="K54" s="375"/>
      <c r="L54" s="89"/>
      <c r="M54" s="89"/>
      <c r="N54" s="89"/>
      <c r="O54" s="89"/>
    </row>
    <row r="55" spans="2:15">
      <c r="B55" s="278" t="s">
        <v>305</v>
      </c>
      <c r="C55" s="279">
        <v>45022</v>
      </c>
      <c r="D55" s="278">
        <v>939</v>
      </c>
      <c r="E55" s="278" t="s">
        <v>11</v>
      </c>
      <c r="F55" s="278" t="s">
        <v>276</v>
      </c>
      <c r="G55" s="278">
        <v>951110</v>
      </c>
      <c r="H55" s="374"/>
      <c r="I55" s="278"/>
      <c r="J55" s="374"/>
      <c r="K55" s="375"/>
      <c r="L55" s="89"/>
      <c r="M55" s="89"/>
      <c r="N55" s="89"/>
      <c r="O55" s="89"/>
    </row>
    <row r="56" spans="2:15">
      <c r="B56" s="278" t="s">
        <v>305</v>
      </c>
      <c r="C56" s="279">
        <v>45022</v>
      </c>
      <c r="D56" s="278">
        <v>939</v>
      </c>
      <c r="E56" s="278" t="s">
        <v>11</v>
      </c>
      <c r="F56" s="278" t="s">
        <v>272</v>
      </c>
      <c r="G56" s="278">
        <v>968796</v>
      </c>
      <c r="H56" s="374"/>
      <c r="I56" s="278"/>
      <c r="J56" s="374"/>
      <c r="K56" s="375"/>
      <c r="L56" s="89"/>
      <c r="M56" s="89"/>
      <c r="N56" s="89"/>
      <c r="O56" s="89"/>
    </row>
    <row r="57" spans="2:15">
      <c r="B57" s="278" t="s">
        <v>305</v>
      </c>
      <c r="C57" s="279">
        <v>45022</v>
      </c>
      <c r="D57" s="278">
        <v>939</v>
      </c>
      <c r="E57" s="278" t="s">
        <v>11</v>
      </c>
      <c r="F57" s="278" t="s">
        <v>266</v>
      </c>
      <c r="G57" s="278">
        <v>969269</v>
      </c>
      <c r="H57" s="374"/>
      <c r="I57" s="278"/>
      <c r="J57" s="374"/>
      <c r="K57" s="375"/>
      <c r="L57" s="89"/>
      <c r="M57" s="89"/>
      <c r="N57" s="89"/>
      <c r="O57" s="89"/>
    </row>
    <row r="58" spans="2:15">
      <c r="B58" s="278" t="s">
        <v>305</v>
      </c>
      <c r="C58" s="279">
        <v>45022</v>
      </c>
      <c r="D58" s="278">
        <v>939</v>
      </c>
      <c r="E58" s="278" t="s">
        <v>11</v>
      </c>
      <c r="F58" s="278" t="s">
        <v>267</v>
      </c>
      <c r="G58" s="278">
        <v>963710</v>
      </c>
      <c r="H58" s="374"/>
      <c r="I58" s="278"/>
      <c r="J58" s="374"/>
      <c r="K58" s="375"/>
      <c r="L58" s="89"/>
      <c r="M58" s="89"/>
      <c r="N58" s="89"/>
      <c r="O58" s="89"/>
    </row>
    <row r="59" spans="2:15">
      <c r="B59" s="278" t="s">
        <v>305</v>
      </c>
      <c r="C59" s="279">
        <v>45022</v>
      </c>
      <c r="D59" s="278">
        <v>939</v>
      </c>
      <c r="E59" s="278" t="s">
        <v>11</v>
      </c>
      <c r="F59" s="278" t="s">
        <v>269</v>
      </c>
      <c r="G59" s="278">
        <v>967677</v>
      </c>
      <c r="H59" s="374"/>
      <c r="I59" s="278"/>
      <c r="J59" s="374"/>
      <c r="K59" s="375"/>
      <c r="L59" s="89"/>
      <c r="M59" s="89"/>
      <c r="N59" s="89"/>
      <c r="O59" s="89"/>
    </row>
    <row r="60" spans="2:15">
      <c r="B60" s="278" t="s">
        <v>305</v>
      </c>
      <c r="C60" s="279">
        <v>45022</v>
      </c>
      <c r="D60" s="278">
        <v>939</v>
      </c>
      <c r="E60" s="278" t="s">
        <v>11</v>
      </c>
      <c r="F60" s="278" t="s">
        <v>316</v>
      </c>
      <c r="G60" s="278">
        <v>953967</v>
      </c>
      <c r="H60" s="374"/>
      <c r="I60" s="278"/>
      <c r="J60" s="374"/>
      <c r="K60" s="375"/>
      <c r="L60" s="89"/>
      <c r="M60" s="89"/>
      <c r="N60" s="89"/>
      <c r="O60" s="89"/>
    </row>
    <row r="61" spans="2:15">
      <c r="B61" s="278" t="s">
        <v>305</v>
      </c>
      <c r="C61" s="279">
        <v>45022</v>
      </c>
      <c r="D61" s="278">
        <v>939</v>
      </c>
      <c r="E61" s="278" t="s">
        <v>11</v>
      </c>
      <c r="F61" s="278" t="s">
        <v>275</v>
      </c>
      <c r="G61" s="278">
        <v>697575</v>
      </c>
      <c r="H61" s="374"/>
      <c r="I61" s="278"/>
      <c r="J61" s="374"/>
      <c r="K61" s="375"/>
      <c r="L61" s="89"/>
      <c r="M61" s="89"/>
      <c r="N61" s="89"/>
      <c r="O61" s="89"/>
    </row>
    <row r="62" spans="2:15">
      <c r="B62" s="278" t="s">
        <v>305</v>
      </c>
      <c r="C62" s="279">
        <v>45022</v>
      </c>
      <c r="D62" s="278">
        <v>939</v>
      </c>
      <c r="E62" s="278" t="s">
        <v>11</v>
      </c>
      <c r="F62" s="278" t="s">
        <v>274</v>
      </c>
      <c r="G62" s="278">
        <v>699495</v>
      </c>
      <c r="H62" s="374"/>
      <c r="I62" s="278"/>
      <c r="J62" s="374"/>
      <c r="K62" s="375"/>
      <c r="L62" s="89"/>
      <c r="M62" s="89"/>
      <c r="N62" s="89"/>
      <c r="O62" s="89"/>
    </row>
    <row r="63" spans="2:15">
      <c r="B63" s="278" t="s">
        <v>305</v>
      </c>
      <c r="C63" s="279">
        <v>45022</v>
      </c>
      <c r="D63" s="278">
        <v>939</v>
      </c>
      <c r="E63" s="278" t="s">
        <v>11</v>
      </c>
      <c r="F63" s="278" t="s">
        <v>317</v>
      </c>
      <c r="G63" s="278">
        <v>699300</v>
      </c>
      <c r="H63" s="374"/>
      <c r="I63" s="278"/>
      <c r="J63" s="374"/>
      <c r="K63" s="375"/>
      <c r="L63" s="89"/>
      <c r="M63" s="89"/>
      <c r="N63" s="89"/>
      <c r="O63" s="89"/>
    </row>
    <row r="64" spans="2:15">
      <c r="B64" s="278" t="s">
        <v>305</v>
      </c>
      <c r="C64" s="279">
        <v>45022</v>
      </c>
      <c r="D64" s="278">
        <v>939</v>
      </c>
      <c r="E64" s="278" t="s">
        <v>11</v>
      </c>
      <c r="F64" s="278" t="s">
        <v>318</v>
      </c>
      <c r="G64" s="278">
        <v>951184</v>
      </c>
      <c r="H64" s="374"/>
      <c r="I64" s="278"/>
      <c r="J64" s="374"/>
      <c r="K64" s="375"/>
      <c r="L64" s="89"/>
      <c r="M64" s="89"/>
      <c r="N64" s="89"/>
      <c r="O64" s="89"/>
    </row>
    <row r="65" spans="2:15">
      <c r="B65" s="278" t="s">
        <v>305</v>
      </c>
      <c r="C65" s="279">
        <v>45022</v>
      </c>
      <c r="D65" s="278">
        <v>939</v>
      </c>
      <c r="E65" s="278" t="s">
        <v>11</v>
      </c>
      <c r="F65" s="278" t="s">
        <v>271</v>
      </c>
      <c r="G65" s="278">
        <v>955947</v>
      </c>
      <c r="H65" s="374"/>
      <c r="I65" s="278"/>
      <c r="J65" s="374"/>
      <c r="K65" s="375"/>
      <c r="L65" s="89"/>
      <c r="M65" s="89"/>
      <c r="N65" s="89"/>
      <c r="O65" s="89"/>
    </row>
    <row r="66" spans="2:15">
      <c r="B66" s="278" t="s">
        <v>305</v>
      </c>
      <c r="C66" s="279">
        <v>45026</v>
      </c>
      <c r="D66" s="278">
        <v>956</v>
      </c>
      <c r="E66" s="278" t="s">
        <v>12</v>
      </c>
      <c r="F66" s="278" t="s">
        <v>319</v>
      </c>
      <c r="G66" s="278">
        <v>697578</v>
      </c>
      <c r="H66" s="374">
        <v>6500</v>
      </c>
      <c r="I66" s="278">
        <v>298.51</v>
      </c>
      <c r="J66" s="374">
        <f>H66-(SUM(I66:I85))</f>
        <v>160.11500000000069</v>
      </c>
      <c r="K66" s="375">
        <f>(SUM(I66:I85))/H66</f>
        <v>0.97536692307692296</v>
      </c>
      <c r="L66" s="89"/>
      <c r="M66" s="89"/>
      <c r="N66" s="89"/>
      <c r="O66" s="89"/>
    </row>
    <row r="67" spans="2:15">
      <c r="B67" s="278" t="s">
        <v>305</v>
      </c>
      <c r="C67" s="279">
        <v>45026</v>
      </c>
      <c r="D67" s="278">
        <v>956</v>
      </c>
      <c r="E67" s="278" t="s">
        <v>12</v>
      </c>
      <c r="F67" s="278" t="s">
        <v>279</v>
      </c>
      <c r="G67" s="278">
        <v>901588</v>
      </c>
      <c r="H67" s="374"/>
      <c r="I67" s="278">
        <v>107.982</v>
      </c>
      <c r="J67" s="374"/>
      <c r="K67" s="375"/>
      <c r="L67" s="89"/>
      <c r="M67" s="89"/>
      <c r="N67" s="89"/>
      <c r="O67" s="89"/>
    </row>
    <row r="68" spans="2:15">
      <c r="B68" s="278" t="s">
        <v>305</v>
      </c>
      <c r="C68" s="279">
        <v>45026</v>
      </c>
      <c r="D68" s="278">
        <v>956</v>
      </c>
      <c r="E68" s="278" t="s">
        <v>12</v>
      </c>
      <c r="F68" s="278" t="s">
        <v>320</v>
      </c>
      <c r="G68" s="278">
        <v>966826</v>
      </c>
      <c r="H68" s="374"/>
      <c r="I68" s="278">
        <v>282.18099999999998</v>
      </c>
      <c r="J68" s="374"/>
      <c r="K68" s="375"/>
      <c r="L68" s="89"/>
      <c r="M68" s="89"/>
      <c r="N68" s="89"/>
      <c r="O68" s="89"/>
    </row>
    <row r="69" spans="2:15">
      <c r="B69" s="278" t="s">
        <v>305</v>
      </c>
      <c r="C69" s="279">
        <v>45026</v>
      </c>
      <c r="D69" s="278">
        <v>956</v>
      </c>
      <c r="E69" s="278" t="s">
        <v>12</v>
      </c>
      <c r="F69" s="278" t="s">
        <v>321</v>
      </c>
      <c r="G69" s="278">
        <v>969501</v>
      </c>
      <c r="H69" s="374"/>
      <c r="I69" s="278">
        <v>107.455</v>
      </c>
      <c r="J69" s="374"/>
      <c r="K69" s="375"/>
      <c r="L69" s="89"/>
      <c r="M69" s="89"/>
      <c r="N69" s="89"/>
      <c r="O69" s="89"/>
    </row>
    <row r="70" spans="2:15">
      <c r="B70" s="278" t="s">
        <v>305</v>
      </c>
      <c r="C70" s="279">
        <v>45026</v>
      </c>
      <c r="D70" s="278">
        <v>956</v>
      </c>
      <c r="E70" s="278" t="s">
        <v>12</v>
      </c>
      <c r="F70" s="278" t="s">
        <v>281</v>
      </c>
      <c r="G70" s="278">
        <v>966397</v>
      </c>
      <c r="H70" s="374"/>
      <c r="I70" s="278">
        <v>311.52800000000002</v>
      </c>
      <c r="J70" s="374"/>
      <c r="K70" s="375"/>
      <c r="L70" s="89"/>
      <c r="M70" s="89"/>
      <c r="N70" s="89"/>
      <c r="O70" s="89"/>
    </row>
    <row r="71" spans="2:15">
      <c r="B71" s="278" t="s">
        <v>305</v>
      </c>
      <c r="C71" s="279">
        <v>45026</v>
      </c>
      <c r="D71" s="278">
        <v>956</v>
      </c>
      <c r="E71" s="278" t="s">
        <v>12</v>
      </c>
      <c r="F71" s="278" t="s">
        <v>282</v>
      </c>
      <c r="G71" s="278">
        <v>964933</v>
      </c>
      <c r="H71" s="374"/>
      <c r="I71" s="278">
        <v>170.58099999999999</v>
      </c>
      <c r="J71" s="374"/>
      <c r="K71" s="375"/>
      <c r="L71" s="89"/>
      <c r="M71" s="89"/>
      <c r="N71" s="89"/>
      <c r="O71" s="89"/>
    </row>
    <row r="72" spans="2:15">
      <c r="B72" s="278" t="s">
        <v>305</v>
      </c>
      <c r="C72" s="279">
        <v>45026</v>
      </c>
      <c r="D72" s="278">
        <v>956</v>
      </c>
      <c r="E72" s="278" t="s">
        <v>12</v>
      </c>
      <c r="F72" s="278" t="s">
        <v>294</v>
      </c>
      <c r="G72" s="278">
        <v>950875</v>
      </c>
      <c r="H72" s="374"/>
      <c r="I72" s="278">
        <v>445.815</v>
      </c>
      <c r="J72" s="374"/>
      <c r="K72" s="375"/>
      <c r="L72" s="89"/>
      <c r="M72" s="89"/>
      <c r="N72" s="89"/>
      <c r="O72" s="89"/>
    </row>
    <row r="73" spans="2:15">
      <c r="B73" s="278" t="s">
        <v>305</v>
      </c>
      <c r="C73" s="279">
        <v>45026</v>
      </c>
      <c r="D73" s="278">
        <v>956</v>
      </c>
      <c r="E73" s="278" t="s">
        <v>12</v>
      </c>
      <c r="F73" s="278" t="s">
        <v>283</v>
      </c>
      <c r="G73" s="278">
        <v>956427</v>
      </c>
      <c r="H73" s="374"/>
      <c r="I73" s="278">
        <v>230.273</v>
      </c>
      <c r="J73" s="374"/>
      <c r="K73" s="375"/>
      <c r="L73" s="89"/>
      <c r="M73" s="89"/>
      <c r="N73" s="89"/>
      <c r="O73" s="89"/>
    </row>
    <row r="74" spans="2:15">
      <c r="B74" s="278" t="s">
        <v>305</v>
      </c>
      <c r="C74" s="279">
        <v>45026</v>
      </c>
      <c r="D74" s="278">
        <v>956</v>
      </c>
      <c r="E74" s="278" t="s">
        <v>12</v>
      </c>
      <c r="F74" s="278" t="s">
        <v>284</v>
      </c>
      <c r="G74" s="278">
        <v>960563</v>
      </c>
      <c r="H74" s="374"/>
      <c r="I74" s="278">
        <v>645.27700000000004</v>
      </c>
      <c r="J74" s="374"/>
      <c r="K74" s="375"/>
      <c r="L74" s="89"/>
      <c r="M74" s="89"/>
      <c r="N74" s="89"/>
      <c r="O74" s="89"/>
    </row>
    <row r="75" spans="2:15">
      <c r="B75" s="278" t="s">
        <v>305</v>
      </c>
      <c r="C75" s="279">
        <v>45026</v>
      </c>
      <c r="D75" s="278">
        <v>956</v>
      </c>
      <c r="E75" s="278" t="s">
        <v>12</v>
      </c>
      <c r="F75" s="278" t="s">
        <v>286</v>
      </c>
      <c r="G75" s="278">
        <v>968871</v>
      </c>
      <c r="H75" s="374"/>
      <c r="I75" s="278">
        <v>73.867999999999995</v>
      </c>
      <c r="J75" s="374"/>
      <c r="K75" s="375"/>
      <c r="L75" s="89"/>
      <c r="M75" s="89"/>
      <c r="N75" s="89"/>
      <c r="O75" s="89"/>
    </row>
    <row r="76" spans="2:15">
      <c r="B76" s="278" t="s">
        <v>305</v>
      </c>
      <c r="C76" s="279">
        <v>45026</v>
      </c>
      <c r="D76" s="278">
        <v>956</v>
      </c>
      <c r="E76" s="278" t="s">
        <v>12</v>
      </c>
      <c r="F76" s="278" t="s">
        <v>322</v>
      </c>
      <c r="G76" s="278">
        <v>964673</v>
      </c>
      <c r="H76" s="374"/>
      <c r="I76" s="278">
        <v>69.674999999999997</v>
      </c>
      <c r="J76" s="374"/>
      <c r="K76" s="375"/>
      <c r="L76" s="89"/>
      <c r="M76" s="89"/>
      <c r="N76" s="89"/>
      <c r="O76" s="89"/>
    </row>
    <row r="77" spans="2:15">
      <c r="B77" s="278" t="s">
        <v>305</v>
      </c>
      <c r="C77" s="279">
        <v>45026</v>
      </c>
      <c r="D77" s="278">
        <v>956</v>
      </c>
      <c r="E77" s="278" t="s">
        <v>12</v>
      </c>
      <c r="F77" s="278" t="s">
        <v>287</v>
      </c>
      <c r="G77" s="278">
        <v>923266</v>
      </c>
      <c r="H77" s="374"/>
      <c r="I77" s="278">
        <v>345.53</v>
      </c>
      <c r="J77" s="374"/>
      <c r="K77" s="375"/>
      <c r="L77" s="89"/>
      <c r="M77" s="89"/>
      <c r="N77" s="89"/>
      <c r="O77" s="89"/>
    </row>
    <row r="78" spans="2:15">
      <c r="B78" s="278" t="s">
        <v>305</v>
      </c>
      <c r="C78" s="279">
        <v>45026</v>
      </c>
      <c r="D78" s="278">
        <v>956</v>
      </c>
      <c r="E78" s="278" t="s">
        <v>12</v>
      </c>
      <c r="F78" s="278" t="s">
        <v>288</v>
      </c>
      <c r="G78" s="278">
        <v>966707</v>
      </c>
      <c r="H78" s="374"/>
      <c r="I78" s="278">
        <v>697.95</v>
      </c>
      <c r="J78" s="374"/>
      <c r="K78" s="375"/>
      <c r="L78" s="89"/>
      <c r="M78" s="89"/>
      <c r="N78" s="89"/>
      <c r="O78" s="89"/>
    </row>
    <row r="79" spans="2:15">
      <c r="B79" s="278" t="s">
        <v>305</v>
      </c>
      <c r="C79" s="279">
        <v>45026</v>
      </c>
      <c r="D79" s="278">
        <v>956</v>
      </c>
      <c r="E79" s="278" t="s">
        <v>12</v>
      </c>
      <c r="F79" s="278" t="s">
        <v>289</v>
      </c>
      <c r="G79" s="278">
        <v>957989</v>
      </c>
      <c r="H79" s="374"/>
      <c r="I79" s="278">
        <v>562.24900000000002</v>
      </c>
      <c r="J79" s="374"/>
      <c r="K79" s="375"/>
      <c r="L79" s="89"/>
      <c r="M79" s="89"/>
      <c r="N79" s="89"/>
      <c r="O79" s="89"/>
    </row>
    <row r="80" spans="2:15">
      <c r="B80" s="278" t="s">
        <v>305</v>
      </c>
      <c r="C80" s="279">
        <v>45026</v>
      </c>
      <c r="D80" s="278">
        <v>956</v>
      </c>
      <c r="E80" s="278" t="s">
        <v>12</v>
      </c>
      <c r="F80" s="278" t="s">
        <v>290</v>
      </c>
      <c r="G80" s="278">
        <v>698592</v>
      </c>
      <c r="H80" s="374"/>
      <c r="I80" s="278">
        <v>526.18200000000002</v>
      </c>
      <c r="J80" s="374"/>
      <c r="K80" s="375"/>
      <c r="L80" s="89"/>
      <c r="M80" s="89"/>
      <c r="N80" s="89"/>
      <c r="O80" s="89"/>
    </row>
    <row r="81" spans="2:15">
      <c r="B81" s="278" t="s">
        <v>305</v>
      </c>
      <c r="C81" s="279">
        <v>45026</v>
      </c>
      <c r="D81" s="278">
        <v>956</v>
      </c>
      <c r="E81" s="278" t="s">
        <v>12</v>
      </c>
      <c r="F81" s="278" t="s">
        <v>291</v>
      </c>
      <c r="G81" s="278">
        <v>958708</v>
      </c>
      <c r="H81" s="374"/>
      <c r="I81" s="278"/>
      <c r="J81" s="374"/>
      <c r="K81" s="375"/>
      <c r="L81" s="89"/>
      <c r="M81" s="89"/>
      <c r="N81" s="89"/>
      <c r="O81" s="89"/>
    </row>
    <row r="82" spans="2:15">
      <c r="B82" s="278" t="s">
        <v>305</v>
      </c>
      <c r="C82" s="279">
        <v>45026</v>
      </c>
      <c r="D82" s="278">
        <v>956</v>
      </c>
      <c r="E82" s="278" t="s">
        <v>12</v>
      </c>
      <c r="F82" s="278" t="s">
        <v>323</v>
      </c>
      <c r="G82" s="278">
        <v>968624</v>
      </c>
      <c r="H82" s="374"/>
      <c r="I82" s="278">
        <v>297.02100000000002</v>
      </c>
      <c r="J82" s="374"/>
      <c r="K82" s="375"/>
      <c r="L82" s="89"/>
      <c r="M82" s="89"/>
      <c r="N82" s="89"/>
      <c r="O82" s="89"/>
    </row>
    <row r="83" spans="2:15">
      <c r="B83" s="278" t="s">
        <v>305</v>
      </c>
      <c r="C83" s="279">
        <v>45026</v>
      </c>
      <c r="D83" s="278">
        <v>956</v>
      </c>
      <c r="E83" s="278" t="s">
        <v>12</v>
      </c>
      <c r="F83" s="278" t="s">
        <v>292</v>
      </c>
      <c r="G83" s="278">
        <v>700697</v>
      </c>
      <c r="H83" s="374"/>
      <c r="I83" s="278">
        <v>439.041</v>
      </c>
      <c r="J83" s="374"/>
      <c r="K83" s="375"/>
      <c r="L83" s="89"/>
      <c r="M83" s="89"/>
      <c r="N83" s="89"/>
      <c r="O83" s="89"/>
    </row>
    <row r="84" spans="2:15">
      <c r="B84" s="278" t="s">
        <v>305</v>
      </c>
      <c r="C84" s="279">
        <v>45026</v>
      </c>
      <c r="D84" s="278">
        <v>956</v>
      </c>
      <c r="E84" s="278" t="s">
        <v>12</v>
      </c>
      <c r="F84" s="278" t="s">
        <v>293</v>
      </c>
      <c r="G84" s="278">
        <v>953023</v>
      </c>
      <c r="H84" s="374"/>
      <c r="I84" s="278">
        <v>571.94299999999998</v>
      </c>
      <c r="J84" s="374"/>
      <c r="K84" s="375"/>
      <c r="L84" s="89"/>
      <c r="M84" s="89"/>
      <c r="N84" s="89"/>
      <c r="O84" s="89"/>
    </row>
    <row r="85" spans="2:15">
      <c r="B85" s="278" t="s">
        <v>305</v>
      </c>
      <c r="C85" s="279">
        <v>45026</v>
      </c>
      <c r="D85" s="278">
        <v>956</v>
      </c>
      <c r="E85" s="278" t="s">
        <v>12</v>
      </c>
      <c r="F85" s="278" t="s">
        <v>313</v>
      </c>
      <c r="G85" s="278">
        <v>923167</v>
      </c>
      <c r="H85" s="374"/>
      <c r="I85" s="278">
        <v>156.82400000000001</v>
      </c>
      <c r="J85" s="374"/>
      <c r="K85" s="375"/>
      <c r="L85" s="89"/>
      <c r="M85" s="89"/>
      <c r="N85" s="89"/>
      <c r="O85" s="89"/>
    </row>
    <row r="86" spans="2:15">
      <c r="B86" s="282" t="s">
        <v>305</v>
      </c>
      <c r="C86" s="279">
        <v>45040</v>
      </c>
      <c r="D86" s="282">
        <v>1001</v>
      </c>
      <c r="E86" s="282" t="s">
        <v>12</v>
      </c>
      <c r="F86" s="282" t="s">
        <v>279</v>
      </c>
      <c r="G86" s="282">
        <v>901588</v>
      </c>
      <c r="H86" s="374">
        <v>199.01900000000001</v>
      </c>
      <c r="I86" s="282">
        <v>66.338999999999999</v>
      </c>
      <c r="J86" s="374">
        <f>H86-(I86+I87+I88)</f>
        <v>0</v>
      </c>
      <c r="K86" s="375">
        <f>(I86+I87+I88)/H86</f>
        <v>1</v>
      </c>
      <c r="L86" s="89"/>
      <c r="M86" s="89"/>
      <c r="N86" s="89"/>
      <c r="O86" s="89"/>
    </row>
    <row r="87" spans="2:15">
      <c r="B87" s="282" t="s">
        <v>305</v>
      </c>
      <c r="C87" s="279">
        <v>45040</v>
      </c>
      <c r="D87" s="282">
        <v>1001</v>
      </c>
      <c r="E87" s="282" t="s">
        <v>12</v>
      </c>
      <c r="F87" s="282" t="s">
        <v>283</v>
      </c>
      <c r="G87" s="282">
        <v>956427</v>
      </c>
      <c r="H87" s="374"/>
      <c r="I87" s="282">
        <v>66.338999999999999</v>
      </c>
      <c r="J87" s="374"/>
      <c r="K87" s="375"/>
      <c r="L87" s="89"/>
      <c r="M87" s="89"/>
      <c r="N87" s="89"/>
      <c r="O87" s="89"/>
    </row>
    <row r="88" spans="2:15">
      <c r="B88" s="282" t="s">
        <v>305</v>
      </c>
      <c r="C88" s="279">
        <v>45040</v>
      </c>
      <c r="D88" s="282">
        <v>1001</v>
      </c>
      <c r="E88" s="282" t="s">
        <v>12</v>
      </c>
      <c r="F88" s="282" t="s">
        <v>293</v>
      </c>
      <c r="G88" s="282">
        <v>953023</v>
      </c>
      <c r="H88" s="374"/>
      <c r="I88" s="282">
        <v>66.340999999999994</v>
      </c>
      <c r="J88" s="374"/>
      <c r="K88" s="375"/>
      <c r="L88" s="89"/>
      <c r="M88" s="89"/>
      <c r="N88" s="89"/>
      <c r="O88" s="89"/>
    </row>
    <row r="89" spans="2:15">
      <c r="B89" s="283" t="s">
        <v>305</v>
      </c>
      <c r="C89" s="279">
        <v>44973</v>
      </c>
      <c r="D89" s="283">
        <v>359</v>
      </c>
      <c r="E89" s="283" t="s">
        <v>88</v>
      </c>
      <c r="F89" s="283" t="s">
        <v>171</v>
      </c>
      <c r="G89" s="283">
        <v>965747</v>
      </c>
      <c r="H89" s="374">
        <v>10000</v>
      </c>
      <c r="I89" s="283">
        <v>42.37</v>
      </c>
      <c r="J89" s="382">
        <f>H89-(SUM(I89:I131))</f>
        <v>5599.1789999999992</v>
      </c>
      <c r="K89" s="383">
        <f>(SUM(I89:I131))/H89</f>
        <v>0.44008210000000009</v>
      </c>
      <c r="L89" s="89"/>
      <c r="M89" s="89"/>
      <c r="N89" s="89"/>
      <c r="O89" s="89"/>
    </row>
    <row r="90" spans="2:15">
      <c r="B90" s="283" t="s">
        <v>305</v>
      </c>
      <c r="C90" s="279">
        <v>44973</v>
      </c>
      <c r="D90" s="283">
        <v>359</v>
      </c>
      <c r="E90" s="283" t="s">
        <v>88</v>
      </c>
      <c r="F90" s="283" t="s">
        <v>172</v>
      </c>
      <c r="G90" s="283">
        <v>956794</v>
      </c>
      <c r="H90" s="374"/>
      <c r="I90" s="283">
        <v>197.21</v>
      </c>
      <c r="J90" s="347"/>
      <c r="K90" s="344"/>
      <c r="L90" s="89"/>
      <c r="M90" s="89"/>
      <c r="N90" s="89"/>
      <c r="O90" s="89"/>
    </row>
    <row r="91" spans="2:15">
      <c r="B91" s="283" t="s">
        <v>305</v>
      </c>
      <c r="C91" s="279">
        <v>44973</v>
      </c>
      <c r="D91" s="283">
        <v>359</v>
      </c>
      <c r="E91" s="283" t="s">
        <v>88</v>
      </c>
      <c r="F91" s="283" t="s">
        <v>214</v>
      </c>
      <c r="G91" s="283">
        <v>700133</v>
      </c>
      <c r="H91" s="374"/>
      <c r="I91" s="283">
        <v>131.32499999999999</v>
      </c>
      <c r="J91" s="347"/>
      <c r="K91" s="344"/>
      <c r="L91" s="89"/>
      <c r="M91" s="89"/>
      <c r="N91" s="89"/>
      <c r="O91" s="89"/>
    </row>
    <row r="92" spans="2:15">
      <c r="B92" s="283" t="s">
        <v>305</v>
      </c>
      <c r="C92" s="279">
        <v>44973</v>
      </c>
      <c r="D92" s="283">
        <v>359</v>
      </c>
      <c r="E92" s="283" t="s">
        <v>88</v>
      </c>
      <c r="F92" s="283" t="s">
        <v>173</v>
      </c>
      <c r="G92" s="283">
        <v>963544</v>
      </c>
      <c r="H92" s="374"/>
      <c r="I92" s="283">
        <v>11.255000000000001</v>
      </c>
      <c r="J92" s="347"/>
      <c r="K92" s="344"/>
      <c r="L92" s="89"/>
      <c r="M92" s="89"/>
      <c r="N92" s="89"/>
      <c r="O92" s="89"/>
    </row>
    <row r="93" spans="2:15">
      <c r="B93" s="283" t="s">
        <v>305</v>
      </c>
      <c r="C93" s="279">
        <v>44973</v>
      </c>
      <c r="D93" s="283">
        <v>359</v>
      </c>
      <c r="E93" s="283" t="s">
        <v>88</v>
      </c>
      <c r="F93" s="283" t="s">
        <v>174</v>
      </c>
      <c r="G93" s="283">
        <v>963409</v>
      </c>
      <c r="H93" s="374"/>
      <c r="I93" s="283">
        <v>79.234999999999999</v>
      </c>
      <c r="J93" s="347"/>
      <c r="K93" s="344"/>
      <c r="L93" s="89"/>
      <c r="M93" s="89"/>
      <c r="N93" s="89"/>
      <c r="O93" s="89"/>
    </row>
    <row r="94" spans="2:15">
      <c r="B94" s="283" t="s">
        <v>305</v>
      </c>
      <c r="C94" s="279">
        <v>44973</v>
      </c>
      <c r="D94" s="283">
        <v>359</v>
      </c>
      <c r="E94" s="283" t="s">
        <v>88</v>
      </c>
      <c r="F94" s="283" t="s">
        <v>324</v>
      </c>
      <c r="G94" s="283">
        <v>968781</v>
      </c>
      <c r="H94" s="374"/>
      <c r="I94" s="283"/>
      <c r="J94" s="347"/>
      <c r="K94" s="344"/>
      <c r="L94" s="89"/>
      <c r="M94" s="89"/>
      <c r="N94" s="89"/>
      <c r="O94" s="89"/>
    </row>
    <row r="95" spans="2:15">
      <c r="B95" s="283" t="s">
        <v>305</v>
      </c>
      <c r="C95" s="279">
        <v>44973</v>
      </c>
      <c r="D95" s="283">
        <v>359</v>
      </c>
      <c r="E95" s="283" t="s">
        <v>88</v>
      </c>
      <c r="F95" s="283" t="s">
        <v>175</v>
      </c>
      <c r="G95" s="283">
        <v>966363</v>
      </c>
      <c r="H95" s="374"/>
      <c r="I95" s="283">
        <f>147.03+43.155</f>
        <v>190.185</v>
      </c>
      <c r="J95" s="347"/>
      <c r="K95" s="344"/>
      <c r="L95" s="89"/>
      <c r="M95" s="89"/>
      <c r="N95" s="89"/>
      <c r="O95" s="89"/>
    </row>
    <row r="96" spans="2:15">
      <c r="B96" s="283" t="s">
        <v>305</v>
      </c>
      <c r="C96" s="279">
        <v>44973</v>
      </c>
      <c r="D96" s="283">
        <v>359</v>
      </c>
      <c r="E96" s="283" t="s">
        <v>88</v>
      </c>
      <c r="F96" s="283" t="s">
        <v>212</v>
      </c>
      <c r="G96" s="283">
        <v>700057</v>
      </c>
      <c r="H96" s="374"/>
      <c r="I96" s="283"/>
      <c r="J96" s="347"/>
      <c r="K96" s="344"/>
      <c r="L96" s="89"/>
      <c r="M96" s="89"/>
      <c r="N96" s="89"/>
      <c r="O96" s="89"/>
    </row>
    <row r="97" spans="2:15">
      <c r="B97" s="283" t="s">
        <v>305</v>
      </c>
      <c r="C97" s="279">
        <v>44973</v>
      </c>
      <c r="D97" s="283">
        <v>359</v>
      </c>
      <c r="E97" s="283" t="s">
        <v>88</v>
      </c>
      <c r="F97" s="283" t="s">
        <v>229</v>
      </c>
      <c r="G97" s="283">
        <v>699558</v>
      </c>
      <c r="H97" s="374"/>
      <c r="I97" s="283">
        <v>121.925</v>
      </c>
      <c r="J97" s="347"/>
      <c r="K97" s="344"/>
      <c r="L97" s="89"/>
      <c r="M97" s="89"/>
      <c r="N97" s="89"/>
      <c r="O97" s="89"/>
    </row>
    <row r="98" spans="2:15">
      <c r="B98" s="283" t="s">
        <v>305</v>
      </c>
      <c r="C98" s="279">
        <v>44973</v>
      </c>
      <c r="D98" s="283">
        <v>359</v>
      </c>
      <c r="E98" s="283" t="s">
        <v>88</v>
      </c>
      <c r="F98" s="283" t="s">
        <v>177</v>
      </c>
      <c r="G98" s="283">
        <v>955856</v>
      </c>
      <c r="H98" s="374"/>
      <c r="I98" s="283"/>
      <c r="J98" s="347"/>
      <c r="K98" s="344"/>
      <c r="L98" s="89"/>
      <c r="M98" s="89"/>
      <c r="N98" s="89"/>
      <c r="O98" s="89"/>
    </row>
    <row r="99" spans="2:15">
      <c r="B99" s="283" t="s">
        <v>305</v>
      </c>
      <c r="C99" s="279">
        <v>44973</v>
      </c>
      <c r="D99" s="283">
        <v>359</v>
      </c>
      <c r="E99" s="283" t="s">
        <v>88</v>
      </c>
      <c r="F99" s="313" t="s">
        <v>207</v>
      </c>
      <c r="G99" s="313">
        <v>699580</v>
      </c>
      <c r="H99" s="374"/>
      <c r="I99" s="283">
        <v>162.88999999999999</v>
      </c>
      <c r="J99" s="347"/>
      <c r="K99" s="344"/>
      <c r="L99" s="89"/>
      <c r="M99" s="89"/>
      <c r="N99" s="89"/>
      <c r="O99" s="89"/>
    </row>
    <row r="100" spans="2:15">
      <c r="B100" s="283" t="s">
        <v>305</v>
      </c>
      <c r="C100" s="279">
        <v>44973</v>
      </c>
      <c r="D100" s="283">
        <v>359</v>
      </c>
      <c r="E100" s="283" t="s">
        <v>88</v>
      </c>
      <c r="F100" s="313" t="s">
        <v>179</v>
      </c>
      <c r="G100" s="313">
        <v>964506</v>
      </c>
      <c r="H100" s="374"/>
      <c r="I100" s="283">
        <v>42.38</v>
      </c>
      <c r="J100" s="347"/>
      <c r="K100" s="344"/>
      <c r="L100" s="89"/>
      <c r="M100" s="89"/>
      <c r="N100" s="89"/>
      <c r="O100" s="89"/>
    </row>
    <row r="101" spans="2:15">
      <c r="B101" s="283" t="s">
        <v>305</v>
      </c>
      <c r="C101" s="279">
        <v>44973</v>
      </c>
      <c r="D101" s="283">
        <v>359</v>
      </c>
      <c r="E101" s="283" t="s">
        <v>88</v>
      </c>
      <c r="F101" s="313" t="s">
        <v>180</v>
      </c>
      <c r="G101" s="313">
        <v>967834</v>
      </c>
      <c r="H101" s="374"/>
      <c r="I101" s="283">
        <v>252.065</v>
      </c>
      <c r="J101" s="347"/>
      <c r="K101" s="344"/>
      <c r="L101" s="89"/>
      <c r="M101" s="89"/>
      <c r="N101" s="89"/>
      <c r="O101" s="89"/>
    </row>
    <row r="102" spans="2:15">
      <c r="B102" s="283" t="s">
        <v>305</v>
      </c>
      <c r="C102" s="279">
        <v>44973</v>
      </c>
      <c r="D102" s="283">
        <v>359</v>
      </c>
      <c r="E102" s="283" t="s">
        <v>88</v>
      </c>
      <c r="F102" s="313" t="s">
        <v>181</v>
      </c>
      <c r="G102" s="313">
        <v>966916</v>
      </c>
      <c r="H102" s="374"/>
      <c r="I102" s="283">
        <v>219.48</v>
      </c>
      <c r="J102" s="347"/>
      <c r="K102" s="344"/>
      <c r="L102" s="89"/>
      <c r="M102" s="89"/>
      <c r="N102" s="89"/>
      <c r="O102" s="89"/>
    </row>
    <row r="103" spans="2:15">
      <c r="B103" s="283" t="s">
        <v>305</v>
      </c>
      <c r="C103" s="279">
        <v>44973</v>
      </c>
      <c r="D103" s="283">
        <v>359</v>
      </c>
      <c r="E103" s="283" t="s">
        <v>88</v>
      </c>
      <c r="F103" s="313" t="s">
        <v>184</v>
      </c>
      <c r="G103" s="313">
        <v>698422</v>
      </c>
      <c r="H103" s="374"/>
      <c r="I103" s="283">
        <v>94.165000000000006</v>
      </c>
      <c r="J103" s="347"/>
      <c r="K103" s="344"/>
      <c r="L103" s="89"/>
      <c r="M103" s="89"/>
      <c r="N103" s="89"/>
      <c r="O103" s="89"/>
    </row>
    <row r="104" spans="2:15">
      <c r="B104" s="283" t="s">
        <v>305</v>
      </c>
      <c r="C104" s="279">
        <v>44973</v>
      </c>
      <c r="D104" s="283">
        <v>359</v>
      </c>
      <c r="E104" s="283" t="s">
        <v>88</v>
      </c>
      <c r="F104" s="313" t="s">
        <v>186</v>
      </c>
      <c r="G104" s="313">
        <v>952279</v>
      </c>
      <c r="H104" s="374"/>
      <c r="I104" s="283">
        <v>77.584999999999994</v>
      </c>
      <c r="J104" s="347"/>
      <c r="K104" s="344"/>
      <c r="L104" s="89"/>
      <c r="M104" s="89"/>
      <c r="N104" s="89"/>
      <c r="O104" s="89"/>
    </row>
    <row r="105" spans="2:15">
      <c r="B105" s="283" t="s">
        <v>305</v>
      </c>
      <c r="C105" s="279">
        <v>44973</v>
      </c>
      <c r="D105" s="283">
        <v>359</v>
      </c>
      <c r="E105" s="283" t="s">
        <v>88</v>
      </c>
      <c r="F105" s="313" t="s">
        <v>187</v>
      </c>
      <c r="G105" s="313">
        <v>961261</v>
      </c>
      <c r="H105" s="374"/>
      <c r="I105" s="283">
        <v>155.86500000000001</v>
      </c>
      <c r="J105" s="347"/>
      <c r="K105" s="344"/>
      <c r="L105" s="89"/>
      <c r="M105" s="89"/>
      <c r="N105" s="89"/>
      <c r="O105" s="89"/>
    </row>
    <row r="106" spans="2:15">
      <c r="B106" s="283" t="s">
        <v>305</v>
      </c>
      <c r="C106" s="279">
        <v>44973</v>
      </c>
      <c r="D106" s="283">
        <v>359</v>
      </c>
      <c r="E106" s="283" t="s">
        <v>88</v>
      </c>
      <c r="F106" s="313" t="s">
        <v>189</v>
      </c>
      <c r="G106" s="313">
        <v>913564</v>
      </c>
      <c r="H106" s="374"/>
      <c r="I106" s="283">
        <v>104.77500000000001</v>
      </c>
      <c r="J106" s="347"/>
      <c r="K106" s="344"/>
      <c r="L106" s="89"/>
      <c r="M106" s="89"/>
      <c r="N106" s="89"/>
      <c r="O106" s="89"/>
    </row>
    <row r="107" spans="2:15">
      <c r="B107" s="283" t="s">
        <v>305</v>
      </c>
      <c r="C107" s="279">
        <v>44973</v>
      </c>
      <c r="D107" s="283">
        <v>359</v>
      </c>
      <c r="E107" s="283" t="s">
        <v>88</v>
      </c>
      <c r="F107" s="313" t="s">
        <v>325</v>
      </c>
      <c r="G107" s="313">
        <v>700388</v>
      </c>
      <c r="H107" s="374"/>
      <c r="I107" s="283">
        <v>114.985</v>
      </c>
      <c r="J107" s="347"/>
      <c r="K107" s="344"/>
      <c r="L107" s="89"/>
      <c r="M107" s="89"/>
      <c r="N107" s="89"/>
      <c r="O107" s="89"/>
    </row>
    <row r="108" spans="2:15">
      <c r="B108" s="283" t="s">
        <v>305</v>
      </c>
      <c r="C108" s="279">
        <v>44973</v>
      </c>
      <c r="D108" s="283">
        <v>359</v>
      </c>
      <c r="E108" s="283" t="s">
        <v>88</v>
      </c>
      <c r="F108" s="313" t="s">
        <v>194</v>
      </c>
      <c r="G108" s="313">
        <v>952277</v>
      </c>
      <c r="H108" s="374"/>
      <c r="I108" s="283">
        <v>206.32400000000001</v>
      </c>
      <c r="J108" s="347"/>
      <c r="K108" s="344"/>
      <c r="L108" s="89"/>
      <c r="M108" s="89"/>
      <c r="N108" s="89"/>
      <c r="O108" s="89"/>
    </row>
    <row r="109" spans="2:15">
      <c r="B109" s="283" t="s">
        <v>305</v>
      </c>
      <c r="C109" s="279">
        <v>44973</v>
      </c>
      <c r="D109" s="283">
        <v>359</v>
      </c>
      <c r="E109" s="283" t="s">
        <v>88</v>
      </c>
      <c r="F109" s="313" t="s">
        <v>195</v>
      </c>
      <c r="G109" s="313">
        <v>914147</v>
      </c>
      <c r="H109" s="374"/>
      <c r="I109" s="283">
        <v>68.731999999999999</v>
      </c>
      <c r="J109" s="347"/>
      <c r="K109" s="344"/>
      <c r="L109" s="89"/>
      <c r="M109" s="89"/>
      <c r="N109" s="89"/>
      <c r="O109" s="89"/>
    </row>
    <row r="110" spans="2:15">
      <c r="B110" s="283" t="s">
        <v>305</v>
      </c>
      <c r="C110" s="279">
        <v>44973</v>
      </c>
      <c r="D110" s="283">
        <v>359</v>
      </c>
      <c r="E110" s="283" t="s">
        <v>88</v>
      </c>
      <c r="F110" s="313" t="s">
        <v>196</v>
      </c>
      <c r="G110" s="313">
        <v>960140</v>
      </c>
      <c r="H110" s="374"/>
      <c r="I110" s="283">
        <v>118.07</v>
      </c>
      <c r="J110" s="347"/>
      <c r="K110" s="344"/>
      <c r="L110" s="89"/>
      <c r="M110" s="89"/>
      <c r="N110" s="89"/>
      <c r="O110" s="89"/>
    </row>
    <row r="111" spans="2:15">
      <c r="B111" s="283" t="s">
        <v>305</v>
      </c>
      <c r="C111" s="279">
        <v>44973</v>
      </c>
      <c r="D111" s="283">
        <v>359</v>
      </c>
      <c r="E111" s="283" t="s">
        <v>88</v>
      </c>
      <c r="F111" s="313" t="s">
        <v>197</v>
      </c>
      <c r="G111" s="313">
        <v>953852</v>
      </c>
      <c r="H111" s="374"/>
      <c r="I111" s="283"/>
      <c r="J111" s="347"/>
      <c r="K111" s="344"/>
      <c r="L111" s="89"/>
      <c r="M111" s="89"/>
      <c r="N111" s="89"/>
      <c r="O111" s="89"/>
    </row>
    <row r="112" spans="2:15">
      <c r="B112" s="283" t="s">
        <v>305</v>
      </c>
      <c r="C112" s="279">
        <v>44973</v>
      </c>
      <c r="D112" s="283">
        <v>359</v>
      </c>
      <c r="E112" s="283" t="s">
        <v>88</v>
      </c>
      <c r="F112" s="313" t="s">
        <v>211</v>
      </c>
      <c r="G112" s="313">
        <v>964706</v>
      </c>
      <c r="H112" s="374"/>
      <c r="I112" s="283">
        <v>61.085000000000001</v>
      </c>
      <c r="J112" s="347"/>
      <c r="K112" s="344"/>
      <c r="L112" s="89"/>
      <c r="M112" s="89"/>
      <c r="N112" s="89"/>
      <c r="O112" s="89"/>
    </row>
    <row r="113" spans="2:15">
      <c r="B113" s="283" t="s">
        <v>305</v>
      </c>
      <c r="C113" s="279">
        <v>44973</v>
      </c>
      <c r="D113" s="283">
        <v>359</v>
      </c>
      <c r="E113" s="283" t="s">
        <v>88</v>
      </c>
      <c r="F113" s="313" t="s">
        <v>225</v>
      </c>
      <c r="G113" s="313">
        <v>914125</v>
      </c>
      <c r="H113" s="374"/>
      <c r="I113" s="283">
        <v>19.135000000000002</v>
      </c>
      <c r="J113" s="347"/>
      <c r="K113" s="344"/>
      <c r="L113" s="89"/>
      <c r="M113" s="89"/>
      <c r="N113" s="89"/>
      <c r="O113" s="89"/>
    </row>
    <row r="114" spans="2:15">
      <c r="B114" s="283" t="s">
        <v>305</v>
      </c>
      <c r="C114" s="279">
        <v>44973</v>
      </c>
      <c r="D114" s="283">
        <v>359</v>
      </c>
      <c r="E114" s="283" t="s">
        <v>88</v>
      </c>
      <c r="F114" s="313" t="s">
        <v>192</v>
      </c>
      <c r="G114" s="313">
        <v>699115</v>
      </c>
      <c r="H114" s="374"/>
      <c r="I114" s="283">
        <v>159.345</v>
      </c>
      <c r="J114" s="347"/>
      <c r="K114" s="344"/>
      <c r="L114" s="89"/>
      <c r="M114" s="89"/>
      <c r="N114" s="89"/>
      <c r="O114" s="89"/>
    </row>
    <row r="115" spans="2:15">
      <c r="B115" s="283" t="s">
        <v>305</v>
      </c>
      <c r="C115" s="279">
        <v>44973</v>
      </c>
      <c r="D115" s="283">
        <v>359</v>
      </c>
      <c r="E115" s="283" t="s">
        <v>88</v>
      </c>
      <c r="F115" s="313" t="s">
        <v>349</v>
      </c>
      <c r="G115" s="313">
        <v>968795</v>
      </c>
      <c r="H115" s="374"/>
      <c r="I115" s="283">
        <v>72.155000000000001</v>
      </c>
      <c r="J115" s="347"/>
      <c r="K115" s="344"/>
      <c r="L115" s="89"/>
      <c r="M115" s="89"/>
      <c r="N115" s="89"/>
      <c r="O115" s="89"/>
    </row>
    <row r="116" spans="2:15">
      <c r="B116" s="283" t="s">
        <v>305</v>
      </c>
      <c r="C116" s="279">
        <v>44973</v>
      </c>
      <c r="D116" s="283">
        <v>359</v>
      </c>
      <c r="E116" s="283" t="s">
        <v>88</v>
      </c>
      <c r="F116" s="313" t="s">
        <v>200</v>
      </c>
      <c r="G116" s="313">
        <v>698348</v>
      </c>
      <c r="H116" s="374"/>
      <c r="I116" s="283">
        <v>55.03</v>
      </c>
      <c r="J116" s="347"/>
      <c r="K116" s="344"/>
      <c r="L116" s="89"/>
      <c r="M116" s="89"/>
      <c r="N116" s="89"/>
      <c r="O116" s="89"/>
    </row>
    <row r="117" spans="2:15">
      <c r="B117" s="283" t="s">
        <v>305</v>
      </c>
      <c r="C117" s="279">
        <v>44973</v>
      </c>
      <c r="D117" s="283">
        <v>359</v>
      </c>
      <c r="E117" s="283" t="s">
        <v>88</v>
      </c>
      <c r="F117" s="313" t="s">
        <v>213</v>
      </c>
      <c r="G117" s="313">
        <v>700047</v>
      </c>
      <c r="H117" s="374"/>
      <c r="I117" s="283">
        <v>100.64</v>
      </c>
      <c r="J117" s="347"/>
      <c r="K117" s="344"/>
      <c r="L117" s="89"/>
      <c r="M117" s="89"/>
      <c r="N117" s="89"/>
      <c r="O117" s="89"/>
    </row>
    <row r="118" spans="2:15">
      <c r="B118" s="283" t="s">
        <v>305</v>
      </c>
      <c r="C118" s="279">
        <v>44973</v>
      </c>
      <c r="D118" s="283">
        <v>359</v>
      </c>
      <c r="E118" s="283" t="s">
        <v>88</v>
      </c>
      <c r="F118" s="313" t="s">
        <v>202</v>
      </c>
      <c r="G118" s="313">
        <v>963908</v>
      </c>
      <c r="H118" s="374"/>
      <c r="I118" s="283">
        <v>59.244999999999997</v>
      </c>
      <c r="J118" s="347"/>
      <c r="K118" s="344"/>
      <c r="L118" s="89"/>
      <c r="M118" s="89"/>
      <c r="N118" s="89"/>
      <c r="O118" s="89"/>
    </row>
    <row r="119" spans="2:15">
      <c r="B119" s="283" t="s">
        <v>305</v>
      </c>
      <c r="C119" s="279">
        <v>44973</v>
      </c>
      <c r="D119" s="283">
        <v>359</v>
      </c>
      <c r="E119" s="283" t="s">
        <v>88</v>
      </c>
      <c r="F119" s="313" t="s">
        <v>203</v>
      </c>
      <c r="G119" s="313">
        <v>914124</v>
      </c>
      <c r="H119" s="374"/>
      <c r="I119" s="283"/>
      <c r="J119" s="347"/>
      <c r="K119" s="344"/>
      <c r="L119" s="89"/>
      <c r="M119" s="89"/>
      <c r="N119" s="89"/>
      <c r="O119" s="89"/>
    </row>
    <row r="120" spans="2:15">
      <c r="B120" s="283" t="s">
        <v>305</v>
      </c>
      <c r="C120" s="279">
        <v>44973</v>
      </c>
      <c r="D120" s="313">
        <v>359</v>
      </c>
      <c r="E120" s="313" t="s">
        <v>88</v>
      </c>
      <c r="F120" s="313" t="s">
        <v>205</v>
      </c>
      <c r="G120" s="313">
        <v>961059</v>
      </c>
      <c r="H120" s="374"/>
      <c r="I120" s="283">
        <v>214.215</v>
      </c>
      <c r="J120" s="347"/>
      <c r="K120" s="344"/>
      <c r="L120" s="89"/>
      <c r="M120" s="89"/>
      <c r="N120" s="89"/>
      <c r="O120" s="89"/>
    </row>
    <row r="121" spans="2:15">
      <c r="B121" s="283" t="s">
        <v>305</v>
      </c>
      <c r="C121" s="279">
        <v>44973</v>
      </c>
      <c r="D121" s="313">
        <v>359</v>
      </c>
      <c r="E121" s="313" t="s">
        <v>88</v>
      </c>
      <c r="F121" s="313" t="s">
        <v>206</v>
      </c>
      <c r="G121" s="313">
        <v>969314</v>
      </c>
      <c r="H121" s="374"/>
      <c r="I121" s="283">
        <v>112.485</v>
      </c>
      <c r="J121" s="347"/>
      <c r="K121" s="344"/>
      <c r="L121" s="89"/>
      <c r="M121" s="89"/>
      <c r="N121" s="89"/>
      <c r="O121" s="89"/>
    </row>
    <row r="122" spans="2:15">
      <c r="B122" s="283" t="s">
        <v>305</v>
      </c>
      <c r="C122" s="279">
        <v>44973</v>
      </c>
      <c r="D122" s="313">
        <v>359</v>
      </c>
      <c r="E122" s="313" t="s">
        <v>88</v>
      </c>
      <c r="F122" s="284" t="s">
        <v>201</v>
      </c>
      <c r="G122" s="284">
        <v>700857</v>
      </c>
      <c r="H122" s="374"/>
      <c r="I122" s="283">
        <v>122.065</v>
      </c>
      <c r="J122" s="347"/>
      <c r="K122" s="344"/>
      <c r="L122" s="89"/>
      <c r="M122" s="89"/>
      <c r="N122" s="89"/>
      <c r="O122" s="89"/>
    </row>
    <row r="123" spans="2:15">
      <c r="B123" s="283" t="s">
        <v>305</v>
      </c>
      <c r="C123" s="279">
        <v>44973</v>
      </c>
      <c r="D123" s="313">
        <v>359</v>
      </c>
      <c r="E123" s="313" t="s">
        <v>88</v>
      </c>
      <c r="F123" s="284" t="s">
        <v>176</v>
      </c>
      <c r="G123" s="284">
        <v>700665</v>
      </c>
      <c r="H123" s="374"/>
      <c r="I123" s="283">
        <v>79.53</v>
      </c>
      <c r="J123" s="347"/>
      <c r="K123" s="344"/>
      <c r="L123" s="89"/>
      <c r="M123" s="89"/>
      <c r="N123" s="89"/>
      <c r="O123" s="89"/>
    </row>
    <row r="124" spans="2:15">
      <c r="B124" s="283" t="s">
        <v>305</v>
      </c>
      <c r="C124" s="279">
        <v>44973</v>
      </c>
      <c r="D124" s="313">
        <v>359</v>
      </c>
      <c r="E124" s="313" t="s">
        <v>88</v>
      </c>
      <c r="F124" s="313" t="s">
        <v>326</v>
      </c>
      <c r="G124" s="313">
        <v>700773</v>
      </c>
      <c r="H124" s="374"/>
      <c r="I124" s="283">
        <v>124.21</v>
      </c>
      <c r="J124" s="347"/>
      <c r="K124" s="344"/>
      <c r="L124" s="89"/>
      <c r="M124" s="89"/>
      <c r="N124" s="89"/>
      <c r="O124" s="89"/>
    </row>
    <row r="125" spans="2:15">
      <c r="B125" s="283" t="s">
        <v>305</v>
      </c>
      <c r="C125" s="279">
        <v>44973</v>
      </c>
      <c r="D125" s="283">
        <v>359</v>
      </c>
      <c r="E125" s="283" t="s">
        <v>88</v>
      </c>
      <c r="F125" s="283" t="s">
        <v>190</v>
      </c>
      <c r="G125" s="283">
        <v>969720</v>
      </c>
      <c r="H125" s="374"/>
      <c r="I125" s="283">
        <v>93.88</v>
      </c>
      <c r="J125" s="347"/>
      <c r="K125" s="344"/>
      <c r="L125" s="89"/>
      <c r="M125" s="89"/>
      <c r="N125" s="89"/>
      <c r="O125" s="89"/>
    </row>
    <row r="126" spans="2:15">
      <c r="B126" s="283" t="s">
        <v>305</v>
      </c>
      <c r="C126" s="279">
        <v>44973</v>
      </c>
      <c r="D126" s="313">
        <v>359</v>
      </c>
      <c r="E126" s="283" t="s">
        <v>88</v>
      </c>
      <c r="F126" s="283" t="s">
        <v>188</v>
      </c>
      <c r="G126" s="283">
        <v>701585</v>
      </c>
      <c r="H126" s="374"/>
      <c r="I126" s="283">
        <v>295.87</v>
      </c>
      <c r="J126" s="347"/>
      <c r="K126" s="344"/>
      <c r="L126" s="89"/>
      <c r="M126" s="89"/>
      <c r="N126" s="89"/>
      <c r="O126" s="89"/>
    </row>
    <row r="127" spans="2:15">
      <c r="B127" s="283" t="s">
        <v>305</v>
      </c>
      <c r="C127" s="279">
        <v>44973</v>
      </c>
      <c r="D127" s="313">
        <v>359</v>
      </c>
      <c r="E127" s="283" t="s">
        <v>88</v>
      </c>
      <c r="F127" s="284" t="s">
        <v>345</v>
      </c>
      <c r="G127" s="284">
        <v>701275</v>
      </c>
      <c r="H127" s="374"/>
      <c r="I127" s="283"/>
      <c r="J127" s="347"/>
      <c r="K127" s="344"/>
      <c r="L127" s="89"/>
      <c r="M127" s="89"/>
      <c r="N127" s="89"/>
      <c r="O127" s="89"/>
    </row>
    <row r="128" spans="2:15">
      <c r="B128" s="283" t="s">
        <v>305</v>
      </c>
      <c r="C128" s="279">
        <v>44973</v>
      </c>
      <c r="D128" s="313">
        <v>359</v>
      </c>
      <c r="E128" s="283" t="s">
        <v>88</v>
      </c>
      <c r="F128" s="284" t="s">
        <v>346</v>
      </c>
      <c r="G128" s="284">
        <v>701006</v>
      </c>
      <c r="H128" s="374"/>
      <c r="I128" s="283">
        <v>106.71</v>
      </c>
      <c r="J128" s="347"/>
      <c r="K128" s="344"/>
      <c r="L128" s="89"/>
      <c r="M128" s="89"/>
      <c r="N128" s="89"/>
      <c r="O128" s="89"/>
    </row>
    <row r="129" spans="2:15">
      <c r="B129" s="283" t="s">
        <v>305</v>
      </c>
      <c r="C129" s="279">
        <v>44973</v>
      </c>
      <c r="D129" s="313">
        <v>359</v>
      </c>
      <c r="E129" s="283" t="s">
        <v>88</v>
      </c>
      <c r="F129" s="284" t="s">
        <v>347</v>
      </c>
      <c r="G129" s="284">
        <v>701521</v>
      </c>
      <c r="H129" s="374"/>
      <c r="I129" s="283">
        <v>198.61500000000001</v>
      </c>
      <c r="J129" s="347"/>
      <c r="K129" s="344"/>
      <c r="L129" s="89"/>
      <c r="M129" s="89"/>
      <c r="N129" s="89"/>
      <c r="O129" s="89"/>
    </row>
    <row r="130" spans="2:15">
      <c r="B130" s="313" t="s">
        <v>305</v>
      </c>
      <c r="C130" s="279">
        <v>44973</v>
      </c>
      <c r="D130" s="313">
        <v>359</v>
      </c>
      <c r="E130" s="313" t="s">
        <v>88</v>
      </c>
      <c r="F130" s="314" t="s">
        <v>208</v>
      </c>
      <c r="G130" s="314">
        <v>701550</v>
      </c>
      <c r="H130" s="372"/>
      <c r="I130" s="312">
        <v>69.290000000000006</v>
      </c>
      <c r="J130" s="347"/>
      <c r="K130" s="344"/>
      <c r="L130" s="89"/>
      <c r="M130" s="89"/>
      <c r="N130" s="89"/>
      <c r="O130" s="89"/>
    </row>
    <row r="131" spans="2:15">
      <c r="B131" s="283" t="s">
        <v>305</v>
      </c>
      <c r="C131" s="279">
        <v>44973</v>
      </c>
      <c r="D131" s="313">
        <v>359</v>
      </c>
      <c r="E131" s="283" t="s">
        <v>88</v>
      </c>
      <c r="F131" s="283" t="s">
        <v>210</v>
      </c>
      <c r="G131" s="283">
        <v>701311</v>
      </c>
      <c r="H131" s="374"/>
      <c r="I131" s="283">
        <v>66.495000000000005</v>
      </c>
      <c r="J131" s="348"/>
      <c r="K131" s="345"/>
      <c r="L131" s="89"/>
      <c r="M131" s="89"/>
      <c r="N131" s="89"/>
      <c r="O131" s="89"/>
    </row>
    <row r="132" spans="2:15">
      <c r="B132" s="291" t="s">
        <v>305</v>
      </c>
      <c r="C132" s="279">
        <v>44973</v>
      </c>
      <c r="D132" s="291">
        <v>361</v>
      </c>
      <c r="E132" s="291" t="s">
        <v>10</v>
      </c>
      <c r="F132" s="284" t="s">
        <v>247</v>
      </c>
      <c r="G132" s="284">
        <v>967226</v>
      </c>
      <c r="H132" s="370">
        <v>0</v>
      </c>
      <c r="I132" s="291"/>
      <c r="J132" s="370">
        <f>H132-(SUM(I132:I145))</f>
        <v>0</v>
      </c>
      <c r="K132" s="371" t="e">
        <f>(SUM(I132:I145))/H132</f>
        <v>#DIV/0!</v>
      </c>
      <c r="L132" s="89"/>
      <c r="M132" s="89"/>
      <c r="N132" s="89"/>
      <c r="O132" s="89"/>
    </row>
    <row r="133" spans="2:15">
      <c r="B133" s="291" t="s">
        <v>305</v>
      </c>
      <c r="C133" s="279">
        <v>44973</v>
      </c>
      <c r="D133" s="291">
        <v>361</v>
      </c>
      <c r="E133" s="291" t="s">
        <v>10</v>
      </c>
      <c r="F133" s="284" t="s">
        <v>328</v>
      </c>
      <c r="G133" s="284">
        <v>967476</v>
      </c>
      <c r="H133" s="347"/>
      <c r="I133" s="291"/>
      <c r="J133" s="347"/>
      <c r="K133" s="344"/>
      <c r="L133" s="89"/>
      <c r="M133" s="89"/>
      <c r="N133" s="89"/>
      <c r="O133" s="89"/>
    </row>
    <row r="134" spans="2:15">
      <c r="B134" s="291" t="s">
        <v>305</v>
      </c>
      <c r="C134" s="279">
        <v>44973</v>
      </c>
      <c r="D134" s="291">
        <v>361</v>
      </c>
      <c r="E134" s="291" t="s">
        <v>10</v>
      </c>
      <c r="F134" s="291" t="s">
        <v>249</v>
      </c>
      <c r="G134" s="291">
        <v>961805</v>
      </c>
      <c r="H134" s="347"/>
      <c r="I134" s="291"/>
      <c r="J134" s="347"/>
      <c r="K134" s="344"/>
      <c r="L134" s="89"/>
      <c r="M134" s="89"/>
      <c r="N134" s="89"/>
      <c r="O134" s="89"/>
    </row>
    <row r="135" spans="2:15">
      <c r="B135" s="291" t="s">
        <v>305</v>
      </c>
      <c r="C135" s="279">
        <v>44973</v>
      </c>
      <c r="D135" s="291">
        <v>361</v>
      </c>
      <c r="E135" s="291" t="s">
        <v>10</v>
      </c>
      <c r="F135" s="291" t="s">
        <v>251</v>
      </c>
      <c r="G135" s="291">
        <v>968122</v>
      </c>
      <c r="H135" s="347"/>
      <c r="I135" s="291"/>
      <c r="J135" s="347"/>
      <c r="K135" s="344"/>
      <c r="L135" s="89"/>
      <c r="M135" s="89"/>
      <c r="N135" s="89"/>
      <c r="O135" s="89"/>
    </row>
    <row r="136" spans="2:15">
      <c r="B136" s="291" t="s">
        <v>305</v>
      </c>
      <c r="C136" s="279">
        <v>44973</v>
      </c>
      <c r="D136" s="291">
        <v>361</v>
      </c>
      <c r="E136" s="291" t="s">
        <v>10</v>
      </c>
      <c r="F136" s="291" t="s">
        <v>252</v>
      </c>
      <c r="G136" s="291">
        <v>697302</v>
      </c>
      <c r="H136" s="347"/>
      <c r="I136" s="291"/>
      <c r="J136" s="347"/>
      <c r="K136" s="344"/>
      <c r="L136" s="89"/>
      <c r="M136" s="89"/>
      <c r="N136" s="89"/>
      <c r="O136" s="89"/>
    </row>
    <row r="137" spans="2:15">
      <c r="B137" s="291" t="s">
        <v>305</v>
      </c>
      <c r="C137" s="279">
        <v>44973</v>
      </c>
      <c r="D137" s="291">
        <v>361</v>
      </c>
      <c r="E137" s="291" t="s">
        <v>10</v>
      </c>
      <c r="F137" s="291" t="s">
        <v>253</v>
      </c>
      <c r="G137" s="291">
        <v>919376</v>
      </c>
      <c r="H137" s="347"/>
      <c r="I137" s="291"/>
      <c r="J137" s="347"/>
      <c r="K137" s="344"/>
      <c r="L137" s="89"/>
      <c r="M137" s="89"/>
      <c r="N137" s="89"/>
      <c r="O137" s="89"/>
    </row>
    <row r="138" spans="2:15">
      <c r="B138" s="291" t="s">
        <v>305</v>
      </c>
      <c r="C138" s="279">
        <v>44973</v>
      </c>
      <c r="D138" s="291">
        <v>361</v>
      </c>
      <c r="E138" s="291" t="s">
        <v>10</v>
      </c>
      <c r="F138" s="291" t="s">
        <v>254</v>
      </c>
      <c r="G138" s="291">
        <v>958248</v>
      </c>
      <c r="H138" s="347"/>
      <c r="I138" s="291"/>
      <c r="J138" s="347"/>
      <c r="K138" s="344"/>
      <c r="L138" s="89"/>
      <c r="M138" s="89"/>
      <c r="N138" s="89"/>
      <c r="O138" s="89"/>
    </row>
    <row r="139" spans="2:15">
      <c r="B139" s="291" t="s">
        <v>305</v>
      </c>
      <c r="C139" s="279">
        <v>44973</v>
      </c>
      <c r="D139" s="291">
        <v>361</v>
      </c>
      <c r="E139" s="291" t="s">
        <v>10</v>
      </c>
      <c r="F139" s="291" t="s">
        <v>255</v>
      </c>
      <c r="G139" s="291">
        <v>966135</v>
      </c>
      <c r="H139" s="347"/>
      <c r="I139" s="291"/>
      <c r="J139" s="347"/>
      <c r="K139" s="344"/>
      <c r="L139" s="89"/>
      <c r="M139" s="89"/>
      <c r="N139" s="89"/>
      <c r="O139" s="89"/>
    </row>
    <row r="140" spans="2:15">
      <c r="B140" s="291" t="s">
        <v>305</v>
      </c>
      <c r="C140" s="279">
        <v>44973</v>
      </c>
      <c r="D140" s="291">
        <v>361</v>
      </c>
      <c r="E140" s="291" t="s">
        <v>10</v>
      </c>
      <c r="F140" s="291" t="s">
        <v>257</v>
      </c>
      <c r="G140" s="291">
        <v>698468</v>
      </c>
      <c r="H140" s="347"/>
      <c r="I140" s="291"/>
      <c r="J140" s="347"/>
      <c r="K140" s="344"/>
      <c r="L140" s="89"/>
      <c r="M140" s="89"/>
      <c r="N140" s="89"/>
      <c r="O140" s="89"/>
    </row>
    <row r="141" spans="2:15">
      <c r="B141" s="291" t="s">
        <v>305</v>
      </c>
      <c r="C141" s="279">
        <v>44973</v>
      </c>
      <c r="D141" s="291">
        <v>361</v>
      </c>
      <c r="E141" s="291" t="s">
        <v>10</v>
      </c>
      <c r="F141" s="291" t="s">
        <v>258</v>
      </c>
      <c r="G141" s="291">
        <v>698513</v>
      </c>
      <c r="H141" s="347"/>
      <c r="I141" s="291"/>
      <c r="J141" s="347"/>
      <c r="K141" s="344"/>
      <c r="L141" s="89"/>
      <c r="M141" s="89"/>
      <c r="N141" s="89"/>
      <c r="O141" s="89"/>
    </row>
    <row r="142" spans="2:15">
      <c r="B142" s="291" t="s">
        <v>305</v>
      </c>
      <c r="C142" s="279">
        <v>44973</v>
      </c>
      <c r="D142" s="291">
        <v>361</v>
      </c>
      <c r="E142" s="291" t="s">
        <v>10</v>
      </c>
      <c r="F142" s="291" t="s">
        <v>259</v>
      </c>
      <c r="G142" s="291">
        <v>968960</v>
      </c>
      <c r="H142" s="347"/>
      <c r="I142" s="291"/>
      <c r="J142" s="347"/>
      <c r="K142" s="344"/>
      <c r="L142" s="89"/>
      <c r="M142" s="89"/>
      <c r="N142" s="89"/>
      <c r="O142" s="89"/>
    </row>
    <row r="143" spans="2:15">
      <c r="B143" s="291" t="s">
        <v>305</v>
      </c>
      <c r="C143" s="279">
        <v>44973</v>
      </c>
      <c r="D143" s="291">
        <v>361</v>
      </c>
      <c r="E143" s="291" t="s">
        <v>10</v>
      </c>
      <c r="F143" s="291" t="s">
        <v>260</v>
      </c>
      <c r="G143" s="291">
        <v>968156</v>
      </c>
      <c r="H143" s="347"/>
      <c r="I143" s="291"/>
      <c r="J143" s="347"/>
      <c r="K143" s="344"/>
      <c r="L143" s="89"/>
      <c r="M143" s="89"/>
      <c r="N143" s="89"/>
      <c r="O143" s="89"/>
    </row>
    <row r="144" spans="2:15">
      <c r="B144" s="291" t="s">
        <v>305</v>
      </c>
      <c r="C144" s="279">
        <v>44973</v>
      </c>
      <c r="D144" s="291">
        <v>361</v>
      </c>
      <c r="E144" s="291" t="s">
        <v>10</v>
      </c>
      <c r="F144" s="291" t="s">
        <v>329</v>
      </c>
      <c r="G144" s="291">
        <v>700719</v>
      </c>
      <c r="H144" s="347"/>
      <c r="I144" s="291"/>
      <c r="J144" s="347"/>
      <c r="K144" s="344"/>
      <c r="L144" s="89"/>
      <c r="M144" s="89"/>
      <c r="N144" s="89"/>
      <c r="O144" s="89"/>
    </row>
    <row r="145" spans="2:15">
      <c r="B145" s="291" t="s">
        <v>305</v>
      </c>
      <c r="C145" s="279">
        <v>44973</v>
      </c>
      <c r="D145" s="291">
        <v>361</v>
      </c>
      <c r="E145" s="291" t="s">
        <v>10</v>
      </c>
      <c r="F145" s="291" t="s">
        <v>330</v>
      </c>
      <c r="G145" s="291">
        <v>700795</v>
      </c>
      <c r="H145" s="348"/>
      <c r="I145" s="291"/>
      <c r="J145" s="348"/>
      <c r="K145" s="345"/>
      <c r="L145" s="89"/>
      <c r="M145" s="89"/>
      <c r="N145" s="89"/>
      <c r="O145" s="89"/>
    </row>
    <row r="146" spans="2:15">
      <c r="B146" s="291" t="s">
        <v>305</v>
      </c>
      <c r="C146" s="279">
        <v>45082</v>
      </c>
      <c r="D146" s="291">
        <v>1294</v>
      </c>
      <c r="E146" s="291" t="s">
        <v>331</v>
      </c>
      <c r="F146" s="291" t="s">
        <v>332</v>
      </c>
      <c r="G146" s="291">
        <v>700966</v>
      </c>
      <c r="H146" s="291">
        <v>2000</v>
      </c>
      <c r="I146" s="291">
        <v>191.387</v>
      </c>
      <c r="J146" s="291">
        <f>H146-I146</f>
        <v>1808.6130000000001</v>
      </c>
      <c r="K146" s="292">
        <f>I146/H146</f>
        <v>9.5693500000000001E-2</v>
      </c>
      <c r="L146" s="89"/>
      <c r="M146" s="89"/>
      <c r="N146" s="89"/>
      <c r="O146" s="89"/>
    </row>
    <row r="147" spans="2:15">
      <c r="B147" s="296" t="s">
        <v>305</v>
      </c>
      <c r="C147" s="297">
        <v>45113</v>
      </c>
      <c r="D147" s="296">
        <v>1505</v>
      </c>
      <c r="E147" s="296" t="s">
        <v>12</v>
      </c>
      <c r="F147" s="296" t="s">
        <v>295</v>
      </c>
      <c r="G147" s="296">
        <v>698764</v>
      </c>
      <c r="H147" s="372">
        <v>2500</v>
      </c>
      <c r="I147" s="296">
        <v>8.3789999999999996</v>
      </c>
      <c r="J147" s="372">
        <f>H147-(SUM(I147:I156))</f>
        <v>2220.2870000000003</v>
      </c>
      <c r="K147" s="373">
        <f>(SUM(I147:I156))/H147</f>
        <v>0.11188519999999999</v>
      </c>
      <c r="L147" s="89"/>
      <c r="M147" s="89"/>
      <c r="N147" s="89"/>
      <c r="O147" s="89"/>
    </row>
    <row r="148" spans="2:15">
      <c r="B148" s="296" t="s">
        <v>305</v>
      </c>
      <c r="C148" s="297">
        <v>45113</v>
      </c>
      <c r="D148" s="296">
        <v>1505</v>
      </c>
      <c r="E148" s="296" t="s">
        <v>12</v>
      </c>
      <c r="F148" s="296" t="s">
        <v>296</v>
      </c>
      <c r="G148" s="296">
        <v>965267</v>
      </c>
      <c r="H148" s="372"/>
      <c r="I148" s="296">
        <v>99.573999999999998</v>
      </c>
      <c r="J148" s="372"/>
      <c r="K148" s="373"/>
      <c r="L148" s="89"/>
      <c r="M148" s="89"/>
      <c r="N148" s="89"/>
      <c r="O148" s="89"/>
    </row>
    <row r="149" spans="2:15">
      <c r="B149" s="296" t="s">
        <v>305</v>
      </c>
      <c r="C149" s="297">
        <v>45113</v>
      </c>
      <c r="D149" s="296">
        <v>1505</v>
      </c>
      <c r="E149" s="296" t="s">
        <v>12</v>
      </c>
      <c r="F149" s="296" t="s">
        <v>304</v>
      </c>
      <c r="G149" s="296">
        <v>969467</v>
      </c>
      <c r="H149" s="372"/>
      <c r="I149" s="296">
        <v>20.965</v>
      </c>
      <c r="J149" s="372"/>
      <c r="K149" s="373"/>
      <c r="L149" s="89"/>
      <c r="M149" s="89"/>
      <c r="N149" s="89"/>
      <c r="O149" s="89"/>
    </row>
    <row r="150" spans="2:15">
      <c r="B150" s="296" t="s">
        <v>305</v>
      </c>
      <c r="C150" s="297">
        <v>45113</v>
      </c>
      <c r="D150" s="296">
        <v>1505</v>
      </c>
      <c r="E150" s="296" t="s">
        <v>12</v>
      </c>
      <c r="F150" s="296" t="s">
        <v>297</v>
      </c>
      <c r="G150" s="296">
        <v>969425</v>
      </c>
      <c r="H150" s="372"/>
      <c r="I150" s="296">
        <v>43.307000000000002</v>
      </c>
      <c r="J150" s="372"/>
      <c r="K150" s="373"/>
      <c r="L150" s="89"/>
      <c r="M150" s="89"/>
      <c r="N150" s="89"/>
      <c r="O150" s="89"/>
    </row>
    <row r="151" spans="2:15">
      <c r="B151" s="296" t="s">
        <v>305</v>
      </c>
      <c r="C151" s="297">
        <v>45113</v>
      </c>
      <c r="D151" s="296">
        <v>1505</v>
      </c>
      <c r="E151" s="296" t="s">
        <v>12</v>
      </c>
      <c r="F151" s="296" t="s">
        <v>298</v>
      </c>
      <c r="G151" s="296">
        <v>968930</v>
      </c>
      <c r="H151" s="372"/>
      <c r="I151" s="296">
        <v>46.491</v>
      </c>
      <c r="J151" s="372"/>
      <c r="K151" s="373"/>
      <c r="L151" s="89"/>
      <c r="M151" s="89"/>
      <c r="N151" s="89"/>
      <c r="O151" s="89"/>
    </row>
    <row r="152" spans="2:15">
      <c r="B152" s="296" t="s">
        <v>305</v>
      </c>
      <c r="C152" s="297">
        <v>45113</v>
      </c>
      <c r="D152" s="296">
        <v>1505</v>
      </c>
      <c r="E152" s="296" t="s">
        <v>12</v>
      </c>
      <c r="F152" s="296" t="s">
        <v>312</v>
      </c>
      <c r="G152" s="296">
        <v>700755</v>
      </c>
      <c r="H152" s="372"/>
      <c r="I152" s="296"/>
      <c r="J152" s="372"/>
      <c r="K152" s="373"/>
      <c r="L152" s="89"/>
      <c r="M152" s="89"/>
      <c r="N152" s="89"/>
      <c r="O152" s="89"/>
    </row>
    <row r="153" spans="2:15">
      <c r="B153" s="296" t="s">
        <v>305</v>
      </c>
      <c r="C153" s="297">
        <v>45113</v>
      </c>
      <c r="D153" s="296">
        <v>1505</v>
      </c>
      <c r="E153" s="296" t="s">
        <v>12</v>
      </c>
      <c r="F153" s="296" t="s">
        <v>299</v>
      </c>
      <c r="G153" s="296">
        <v>968704</v>
      </c>
      <c r="H153" s="372"/>
      <c r="I153" s="296">
        <v>22.58</v>
      </c>
      <c r="J153" s="372"/>
      <c r="K153" s="373"/>
      <c r="L153" s="89"/>
      <c r="M153" s="89"/>
      <c r="N153" s="89"/>
      <c r="O153" s="89"/>
    </row>
    <row r="154" spans="2:15">
      <c r="B154" s="296" t="s">
        <v>305</v>
      </c>
      <c r="C154" s="297">
        <v>45113</v>
      </c>
      <c r="D154" s="296">
        <v>1505</v>
      </c>
      <c r="E154" s="296" t="s">
        <v>12</v>
      </c>
      <c r="F154" s="296" t="s">
        <v>334</v>
      </c>
      <c r="G154" s="296">
        <v>700784</v>
      </c>
      <c r="H154" s="372"/>
      <c r="I154" s="296"/>
      <c r="J154" s="372"/>
      <c r="K154" s="373"/>
      <c r="L154" s="89"/>
      <c r="M154" s="89"/>
      <c r="N154" s="89"/>
      <c r="O154" s="89"/>
    </row>
    <row r="155" spans="2:15">
      <c r="B155" s="296" t="s">
        <v>305</v>
      </c>
      <c r="C155" s="297">
        <v>45113</v>
      </c>
      <c r="D155" s="296">
        <v>1505</v>
      </c>
      <c r="E155" s="296" t="s">
        <v>12</v>
      </c>
      <c r="F155" s="296" t="s">
        <v>300</v>
      </c>
      <c r="G155" s="296">
        <v>699979</v>
      </c>
      <c r="H155" s="372"/>
      <c r="I155" s="296">
        <v>38.417000000000002</v>
      </c>
      <c r="J155" s="372"/>
      <c r="K155" s="373"/>
      <c r="L155" s="89"/>
      <c r="M155" s="89"/>
      <c r="N155" s="89"/>
      <c r="O155" s="89"/>
    </row>
    <row r="156" spans="2:15">
      <c r="B156" s="296" t="s">
        <v>305</v>
      </c>
      <c r="C156" s="297">
        <v>45113</v>
      </c>
      <c r="D156" s="296">
        <v>1505</v>
      </c>
      <c r="E156" s="296" t="s">
        <v>12</v>
      </c>
      <c r="F156" s="296" t="s">
        <v>335</v>
      </c>
      <c r="G156" s="296">
        <v>700979</v>
      </c>
      <c r="H156" s="372"/>
      <c r="I156" s="296"/>
      <c r="J156" s="372"/>
      <c r="K156" s="373"/>
      <c r="L156" s="89"/>
      <c r="M156" s="89"/>
      <c r="N156" s="89"/>
      <c r="O156" s="89"/>
    </row>
    <row r="157" spans="2:15">
      <c r="B157" s="296" t="s">
        <v>305</v>
      </c>
      <c r="C157" s="297">
        <v>45113</v>
      </c>
      <c r="D157" s="296">
        <v>1505</v>
      </c>
      <c r="E157" s="296" t="s">
        <v>12</v>
      </c>
      <c r="F157" s="296" t="s">
        <v>336</v>
      </c>
      <c r="G157" s="298">
        <v>969387</v>
      </c>
      <c r="H157" s="298">
        <v>220</v>
      </c>
      <c r="I157" s="298">
        <v>102.997</v>
      </c>
      <c r="J157" s="298">
        <f>H157-I157</f>
        <v>117.003</v>
      </c>
      <c r="K157" s="299">
        <f>I157/H157</f>
        <v>0.46816818181818182</v>
      </c>
      <c r="L157" s="89"/>
      <c r="M157" s="89"/>
      <c r="N157" s="89"/>
      <c r="O157" s="89"/>
    </row>
    <row r="158" spans="2:15">
      <c r="B158" s="298" t="s">
        <v>305</v>
      </c>
      <c r="C158" s="297">
        <v>45131</v>
      </c>
      <c r="D158" s="298">
        <v>1591</v>
      </c>
      <c r="E158" s="298" t="s">
        <v>11</v>
      </c>
      <c r="F158" s="298" t="s">
        <v>263</v>
      </c>
      <c r="G158" s="298">
        <v>969394</v>
      </c>
      <c r="H158" s="300"/>
      <c r="I158" s="301"/>
      <c r="J158" s="300"/>
      <c r="K158" s="302"/>
      <c r="L158" s="372">
        <v>890</v>
      </c>
      <c r="M158" s="298">
        <v>301.89</v>
      </c>
      <c r="N158" s="372">
        <f>L158-(M158+M159+M160+M161+M162)</f>
        <v>244.70000000000005</v>
      </c>
      <c r="O158" s="373">
        <f>(M158+M159+M160+M161+M162)/L158</f>
        <v>0.72505617977528081</v>
      </c>
    </row>
    <row r="159" spans="2:15">
      <c r="B159" s="298" t="s">
        <v>305</v>
      </c>
      <c r="C159" s="297">
        <v>45131</v>
      </c>
      <c r="D159" s="298">
        <v>1591</v>
      </c>
      <c r="E159" s="298" t="s">
        <v>11</v>
      </c>
      <c r="F159" s="298" t="s">
        <v>272</v>
      </c>
      <c r="G159" s="298">
        <v>968796</v>
      </c>
      <c r="H159" s="300"/>
      <c r="I159" s="301"/>
      <c r="J159" s="300"/>
      <c r="K159" s="302"/>
      <c r="L159" s="372"/>
      <c r="M159" s="298">
        <v>208.79499999999999</v>
      </c>
      <c r="N159" s="372"/>
      <c r="O159" s="373"/>
    </row>
    <row r="160" spans="2:15">
      <c r="B160" s="311" t="s">
        <v>305</v>
      </c>
      <c r="C160" s="297">
        <v>45131</v>
      </c>
      <c r="D160" s="311">
        <v>1591</v>
      </c>
      <c r="E160" s="311" t="s">
        <v>11</v>
      </c>
      <c r="F160" s="311" t="s">
        <v>314</v>
      </c>
      <c r="G160" s="311">
        <v>697270</v>
      </c>
      <c r="H160" s="300"/>
      <c r="I160" s="301"/>
      <c r="J160" s="300"/>
      <c r="K160" s="302"/>
      <c r="L160" s="372"/>
      <c r="M160" s="311">
        <v>111.065</v>
      </c>
      <c r="N160" s="372"/>
      <c r="O160" s="373"/>
    </row>
    <row r="161" spans="2:15">
      <c r="B161" s="311" t="s">
        <v>305</v>
      </c>
      <c r="C161" s="297">
        <v>45131</v>
      </c>
      <c r="D161" s="311">
        <v>1591</v>
      </c>
      <c r="E161" s="311" t="s">
        <v>11</v>
      </c>
      <c r="F161" s="311" t="s">
        <v>343</v>
      </c>
      <c r="G161" s="311">
        <v>701560</v>
      </c>
      <c r="H161" s="300"/>
      <c r="I161" s="301"/>
      <c r="J161" s="300"/>
      <c r="K161" s="302"/>
      <c r="L161" s="372"/>
      <c r="M161" s="311"/>
      <c r="N161" s="372"/>
      <c r="O161" s="373"/>
    </row>
    <row r="162" spans="2:15">
      <c r="B162" s="298" t="s">
        <v>305</v>
      </c>
      <c r="C162" s="297">
        <v>45131</v>
      </c>
      <c r="D162" s="298">
        <v>1591</v>
      </c>
      <c r="E162" s="298" t="s">
        <v>11</v>
      </c>
      <c r="F162" s="298" t="s">
        <v>344</v>
      </c>
      <c r="G162" s="298">
        <v>701277</v>
      </c>
      <c r="H162" s="300"/>
      <c r="I162" s="301"/>
      <c r="J162" s="300"/>
      <c r="K162" s="302"/>
      <c r="L162" s="372"/>
      <c r="M162" s="298">
        <v>23.55</v>
      </c>
      <c r="N162" s="372"/>
      <c r="O162" s="373"/>
    </row>
    <row r="163" spans="2:15">
      <c r="B163" s="298" t="s">
        <v>305</v>
      </c>
      <c r="C163" s="297">
        <v>45131</v>
      </c>
      <c r="D163" s="298">
        <v>1592</v>
      </c>
      <c r="E163" s="298" t="s">
        <v>12</v>
      </c>
      <c r="F163" s="298" t="s">
        <v>295</v>
      </c>
      <c r="G163" s="298">
        <v>698764</v>
      </c>
      <c r="H163" s="372">
        <v>700</v>
      </c>
      <c r="I163" s="298"/>
      <c r="J163" s="372">
        <f>H163-(SUM(I163:I172))</f>
        <v>700</v>
      </c>
      <c r="K163" s="373">
        <f>(SUM(I163:I172))/H163</f>
        <v>0</v>
      </c>
      <c r="L163" s="89"/>
      <c r="M163" s="89"/>
      <c r="N163" s="89"/>
      <c r="O163" s="89"/>
    </row>
    <row r="164" spans="2:15">
      <c r="B164" s="298" t="s">
        <v>305</v>
      </c>
      <c r="C164" s="297">
        <v>45131</v>
      </c>
      <c r="D164" s="298">
        <v>1592</v>
      </c>
      <c r="E164" s="298" t="s">
        <v>12</v>
      </c>
      <c r="F164" s="298" t="s">
        <v>296</v>
      </c>
      <c r="G164" s="298">
        <v>965267</v>
      </c>
      <c r="H164" s="372"/>
      <c r="I164" s="298"/>
      <c r="J164" s="372"/>
      <c r="K164" s="373"/>
      <c r="L164" s="89"/>
      <c r="M164" s="89"/>
      <c r="N164" s="89"/>
      <c r="O164" s="89"/>
    </row>
    <row r="165" spans="2:15">
      <c r="B165" s="298" t="s">
        <v>305</v>
      </c>
      <c r="C165" s="297">
        <v>45131</v>
      </c>
      <c r="D165" s="298">
        <v>1592</v>
      </c>
      <c r="E165" s="298" t="s">
        <v>12</v>
      </c>
      <c r="F165" s="298" t="s">
        <v>304</v>
      </c>
      <c r="G165" s="298">
        <v>969467</v>
      </c>
      <c r="H165" s="372"/>
      <c r="I165" s="298"/>
      <c r="J165" s="372"/>
      <c r="K165" s="373"/>
      <c r="L165" s="89"/>
      <c r="M165" s="89"/>
      <c r="N165" s="89"/>
      <c r="O165" s="89"/>
    </row>
    <row r="166" spans="2:15">
      <c r="B166" s="298" t="s">
        <v>305</v>
      </c>
      <c r="C166" s="297">
        <v>45131</v>
      </c>
      <c r="D166" s="298">
        <v>1592</v>
      </c>
      <c r="E166" s="298" t="s">
        <v>12</v>
      </c>
      <c r="F166" s="298" t="s">
        <v>297</v>
      </c>
      <c r="G166" s="298">
        <v>969425</v>
      </c>
      <c r="H166" s="372"/>
      <c r="I166" s="298"/>
      <c r="J166" s="372"/>
      <c r="K166" s="373"/>
      <c r="L166" s="89"/>
      <c r="M166" s="89"/>
      <c r="N166" s="89"/>
      <c r="O166" s="89"/>
    </row>
    <row r="167" spans="2:15">
      <c r="B167" s="298" t="s">
        <v>305</v>
      </c>
      <c r="C167" s="297">
        <v>45131</v>
      </c>
      <c r="D167" s="298">
        <v>1592</v>
      </c>
      <c r="E167" s="298" t="s">
        <v>12</v>
      </c>
      <c r="F167" s="298" t="s">
        <v>298</v>
      </c>
      <c r="G167" s="298">
        <v>968930</v>
      </c>
      <c r="H167" s="372"/>
      <c r="I167" s="298"/>
      <c r="J167" s="372"/>
      <c r="K167" s="373"/>
      <c r="L167" s="89"/>
      <c r="M167" s="89"/>
      <c r="N167" s="89"/>
      <c r="O167" s="89"/>
    </row>
    <row r="168" spans="2:15">
      <c r="B168" s="298" t="s">
        <v>305</v>
      </c>
      <c r="C168" s="297">
        <v>45131</v>
      </c>
      <c r="D168" s="298">
        <v>1592</v>
      </c>
      <c r="E168" s="298" t="s">
        <v>12</v>
      </c>
      <c r="F168" s="298" t="s">
        <v>312</v>
      </c>
      <c r="G168" s="298">
        <v>700755</v>
      </c>
      <c r="H168" s="372"/>
      <c r="I168" s="298"/>
      <c r="J168" s="372"/>
      <c r="K168" s="373"/>
      <c r="L168" s="89"/>
      <c r="M168" s="89"/>
      <c r="N168" s="89"/>
      <c r="O168" s="89"/>
    </row>
    <row r="169" spans="2:15">
      <c r="B169" s="298" t="s">
        <v>305</v>
      </c>
      <c r="C169" s="297">
        <v>45131</v>
      </c>
      <c r="D169" s="298">
        <v>1592</v>
      </c>
      <c r="E169" s="298" t="s">
        <v>12</v>
      </c>
      <c r="F169" s="298" t="s">
        <v>299</v>
      </c>
      <c r="G169" s="298">
        <v>968704</v>
      </c>
      <c r="H169" s="372"/>
      <c r="I169" s="298"/>
      <c r="J169" s="372"/>
      <c r="K169" s="373"/>
      <c r="L169" s="89"/>
      <c r="M169" s="89"/>
      <c r="N169" s="89"/>
      <c r="O169" s="89"/>
    </row>
    <row r="170" spans="2:15">
      <c r="B170" s="298" t="s">
        <v>305</v>
      </c>
      <c r="C170" s="297">
        <v>45131</v>
      </c>
      <c r="D170" s="298">
        <v>1592</v>
      </c>
      <c r="E170" s="298" t="s">
        <v>12</v>
      </c>
      <c r="F170" s="298" t="s">
        <v>334</v>
      </c>
      <c r="G170" s="298">
        <v>700784</v>
      </c>
      <c r="H170" s="372"/>
      <c r="I170" s="298"/>
      <c r="J170" s="372"/>
      <c r="K170" s="373"/>
      <c r="L170" s="89"/>
      <c r="M170" s="89"/>
      <c r="N170" s="89"/>
      <c r="O170" s="89"/>
    </row>
    <row r="171" spans="2:15">
      <c r="B171" s="298" t="s">
        <v>305</v>
      </c>
      <c r="C171" s="297">
        <v>45131</v>
      </c>
      <c r="D171" s="298">
        <v>1592</v>
      </c>
      <c r="E171" s="298" t="s">
        <v>12</v>
      </c>
      <c r="F171" s="298" t="s">
        <v>300</v>
      </c>
      <c r="G171" s="298">
        <v>699979</v>
      </c>
      <c r="H171" s="372"/>
      <c r="I171" s="298"/>
      <c r="J171" s="372"/>
      <c r="K171" s="373"/>
      <c r="L171" s="89"/>
      <c r="M171" s="89"/>
      <c r="N171" s="89"/>
      <c r="O171" s="89"/>
    </row>
    <row r="172" spans="2:15">
      <c r="B172" s="298" t="s">
        <v>305</v>
      </c>
      <c r="C172" s="297">
        <v>45131</v>
      </c>
      <c r="D172" s="298">
        <v>1592</v>
      </c>
      <c r="E172" s="298" t="s">
        <v>12</v>
      </c>
      <c r="F172" s="298" t="s">
        <v>335</v>
      </c>
      <c r="G172" s="298">
        <v>700979</v>
      </c>
      <c r="H172" s="372"/>
      <c r="I172" s="298"/>
      <c r="J172" s="372"/>
      <c r="K172" s="373"/>
      <c r="L172" s="89"/>
      <c r="M172" s="89"/>
      <c r="N172" s="89"/>
      <c r="O172" s="89"/>
    </row>
    <row r="173" spans="2:15">
      <c r="B173" s="298" t="s">
        <v>305</v>
      </c>
      <c r="C173" s="297">
        <v>45131</v>
      </c>
      <c r="D173" s="298">
        <v>1595</v>
      </c>
      <c r="E173" s="298" t="s">
        <v>12</v>
      </c>
      <c r="F173" s="298" t="s">
        <v>319</v>
      </c>
      <c r="G173" s="298">
        <v>697578</v>
      </c>
      <c r="H173" s="372">
        <v>2550</v>
      </c>
      <c r="I173" s="298"/>
      <c r="J173" s="372">
        <f>H173-(SUM(I173:I192))</f>
        <v>2550</v>
      </c>
      <c r="K173" s="373">
        <f>(SUM(I173:I192))/H173</f>
        <v>0</v>
      </c>
      <c r="L173" s="89"/>
      <c r="M173" s="89"/>
      <c r="N173" s="89"/>
      <c r="O173" s="89"/>
    </row>
    <row r="174" spans="2:15">
      <c r="B174" s="298" t="s">
        <v>305</v>
      </c>
      <c r="C174" s="297">
        <v>45131</v>
      </c>
      <c r="D174" s="298">
        <v>1595</v>
      </c>
      <c r="E174" s="298" t="s">
        <v>12</v>
      </c>
      <c r="F174" s="298" t="s">
        <v>279</v>
      </c>
      <c r="G174" s="298">
        <v>901588</v>
      </c>
      <c r="H174" s="372"/>
      <c r="I174" s="298"/>
      <c r="J174" s="372"/>
      <c r="K174" s="373"/>
      <c r="L174" s="89"/>
      <c r="M174" s="89"/>
      <c r="N174" s="89"/>
      <c r="O174" s="89"/>
    </row>
    <row r="175" spans="2:15">
      <c r="B175" s="298" t="s">
        <v>305</v>
      </c>
      <c r="C175" s="297">
        <v>45131</v>
      </c>
      <c r="D175" s="298">
        <v>1595</v>
      </c>
      <c r="E175" s="298" t="s">
        <v>12</v>
      </c>
      <c r="F175" s="298" t="s">
        <v>320</v>
      </c>
      <c r="G175" s="298">
        <v>966826</v>
      </c>
      <c r="H175" s="372"/>
      <c r="I175" s="298"/>
      <c r="J175" s="372"/>
      <c r="K175" s="373"/>
      <c r="L175" s="89"/>
      <c r="M175" s="89"/>
      <c r="N175" s="89"/>
      <c r="O175" s="89"/>
    </row>
    <row r="176" spans="2:15">
      <c r="B176" s="298" t="s">
        <v>305</v>
      </c>
      <c r="C176" s="297">
        <v>45131</v>
      </c>
      <c r="D176" s="298">
        <v>1595</v>
      </c>
      <c r="E176" s="298" t="s">
        <v>12</v>
      </c>
      <c r="F176" s="298" t="s">
        <v>321</v>
      </c>
      <c r="G176" s="298">
        <v>969501</v>
      </c>
      <c r="H176" s="372"/>
      <c r="I176" s="298"/>
      <c r="J176" s="372"/>
      <c r="K176" s="373"/>
      <c r="L176" s="89"/>
      <c r="M176" s="89"/>
      <c r="N176" s="89"/>
      <c r="O176" s="89"/>
    </row>
    <row r="177" spans="2:15">
      <c r="B177" s="298" t="s">
        <v>305</v>
      </c>
      <c r="C177" s="297">
        <v>45131</v>
      </c>
      <c r="D177" s="298">
        <v>1595</v>
      </c>
      <c r="E177" s="298" t="s">
        <v>12</v>
      </c>
      <c r="F177" s="298" t="s">
        <v>281</v>
      </c>
      <c r="G177" s="298">
        <v>966397</v>
      </c>
      <c r="H177" s="372"/>
      <c r="I177" s="298"/>
      <c r="J177" s="372"/>
      <c r="K177" s="373"/>
      <c r="L177" s="89"/>
      <c r="M177" s="89"/>
      <c r="N177" s="89"/>
      <c r="O177" s="89"/>
    </row>
    <row r="178" spans="2:15">
      <c r="B178" s="298" t="s">
        <v>305</v>
      </c>
      <c r="C178" s="297">
        <v>45131</v>
      </c>
      <c r="D178" s="298">
        <v>1595</v>
      </c>
      <c r="E178" s="298" t="s">
        <v>12</v>
      </c>
      <c r="F178" s="298" t="s">
        <v>282</v>
      </c>
      <c r="G178" s="298">
        <v>964933</v>
      </c>
      <c r="H178" s="372"/>
      <c r="I178" s="298"/>
      <c r="J178" s="372"/>
      <c r="K178" s="373"/>
      <c r="L178" s="89"/>
      <c r="M178" s="89"/>
      <c r="N178" s="89"/>
      <c r="O178" s="89"/>
    </row>
    <row r="179" spans="2:15">
      <c r="B179" s="298" t="s">
        <v>305</v>
      </c>
      <c r="C179" s="297">
        <v>45131</v>
      </c>
      <c r="D179" s="298">
        <v>1595</v>
      </c>
      <c r="E179" s="298" t="s">
        <v>12</v>
      </c>
      <c r="F179" s="298" t="s">
        <v>283</v>
      </c>
      <c r="G179" s="298">
        <v>956427</v>
      </c>
      <c r="H179" s="372"/>
      <c r="I179" s="298"/>
      <c r="J179" s="372"/>
      <c r="K179" s="373"/>
      <c r="L179" s="89"/>
      <c r="M179" s="89"/>
      <c r="N179" s="89"/>
      <c r="O179" s="89"/>
    </row>
    <row r="180" spans="2:15">
      <c r="B180" s="298" t="s">
        <v>305</v>
      </c>
      <c r="C180" s="297">
        <v>45131</v>
      </c>
      <c r="D180" s="298">
        <v>1595</v>
      </c>
      <c r="E180" s="298" t="s">
        <v>12</v>
      </c>
      <c r="F180" s="298" t="s">
        <v>294</v>
      </c>
      <c r="G180" s="298">
        <v>950875</v>
      </c>
      <c r="H180" s="372"/>
      <c r="I180" s="298"/>
      <c r="J180" s="372"/>
      <c r="K180" s="373"/>
      <c r="L180" s="89"/>
      <c r="M180" s="89"/>
      <c r="N180" s="89"/>
      <c r="O180" s="89"/>
    </row>
    <row r="181" spans="2:15">
      <c r="B181" s="298" t="s">
        <v>305</v>
      </c>
      <c r="C181" s="297">
        <v>45131</v>
      </c>
      <c r="D181" s="298">
        <v>1595</v>
      </c>
      <c r="E181" s="298" t="s">
        <v>12</v>
      </c>
      <c r="F181" s="298" t="s">
        <v>284</v>
      </c>
      <c r="G181" s="298">
        <v>960563</v>
      </c>
      <c r="H181" s="372"/>
      <c r="I181" s="298"/>
      <c r="J181" s="372"/>
      <c r="K181" s="373"/>
      <c r="L181" s="89"/>
      <c r="M181" s="89"/>
      <c r="N181" s="89"/>
      <c r="O181" s="89"/>
    </row>
    <row r="182" spans="2:15">
      <c r="B182" s="298" t="s">
        <v>305</v>
      </c>
      <c r="C182" s="297">
        <v>45131</v>
      </c>
      <c r="D182" s="298">
        <v>1595</v>
      </c>
      <c r="E182" s="298" t="s">
        <v>12</v>
      </c>
      <c r="F182" s="298" t="s">
        <v>286</v>
      </c>
      <c r="G182" s="298">
        <v>968871</v>
      </c>
      <c r="H182" s="372"/>
      <c r="I182" s="298"/>
      <c r="J182" s="372"/>
      <c r="K182" s="373"/>
      <c r="L182" s="89"/>
      <c r="M182" s="89"/>
      <c r="N182" s="89"/>
      <c r="O182" s="89"/>
    </row>
    <row r="183" spans="2:15">
      <c r="B183" s="298" t="s">
        <v>305</v>
      </c>
      <c r="C183" s="297">
        <v>45131</v>
      </c>
      <c r="D183" s="298">
        <v>1595</v>
      </c>
      <c r="E183" s="298" t="s">
        <v>12</v>
      </c>
      <c r="F183" s="298" t="s">
        <v>322</v>
      </c>
      <c r="G183" s="298">
        <v>964673</v>
      </c>
      <c r="H183" s="372"/>
      <c r="I183" s="298"/>
      <c r="J183" s="372"/>
      <c r="K183" s="373"/>
      <c r="L183" s="89"/>
      <c r="M183" s="89"/>
      <c r="N183" s="89"/>
      <c r="O183" s="89"/>
    </row>
    <row r="184" spans="2:15">
      <c r="B184" s="298" t="s">
        <v>305</v>
      </c>
      <c r="C184" s="297">
        <v>45131</v>
      </c>
      <c r="D184" s="298">
        <v>1595</v>
      </c>
      <c r="E184" s="298" t="s">
        <v>12</v>
      </c>
      <c r="F184" s="298" t="s">
        <v>287</v>
      </c>
      <c r="G184" s="298">
        <v>923266</v>
      </c>
      <c r="H184" s="372"/>
      <c r="I184" s="298"/>
      <c r="J184" s="372"/>
      <c r="K184" s="373"/>
      <c r="L184" s="89"/>
      <c r="M184" s="89"/>
      <c r="N184" s="89"/>
      <c r="O184" s="89"/>
    </row>
    <row r="185" spans="2:15">
      <c r="B185" s="298" t="s">
        <v>305</v>
      </c>
      <c r="C185" s="297">
        <v>45131</v>
      </c>
      <c r="D185" s="298">
        <v>1595</v>
      </c>
      <c r="E185" s="298" t="s">
        <v>12</v>
      </c>
      <c r="F185" s="298" t="s">
        <v>288</v>
      </c>
      <c r="G185" s="298">
        <v>966707</v>
      </c>
      <c r="H185" s="372"/>
      <c r="I185" s="298"/>
      <c r="J185" s="372"/>
      <c r="K185" s="373"/>
      <c r="L185" s="89"/>
      <c r="M185" s="89"/>
      <c r="N185" s="89"/>
      <c r="O185" s="89"/>
    </row>
    <row r="186" spans="2:15">
      <c r="B186" s="298" t="s">
        <v>305</v>
      </c>
      <c r="C186" s="297">
        <v>45131</v>
      </c>
      <c r="D186" s="298">
        <v>1595</v>
      </c>
      <c r="E186" s="298" t="s">
        <v>12</v>
      </c>
      <c r="F186" s="298" t="s">
        <v>289</v>
      </c>
      <c r="G186" s="298">
        <v>957989</v>
      </c>
      <c r="H186" s="372"/>
      <c r="I186" s="298"/>
      <c r="J186" s="372"/>
      <c r="K186" s="373"/>
      <c r="L186" s="89"/>
      <c r="M186" s="89"/>
      <c r="N186" s="89"/>
      <c r="O186" s="89"/>
    </row>
    <row r="187" spans="2:15">
      <c r="B187" s="298" t="s">
        <v>305</v>
      </c>
      <c r="C187" s="297">
        <v>45131</v>
      </c>
      <c r="D187" s="298">
        <v>1595</v>
      </c>
      <c r="E187" s="298" t="s">
        <v>12</v>
      </c>
      <c r="F187" s="298" t="s">
        <v>290</v>
      </c>
      <c r="G187" s="298">
        <v>698592</v>
      </c>
      <c r="H187" s="372"/>
      <c r="I187" s="298"/>
      <c r="J187" s="372"/>
      <c r="K187" s="373"/>
      <c r="L187" s="89"/>
      <c r="M187" s="89"/>
      <c r="N187" s="89"/>
      <c r="O187" s="89"/>
    </row>
    <row r="188" spans="2:15">
      <c r="B188" s="298" t="s">
        <v>305</v>
      </c>
      <c r="C188" s="297">
        <v>45131</v>
      </c>
      <c r="D188" s="298">
        <v>1595</v>
      </c>
      <c r="E188" s="298" t="s">
        <v>12</v>
      </c>
      <c r="F188" s="298" t="s">
        <v>291</v>
      </c>
      <c r="G188" s="298">
        <v>958708</v>
      </c>
      <c r="H188" s="372"/>
      <c r="I188" s="298"/>
      <c r="J188" s="372"/>
      <c r="K188" s="373"/>
      <c r="L188" s="89"/>
      <c r="M188" s="89"/>
      <c r="N188" s="89"/>
      <c r="O188" s="89"/>
    </row>
    <row r="189" spans="2:15">
      <c r="B189" s="298" t="s">
        <v>305</v>
      </c>
      <c r="C189" s="297">
        <v>45131</v>
      </c>
      <c r="D189" s="298">
        <v>1595</v>
      </c>
      <c r="E189" s="298" t="s">
        <v>12</v>
      </c>
      <c r="F189" s="298" t="s">
        <v>323</v>
      </c>
      <c r="G189" s="298">
        <v>968624</v>
      </c>
      <c r="H189" s="372"/>
      <c r="I189" s="298"/>
      <c r="J189" s="372"/>
      <c r="K189" s="373"/>
      <c r="L189" s="89"/>
      <c r="M189" s="89"/>
      <c r="N189" s="89"/>
      <c r="O189" s="89"/>
    </row>
    <row r="190" spans="2:15">
      <c r="B190" s="298" t="s">
        <v>305</v>
      </c>
      <c r="C190" s="297">
        <v>45131</v>
      </c>
      <c r="D190" s="298">
        <v>1595</v>
      </c>
      <c r="E190" s="298" t="s">
        <v>12</v>
      </c>
      <c r="F190" s="298" t="s">
        <v>292</v>
      </c>
      <c r="G190" s="298">
        <v>700697</v>
      </c>
      <c r="H190" s="372"/>
      <c r="I190" s="298"/>
      <c r="J190" s="372"/>
      <c r="K190" s="373"/>
      <c r="L190" s="89"/>
      <c r="M190" s="89"/>
      <c r="N190" s="89"/>
      <c r="O190" s="89"/>
    </row>
    <row r="191" spans="2:15">
      <c r="B191" s="298" t="s">
        <v>305</v>
      </c>
      <c r="C191" s="297">
        <v>45131</v>
      </c>
      <c r="D191" s="298">
        <v>1595</v>
      </c>
      <c r="E191" s="298" t="s">
        <v>12</v>
      </c>
      <c r="F191" s="298" t="s">
        <v>293</v>
      </c>
      <c r="G191" s="298">
        <v>953023</v>
      </c>
      <c r="H191" s="372"/>
      <c r="I191" s="298"/>
      <c r="J191" s="372"/>
      <c r="K191" s="373"/>
      <c r="L191" s="89"/>
      <c r="M191" s="89"/>
      <c r="N191" s="89"/>
      <c r="O191" s="89"/>
    </row>
    <row r="192" spans="2:15">
      <c r="B192" s="298" t="s">
        <v>305</v>
      </c>
      <c r="C192" s="297">
        <v>45131</v>
      </c>
      <c r="D192" s="298">
        <v>1595</v>
      </c>
      <c r="E192" s="298" t="s">
        <v>12</v>
      </c>
      <c r="F192" s="298" t="s">
        <v>313</v>
      </c>
      <c r="G192" s="298">
        <v>923167</v>
      </c>
      <c r="H192" s="372"/>
      <c r="I192" s="298"/>
      <c r="J192" s="372"/>
      <c r="K192" s="373"/>
      <c r="L192" s="89"/>
      <c r="M192" s="89"/>
      <c r="N192" s="89"/>
      <c r="O192" s="89"/>
    </row>
    <row r="193" spans="2:15">
      <c r="B193" s="309" t="s">
        <v>305</v>
      </c>
      <c r="C193" s="297">
        <v>45247</v>
      </c>
      <c r="D193" s="309">
        <v>421</v>
      </c>
      <c r="E193" s="309" t="s">
        <v>10</v>
      </c>
      <c r="F193" s="309" t="s">
        <v>340</v>
      </c>
      <c r="G193" s="309">
        <v>700685</v>
      </c>
      <c r="H193" s="372">
        <v>3426.654</v>
      </c>
      <c r="I193" s="309"/>
      <c r="J193" s="370">
        <f>H193-(I193+I194)</f>
        <v>3426.654</v>
      </c>
      <c r="K193" s="371">
        <f>(I193+I194)/H193</f>
        <v>0</v>
      </c>
      <c r="L193" s="89"/>
      <c r="M193" s="89"/>
      <c r="N193" s="89"/>
      <c r="O193" s="89"/>
    </row>
    <row r="194" spans="2:15">
      <c r="B194" s="309" t="s">
        <v>305</v>
      </c>
      <c r="C194" s="297">
        <v>45247</v>
      </c>
      <c r="D194" s="309">
        <v>421</v>
      </c>
      <c r="E194" s="309" t="s">
        <v>10</v>
      </c>
      <c r="F194" s="309" t="s">
        <v>341</v>
      </c>
      <c r="G194" s="309">
        <v>701262</v>
      </c>
      <c r="H194" s="372"/>
      <c r="I194" s="309"/>
      <c r="J194" s="348"/>
      <c r="K194" s="345"/>
      <c r="L194" s="89"/>
      <c r="M194" s="89"/>
      <c r="N194" s="89"/>
      <c r="O194" s="89"/>
    </row>
    <row r="195" spans="2:15">
      <c r="B195" s="309" t="s">
        <v>305</v>
      </c>
      <c r="C195" s="297">
        <v>45247</v>
      </c>
      <c r="D195" s="309">
        <v>422</v>
      </c>
      <c r="E195" s="309" t="s">
        <v>88</v>
      </c>
      <c r="F195" s="309" t="s">
        <v>217</v>
      </c>
      <c r="G195" s="309">
        <v>968274</v>
      </c>
      <c r="H195" s="372">
        <v>17756.297999999999</v>
      </c>
      <c r="I195" s="309">
        <v>89.98</v>
      </c>
      <c r="J195" s="372">
        <f>H195-(SUM(I195:I202))</f>
        <v>16687.862999999998</v>
      </c>
      <c r="K195" s="373">
        <f>(SUM(I195:I202))/H195</f>
        <v>6.0172171023486994E-2</v>
      </c>
      <c r="L195" s="89"/>
      <c r="M195" s="89"/>
      <c r="N195" s="89"/>
      <c r="O195" s="89"/>
    </row>
    <row r="196" spans="2:15">
      <c r="B196" s="309" t="s">
        <v>305</v>
      </c>
      <c r="C196" s="297">
        <v>45247</v>
      </c>
      <c r="D196" s="309">
        <v>422</v>
      </c>
      <c r="E196" s="309" t="s">
        <v>88</v>
      </c>
      <c r="F196" s="309" t="s">
        <v>222</v>
      </c>
      <c r="G196" s="309">
        <v>699329</v>
      </c>
      <c r="H196" s="372"/>
      <c r="I196" s="309">
        <v>23.704999999999998</v>
      </c>
      <c r="J196" s="372"/>
      <c r="K196" s="373"/>
      <c r="L196" s="89"/>
      <c r="M196" s="89"/>
      <c r="N196" s="89"/>
      <c r="O196" s="89"/>
    </row>
    <row r="197" spans="2:15">
      <c r="B197" s="309" t="s">
        <v>305</v>
      </c>
      <c r="C197" s="297">
        <v>45247</v>
      </c>
      <c r="D197" s="309">
        <v>422</v>
      </c>
      <c r="E197" s="309" t="s">
        <v>88</v>
      </c>
      <c r="F197" s="309" t="s">
        <v>224</v>
      </c>
      <c r="G197" s="309">
        <v>699687</v>
      </c>
      <c r="H197" s="372"/>
      <c r="I197" s="309">
        <v>164.565</v>
      </c>
      <c r="J197" s="372"/>
      <c r="K197" s="373"/>
      <c r="L197" s="89"/>
      <c r="M197" s="89"/>
      <c r="N197" s="89"/>
      <c r="O197" s="89"/>
    </row>
    <row r="198" spans="2:15">
      <c r="B198" s="309" t="s">
        <v>305</v>
      </c>
      <c r="C198" s="297">
        <v>45247</v>
      </c>
      <c r="D198" s="309">
        <v>422</v>
      </c>
      <c r="E198" s="309" t="s">
        <v>88</v>
      </c>
      <c r="F198" s="309" t="s">
        <v>218</v>
      </c>
      <c r="G198" s="309">
        <v>968447</v>
      </c>
      <c r="H198" s="372"/>
      <c r="I198" s="309">
        <v>112.245</v>
      </c>
      <c r="J198" s="372"/>
      <c r="K198" s="373"/>
      <c r="L198" s="89"/>
      <c r="M198" s="89"/>
      <c r="N198" s="89"/>
      <c r="O198" s="89"/>
    </row>
    <row r="199" spans="2:15">
      <c r="B199" s="309" t="s">
        <v>305</v>
      </c>
      <c r="C199" s="297">
        <v>45247</v>
      </c>
      <c r="D199" s="309">
        <v>422</v>
      </c>
      <c r="E199" s="309" t="s">
        <v>88</v>
      </c>
      <c r="F199" s="309" t="s">
        <v>216</v>
      </c>
      <c r="G199" s="309">
        <v>967544</v>
      </c>
      <c r="H199" s="372"/>
      <c r="I199" s="309">
        <v>146.07</v>
      </c>
      <c r="J199" s="372"/>
      <c r="K199" s="373"/>
      <c r="L199" s="89"/>
      <c r="M199" s="89"/>
      <c r="N199" s="89"/>
      <c r="O199" s="89"/>
    </row>
    <row r="200" spans="2:15">
      <c r="B200" s="309" t="s">
        <v>305</v>
      </c>
      <c r="C200" s="297">
        <v>45247</v>
      </c>
      <c r="D200" s="309">
        <v>422</v>
      </c>
      <c r="E200" s="309" t="s">
        <v>88</v>
      </c>
      <c r="F200" s="309" t="s">
        <v>342</v>
      </c>
      <c r="G200" s="309">
        <v>701438</v>
      </c>
      <c r="H200" s="372"/>
      <c r="I200" s="309">
        <v>159.54</v>
      </c>
      <c r="J200" s="372"/>
      <c r="K200" s="373"/>
      <c r="L200" s="89"/>
      <c r="M200" s="89"/>
      <c r="N200" s="89"/>
      <c r="O200" s="89"/>
    </row>
    <row r="201" spans="2:15">
      <c r="B201" s="309" t="s">
        <v>305</v>
      </c>
      <c r="C201" s="297">
        <v>45247</v>
      </c>
      <c r="D201" s="309">
        <v>422</v>
      </c>
      <c r="E201" s="309" t="s">
        <v>88</v>
      </c>
      <c r="F201" s="309" t="s">
        <v>215</v>
      </c>
      <c r="G201" s="309">
        <v>700798</v>
      </c>
      <c r="H201" s="372"/>
      <c r="I201" s="309">
        <v>214.10499999999999</v>
      </c>
      <c r="J201" s="372"/>
      <c r="K201" s="373"/>
      <c r="L201" s="89"/>
      <c r="M201" s="89"/>
      <c r="N201" s="89"/>
      <c r="O201" s="89"/>
    </row>
    <row r="202" spans="2:15">
      <c r="B202" s="309" t="s">
        <v>305</v>
      </c>
      <c r="C202" s="297">
        <v>45247</v>
      </c>
      <c r="D202" s="309">
        <v>422</v>
      </c>
      <c r="E202" s="309" t="s">
        <v>88</v>
      </c>
      <c r="F202" s="309" t="s">
        <v>220</v>
      </c>
      <c r="G202" s="309">
        <v>969068</v>
      </c>
      <c r="H202" s="372"/>
      <c r="I202" s="309">
        <v>158.22499999999999</v>
      </c>
      <c r="J202" s="372"/>
      <c r="K202" s="373"/>
      <c r="L202" s="89"/>
      <c r="M202" s="89"/>
      <c r="N202" s="89"/>
      <c r="O202" s="89"/>
    </row>
    <row r="203" spans="2:15">
      <c r="B203" s="309" t="s">
        <v>305</v>
      </c>
      <c r="C203" s="297">
        <v>45247</v>
      </c>
      <c r="D203" s="309">
        <v>424</v>
      </c>
      <c r="E203" s="309" t="s">
        <v>10</v>
      </c>
      <c r="F203" s="309" t="s">
        <v>340</v>
      </c>
      <c r="G203" s="309">
        <v>700685</v>
      </c>
      <c r="H203" s="372">
        <v>1557.57</v>
      </c>
      <c r="I203" s="309"/>
      <c r="J203" s="370">
        <f>H203-(I203+I204)</f>
        <v>1557.57</v>
      </c>
      <c r="K203" s="371">
        <f>(I203+I204)/H203</f>
        <v>0</v>
      </c>
      <c r="L203" s="89"/>
      <c r="M203" s="89"/>
      <c r="N203" s="89"/>
      <c r="O203" s="89"/>
    </row>
    <row r="204" spans="2:15">
      <c r="B204" s="309" t="s">
        <v>305</v>
      </c>
      <c r="C204" s="297">
        <v>45247</v>
      </c>
      <c r="D204" s="309">
        <v>424</v>
      </c>
      <c r="E204" s="309" t="s">
        <v>10</v>
      </c>
      <c r="F204" s="309" t="s">
        <v>341</v>
      </c>
      <c r="G204" s="309">
        <v>701262</v>
      </c>
      <c r="H204" s="372"/>
      <c r="I204" s="309"/>
      <c r="J204" s="348"/>
      <c r="K204" s="345"/>
      <c r="L204" s="89"/>
      <c r="M204" s="89"/>
      <c r="N204" s="89"/>
      <c r="O204" s="89"/>
    </row>
    <row r="205" spans="2:15">
      <c r="B205" s="316" t="s">
        <v>305</v>
      </c>
      <c r="C205" s="316" t="s">
        <v>348</v>
      </c>
      <c r="D205" s="316">
        <v>356</v>
      </c>
      <c r="E205" s="316" t="s">
        <v>311</v>
      </c>
      <c r="F205" s="316" t="s">
        <v>226</v>
      </c>
      <c r="G205" s="316">
        <v>700316</v>
      </c>
      <c r="H205" s="316">
        <v>0</v>
      </c>
      <c r="I205" s="316"/>
      <c r="J205" s="316">
        <f>H205-I205</f>
        <v>0</v>
      </c>
      <c r="K205" s="315" t="e">
        <f>I205/H205</f>
        <v>#DIV/0!</v>
      </c>
      <c r="L205" s="89"/>
      <c r="M205" s="89"/>
      <c r="N205" s="89"/>
      <c r="O205" s="89"/>
    </row>
    <row r="206" spans="2:15">
      <c r="B206" s="316" t="s">
        <v>305</v>
      </c>
      <c r="C206" s="297">
        <v>45288</v>
      </c>
      <c r="D206" s="316">
        <v>676</v>
      </c>
      <c r="E206" s="316" t="s">
        <v>12</v>
      </c>
      <c r="F206" s="316" t="s">
        <v>287</v>
      </c>
      <c r="G206" s="316">
        <v>923266</v>
      </c>
      <c r="H206" s="372">
        <v>130</v>
      </c>
      <c r="I206" s="316"/>
      <c r="J206" s="370">
        <f>H206-(I206+I207)</f>
        <v>130</v>
      </c>
      <c r="K206" s="371">
        <f>(I206+I207)/H206</f>
        <v>0</v>
      </c>
      <c r="L206" s="89"/>
      <c r="M206" s="89"/>
      <c r="N206" s="89"/>
      <c r="O206" s="89"/>
    </row>
    <row r="207" spans="2:15">
      <c r="B207" s="316" t="s">
        <v>305</v>
      </c>
      <c r="C207" s="297">
        <v>45288</v>
      </c>
      <c r="D207" s="316">
        <v>676</v>
      </c>
      <c r="E207" s="316" t="s">
        <v>12</v>
      </c>
      <c r="F207" s="316" t="s">
        <v>288</v>
      </c>
      <c r="G207" s="316">
        <v>966707</v>
      </c>
      <c r="H207" s="372"/>
      <c r="I207" s="316"/>
      <c r="J207" s="348"/>
      <c r="K207" s="345"/>
      <c r="L207" s="89"/>
      <c r="M207" s="89"/>
      <c r="N207" s="89"/>
      <c r="O207" s="89"/>
    </row>
    <row r="208" spans="2:1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</row>
    <row r="209" spans="2:15"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</row>
    <row r="210" spans="2:15"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</row>
    <row r="211" spans="2:15"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</row>
    <row r="212" spans="2:15"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</row>
    <row r="213" spans="2:15"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</row>
    <row r="214" spans="2:15"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</row>
    <row r="215" spans="2:15"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</row>
    <row r="216" spans="2:15"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</row>
    <row r="217" spans="2:15"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</row>
    <row r="218" spans="2:15"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</row>
    <row r="219" spans="2:15"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</row>
    <row r="220" spans="2:15"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</row>
    <row r="221" spans="2:15"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</row>
    <row r="222" spans="2:15"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</row>
    <row r="223" spans="2:15"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</row>
    <row r="224" spans="2:15"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</row>
    <row r="225" spans="2:15"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</row>
    <row r="226" spans="2:15"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</row>
    <row r="227" spans="2:15"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</row>
    <row r="228" spans="2:15"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</row>
    <row r="229" spans="2:15"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</row>
    <row r="230" spans="2:15"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</row>
    <row r="231" spans="2:15"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</row>
    <row r="232" spans="2:15"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</row>
    <row r="233" spans="2:15"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</row>
    <row r="234" spans="2:15"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</row>
    <row r="235" spans="2:15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</row>
    <row r="236" spans="2:15"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</row>
    <row r="237" spans="2:15"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</row>
    <row r="238" spans="2:15"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</row>
    <row r="239" spans="2:15"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</row>
    <row r="240" spans="2:15"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</row>
    <row r="241" spans="2:15"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</row>
    <row r="242" spans="2:15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</row>
    <row r="243" spans="2:15"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</row>
    <row r="244" spans="2:15"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</row>
    <row r="245" spans="2:15"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</row>
    <row r="246" spans="2:15"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</row>
    <row r="247" spans="2:15"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</row>
    <row r="248" spans="2:15"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</row>
    <row r="249" spans="2:15"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</row>
    <row r="250" spans="2:15"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</row>
    <row r="251" spans="2:15"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</row>
    <row r="252" spans="2:15"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</row>
    <row r="253" spans="2:15"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</row>
    <row r="254" spans="2:15"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</row>
    <row r="255" spans="2:15"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</row>
    <row r="256" spans="2:15"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</row>
    <row r="257" spans="2:15"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</row>
    <row r="258" spans="2:15"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</row>
    <row r="259" spans="2:15"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</row>
    <row r="260" spans="2:15"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</row>
    <row r="261" spans="2:15"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</row>
    <row r="262" spans="2:15"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</row>
    <row r="263" spans="2:15"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</row>
    <row r="264" spans="2:15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</row>
    <row r="265" spans="2:15"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</row>
    <row r="266" spans="2:15"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</row>
    <row r="267" spans="2:15"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</row>
    <row r="268" spans="2:15"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</row>
    <row r="269" spans="2:15"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</row>
    <row r="270" spans="2:15"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</row>
    <row r="271" spans="2:15"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</row>
    <row r="272" spans="2:15"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</row>
    <row r="273" spans="2:15"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</row>
    <row r="274" spans="2:15"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</row>
    <row r="275" spans="2:15"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</row>
    <row r="276" spans="2:15"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</row>
    <row r="277" spans="2:15"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</row>
    <row r="278" spans="2:15"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</row>
    <row r="279" spans="2:15"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</row>
    <row r="280" spans="2:15"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</row>
    <row r="281" spans="2:15"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</row>
    <row r="282" spans="2:15"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</row>
    <row r="283" spans="2:15"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</row>
    <row r="284" spans="2:15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</row>
    <row r="285" spans="2:15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</row>
    <row r="286" spans="2:15"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</row>
    <row r="287" spans="2:15"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</row>
    <row r="288" spans="2:15"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</row>
    <row r="289" spans="2:15"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</row>
    <row r="290" spans="2:15"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</row>
    <row r="291" spans="2:15"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</row>
    <row r="292" spans="2:15"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</row>
    <row r="293" spans="2:15"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</row>
    <row r="294" spans="2:15"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</row>
    <row r="295" spans="2:15"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</row>
    <row r="296" spans="2:15"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</row>
    <row r="297" spans="2:15"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</row>
    <row r="298" spans="2:15"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</row>
    <row r="299" spans="2:15"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</row>
    <row r="300" spans="2:15"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</row>
    <row r="301" spans="2:15"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</row>
    <row r="302" spans="2:15"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</row>
    <row r="303" spans="2:15"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</row>
    <row r="304" spans="2:15"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</row>
    <row r="305" spans="2:15"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</row>
    <row r="306" spans="2:15"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</row>
    <row r="307" spans="2:15"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</row>
    <row r="308" spans="2:15"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</row>
    <row r="309" spans="2:15"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</row>
    <row r="310" spans="2:15"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</row>
    <row r="311" spans="2:15"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</row>
    <row r="312" spans="2:15"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</row>
    <row r="313" spans="2:15"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</row>
    <row r="314" spans="2:15"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</row>
    <row r="315" spans="2:15"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</row>
    <row r="316" spans="2:15"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</row>
    <row r="317" spans="2:15"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</row>
    <row r="318" spans="2:15"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</row>
    <row r="319" spans="2:15"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</row>
    <row r="320" spans="2:15"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</row>
    <row r="321" spans="2:15"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</row>
  </sheetData>
  <autoFilter ref="B4:O207"/>
  <mergeCells count="60">
    <mergeCell ref="H206:H207"/>
    <mergeCell ref="J206:J207"/>
    <mergeCell ref="K206:K207"/>
    <mergeCell ref="O158:O162"/>
    <mergeCell ref="H163:H172"/>
    <mergeCell ref="J163:J172"/>
    <mergeCell ref="K163:K172"/>
    <mergeCell ref="H173:H192"/>
    <mergeCell ref="J173:J192"/>
    <mergeCell ref="K173:K192"/>
    <mergeCell ref="L158:L162"/>
    <mergeCell ref="N158:N162"/>
    <mergeCell ref="H203:H204"/>
    <mergeCell ref="J203:J204"/>
    <mergeCell ref="K203:K204"/>
    <mergeCell ref="H193:H194"/>
    <mergeCell ref="J132:J145"/>
    <mergeCell ref="K132:K145"/>
    <mergeCell ref="H89:H131"/>
    <mergeCell ref="J89:J131"/>
    <mergeCell ref="K89:K131"/>
    <mergeCell ref="L2:O2"/>
    <mergeCell ref="S3:W3"/>
    <mergeCell ref="H2:K2"/>
    <mergeCell ref="H5:H21"/>
    <mergeCell ref="J5:J21"/>
    <mergeCell ref="K5:K21"/>
    <mergeCell ref="H31:H36"/>
    <mergeCell ref="J31:J36"/>
    <mergeCell ref="K31:K36"/>
    <mergeCell ref="H23:H30"/>
    <mergeCell ref="J23:J30"/>
    <mergeCell ref="K23:K30"/>
    <mergeCell ref="H37:H44"/>
    <mergeCell ref="J37:J44"/>
    <mergeCell ref="K37:K44"/>
    <mergeCell ref="H45:H47"/>
    <mergeCell ref="J45:J47"/>
    <mergeCell ref="K45:K47"/>
    <mergeCell ref="H147:H156"/>
    <mergeCell ref="J147:J156"/>
    <mergeCell ref="K147:K156"/>
    <mergeCell ref="H48:H50"/>
    <mergeCell ref="J48:J50"/>
    <mergeCell ref="K48:K50"/>
    <mergeCell ref="H51:H65"/>
    <mergeCell ref="J51:J65"/>
    <mergeCell ref="K51:K65"/>
    <mergeCell ref="J66:J85"/>
    <mergeCell ref="K66:K85"/>
    <mergeCell ref="H86:H88"/>
    <mergeCell ref="J86:J88"/>
    <mergeCell ref="K86:K88"/>
    <mergeCell ref="H66:H85"/>
    <mergeCell ref="H132:H145"/>
    <mergeCell ref="J193:J194"/>
    <mergeCell ref="K193:K194"/>
    <mergeCell ref="H195:H202"/>
    <mergeCell ref="J195:J202"/>
    <mergeCell ref="K195:K20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workbookViewId="0">
      <selection activeCell="B7" sqref="B7"/>
    </sheetView>
  </sheetViews>
  <sheetFormatPr baseColWidth="10" defaultRowHeight="15"/>
  <cols>
    <col min="1" max="1" width="11.42578125" style="89"/>
    <col min="2" max="2" width="20.7109375" style="89" customWidth="1"/>
    <col min="3" max="3" width="15.5703125" style="89" customWidth="1"/>
    <col min="4" max="5" width="18.42578125" style="89" customWidth="1"/>
    <col min="6" max="6" width="13.42578125" style="89" customWidth="1"/>
    <col min="7" max="7" width="11.42578125" style="89"/>
    <col min="8" max="8" width="14.42578125" style="89" customWidth="1"/>
    <col min="9" max="16384" width="11.42578125" style="89"/>
  </cols>
  <sheetData>
    <row r="3" spans="1:16">
      <c r="C3" s="384" t="s">
        <v>160</v>
      </c>
      <c r="D3" s="384"/>
      <c r="E3" s="384"/>
      <c r="F3" s="384"/>
      <c r="G3" s="384"/>
      <c r="H3" s="384"/>
    </row>
    <row r="4" spans="1:16">
      <c r="B4" s="163"/>
      <c r="C4" s="385">
        <f>Resumen!C4</f>
        <v>45291</v>
      </c>
      <c r="D4" s="385"/>
      <c r="E4" s="385"/>
      <c r="F4" s="385"/>
      <c r="G4" s="385"/>
      <c r="H4" s="385"/>
      <c r="I4" s="163"/>
      <c r="J4" s="163"/>
      <c r="O4" s="384" t="s">
        <v>126</v>
      </c>
      <c r="P4" s="384"/>
    </row>
    <row r="5" spans="1:16">
      <c r="B5" s="164" t="s">
        <v>132</v>
      </c>
      <c r="C5" s="164" t="s">
        <v>110</v>
      </c>
      <c r="D5" s="164" t="s">
        <v>111</v>
      </c>
      <c r="E5" s="164" t="s">
        <v>22</v>
      </c>
      <c r="F5" s="164" t="s">
        <v>102</v>
      </c>
      <c r="G5" s="164" t="s">
        <v>133</v>
      </c>
      <c r="H5" s="164" t="s">
        <v>6</v>
      </c>
      <c r="I5" s="164" t="s">
        <v>7</v>
      </c>
      <c r="J5" s="162"/>
      <c r="O5" s="166" t="s">
        <v>100</v>
      </c>
      <c r="P5" s="167" t="e">
        <f>+#REF!+H19+H26+H33+H42</f>
        <v>#REF!</v>
      </c>
    </row>
    <row r="6" spans="1:16">
      <c r="A6" s="165"/>
      <c r="O6" s="166" t="s">
        <v>120</v>
      </c>
      <c r="P6" s="161"/>
    </row>
    <row r="7" spans="1:16">
      <c r="A7" s="165"/>
    </row>
    <row r="8" spans="1:16">
      <c r="A8" s="165"/>
    </row>
    <row r="9" spans="1:16">
      <c r="A9" s="163"/>
    </row>
    <row r="10" spans="1:16">
      <c r="A10" s="163"/>
    </row>
    <row r="11" spans="1:16">
      <c r="A11" s="163"/>
    </row>
    <row r="12" spans="1:16">
      <c r="A12" s="163"/>
    </row>
    <row r="13" spans="1:16">
      <c r="A13" s="163"/>
    </row>
    <row r="14" spans="1:16">
      <c r="A14" s="139"/>
    </row>
    <row r="15" spans="1:16">
      <c r="A15" s="139"/>
    </row>
    <row r="16" spans="1:16">
      <c r="A16" s="139"/>
    </row>
    <row r="17" spans="1:10">
      <c r="A17" s="139"/>
    </row>
    <row r="18" spans="1:10">
      <c r="B18" s="143"/>
      <c r="C18" s="143"/>
      <c r="D18" s="163"/>
      <c r="E18" s="163"/>
      <c r="F18" s="163"/>
      <c r="G18" s="163"/>
      <c r="H18" s="163"/>
      <c r="I18" s="163"/>
      <c r="J18" s="139"/>
    </row>
    <row r="19" spans="1:10">
      <c r="B19" s="143"/>
      <c r="C19" s="143"/>
      <c r="D19" s="163"/>
      <c r="E19" s="163"/>
      <c r="F19" s="163"/>
      <c r="G19" s="163"/>
      <c r="H19" s="163"/>
      <c r="I19" s="163"/>
      <c r="J19" s="163"/>
    </row>
    <row r="20" spans="1:10"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>
      <c r="B24" s="168"/>
      <c r="C24" s="143"/>
      <c r="D24" s="163"/>
      <c r="E24" s="163"/>
      <c r="F24" s="163"/>
      <c r="G24" s="163"/>
      <c r="H24" s="163"/>
      <c r="I24" s="163"/>
      <c r="J24" s="165"/>
    </row>
    <row r="25" spans="1:10">
      <c r="B25" s="168"/>
      <c r="C25" s="143"/>
      <c r="D25" s="163"/>
      <c r="E25" s="163"/>
      <c r="F25" s="163"/>
      <c r="G25" s="163"/>
      <c r="H25" s="163"/>
      <c r="I25" s="163"/>
      <c r="J25" s="165"/>
    </row>
    <row r="26" spans="1:10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0">
      <c r="B31" s="168"/>
      <c r="C31" s="143"/>
      <c r="D31" s="163"/>
      <c r="E31" s="163"/>
      <c r="F31" s="163"/>
      <c r="G31" s="163"/>
      <c r="H31" s="163"/>
      <c r="I31" s="163"/>
      <c r="J31" s="165"/>
    </row>
    <row r="32" spans="1:10">
      <c r="B32" s="168"/>
      <c r="C32" s="143"/>
      <c r="D32" s="163"/>
      <c r="E32" s="163"/>
      <c r="F32" s="163"/>
      <c r="G32" s="163"/>
      <c r="H32" s="163"/>
      <c r="I32" s="163"/>
      <c r="J32" s="165"/>
    </row>
    <row r="33" spans="2:10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>
      <c r="B35" s="163"/>
      <c r="C35" s="163"/>
      <c r="D35" s="163"/>
      <c r="E35" s="163"/>
      <c r="F35" s="163"/>
      <c r="G35" s="163"/>
      <c r="H35" s="163"/>
      <c r="I35" s="163"/>
      <c r="J35" s="163"/>
    </row>
    <row r="36" spans="2:10">
      <c r="B36" s="163"/>
      <c r="C36" s="163"/>
      <c r="D36" s="163"/>
      <c r="E36" s="163"/>
      <c r="F36" s="163"/>
      <c r="G36" s="163"/>
      <c r="H36" s="163"/>
      <c r="I36" s="163"/>
      <c r="J36" s="163"/>
    </row>
    <row r="37" spans="2:10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>
      <c r="B38" s="143"/>
      <c r="C38" s="143"/>
      <c r="D38" s="163"/>
      <c r="E38" s="163"/>
      <c r="F38" s="163"/>
      <c r="G38" s="163"/>
      <c r="H38" s="163"/>
      <c r="I38" s="163"/>
      <c r="J38" s="139"/>
    </row>
    <row r="39" spans="2:10">
      <c r="B39" s="143"/>
      <c r="C39" s="143"/>
      <c r="D39" s="163"/>
      <c r="E39" s="163"/>
      <c r="F39" s="163"/>
      <c r="G39" s="163"/>
      <c r="H39" s="163"/>
      <c r="I39" s="163"/>
      <c r="J39" s="139"/>
    </row>
    <row r="40" spans="2:10">
      <c r="B40" s="143"/>
      <c r="C40" s="143"/>
      <c r="D40" s="163"/>
      <c r="E40" s="163"/>
      <c r="F40" s="163"/>
      <c r="G40" s="163"/>
      <c r="H40" s="163"/>
      <c r="I40" s="163"/>
      <c r="J40" s="139"/>
    </row>
    <row r="41" spans="2:10">
      <c r="B41" s="143"/>
      <c r="C41" s="143"/>
      <c r="D41" s="163"/>
      <c r="E41" s="163"/>
      <c r="F41" s="163"/>
      <c r="G41" s="163"/>
      <c r="H41" s="163"/>
      <c r="I41" s="163"/>
      <c r="J41" s="139"/>
    </row>
    <row r="42" spans="2:10">
      <c r="B42" s="163"/>
      <c r="C42" s="163"/>
      <c r="D42" s="163"/>
      <c r="E42" s="163"/>
      <c r="F42" s="163"/>
      <c r="G42" s="163"/>
      <c r="H42" s="163"/>
      <c r="I42" s="163"/>
      <c r="J42" s="163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3"/>
  <sheetViews>
    <sheetView workbookViewId="0">
      <selection activeCell="D4" sqref="D4:H4"/>
    </sheetView>
  </sheetViews>
  <sheetFormatPr baseColWidth="10" defaultRowHeight="15"/>
  <cols>
    <col min="4" max="4" width="13.7109375" customWidth="1"/>
    <col min="6" max="6" width="12.7109375" customWidth="1"/>
    <col min="7" max="7" width="12.42578125" customWidth="1"/>
  </cols>
  <sheetData>
    <row r="3" spans="4:8">
      <c r="D3" s="386" t="s">
        <v>161</v>
      </c>
      <c r="E3" s="386"/>
      <c r="F3" s="386"/>
      <c r="G3" s="386"/>
      <c r="H3" s="386"/>
    </row>
    <row r="4" spans="4:8">
      <c r="D4" s="387">
        <f>Resumen!C4</f>
        <v>45291</v>
      </c>
      <c r="E4" s="387"/>
      <c r="F4" s="387"/>
      <c r="G4" s="387"/>
      <c r="H4" s="387"/>
    </row>
    <row r="6" spans="4:8" ht="30">
      <c r="D6" s="160" t="s">
        <v>128</v>
      </c>
      <c r="E6" s="160" t="s">
        <v>102</v>
      </c>
      <c r="F6" s="160" t="s">
        <v>129</v>
      </c>
      <c r="G6" s="160" t="s">
        <v>130</v>
      </c>
      <c r="H6" s="160" t="s">
        <v>131</v>
      </c>
    </row>
    <row r="7" spans="4:8">
      <c r="D7" s="78"/>
      <c r="E7" s="78"/>
      <c r="F7" s="78"/>
      <c r="G7" s="78"/>
      <c r="H7" s="78"/>
    </row>
    <row r="8" spans="4:8">
      <c r="D8" s="78"/>
      <c r="E8" s="78"/>
      <c r="F8" s="78"/>
      <c r="G8" s="78"/>
      <c r="H8" s="78"/>
    </row>
    <row r="9" spans="4:8">
      <c r="D9" s="78"/>
      <c r="E9" s="78"/>
      <c r="F9" s="78"/>
      <c r="G9" s="78"/>
      <c r="H9" s="78"/>
    </row>
    <row r="10" spans="4:8">
      <c r="D10" s="78"/>
      <c r="E10" s="78"/>
      <c r="F10" s="78"/>
      <c r="G10" s="78"/>
      <c r="H10" s="78"/>
    </row>
    <row r="11" spans="4:8">
      <c r="D11" s="78"/>
      <c r="E11" s="78"/>
      <c r="F11" s="78"/>
      <c r="G11" s="78"/>
      <c r="H11" s="78"/>
    </row>
    <row r="12" spans="4:8">
      <c r="D12" s="78"/>
      <c r="E12" s="78"/>
      <c r="F12" s="78"/>
      <c r="G12" s="78"/>
      <c r="H12" s="78"/>
    </row>
    <row r="13" spans="4:8">
      <c r="D13" s="78"/>
      <c r="E13" s="78"/>
      <c r="F13" s="78"/>
      <c r="G13" s="78"/>
      <c r="H13" s="78"/>
    </row>
  </sheetData>
  <mergeCells count="2">
    <mergeCell ref="D3:H3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Remanente Anchoveta</vt:lpstr>
      <vt:lpstr>Remanente Ces. Ind. Anchoveta </vt:lpstr>
      <vt:lpstr>Artesanal S.española XV-IV</vt:lpstr>
      <vt:lpstr>Industrial</vt:lpstr>
      <vt:lpstr>Cesiones ind y colec</vt:lpstr>
      <vt:lpstr>P. Investigación</vt:lpstr>
      <vt:lpstr>Consumo humano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PEREZ SALGADO, NICOLAS RODRIGO</cp:lastModifiedBy>
  <dcterms:created xsi:type="dcterms:W3CDTF">2019-10-16T16:01:09Z</dcterms:created>
  <dcterms:modified xsi:type="dcterms:W3CDTF">2024-03-20T16:43:18Z</dcterms:modified>
</cp:coreProperties>
</file>