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napesca-my.sharepoint.com/personal/nperez_sernapesca_cl/Documents/7_Cuotas_globales_informes_finales/2024/Planillas/"/>
    </mc:Choice>
  </mc:AlternateContent>
  <xr:revisionPtr revIDLastSave="2" documentId="13_ncr:1_{F0DE0694-7D6F-44BA-B308-5A172D66D640}" xr6:coauthVersionLast="47" xr6:coauthVersionMax="47" xr10:uidLastSave="{CF18DCC8-0F98-432C-9CB2-E5B7E3502E66}"/>
  <bookViews>
    <workbookView xWindow="-108" yWindow="-108" windowWidth="23256" windowHeight="12456" tabRatio="831" firstSheet="4" activeTab="4" xr2:uid="{00000000-000D-0000-FFFF-FFFF00000000}"/>
  </bookViews>
  <sheets>
    <sheet name="Resumen" sheetId="1" r:id="rId1"/>
    <sheet name="Artesanal Anchoveta XV-IV" sheetId="2" r:id="rId2"/>
    <sheet name="Artesanal S.española XV-IV" sheetId="7" r:id="rId3"/>
    <sheet name="Cesiones ind y colec" sheetId="5" r:id="rId4"/>
    <sheet name="Industrial" sheetId="3" r:id="rId5"/>
    <sheet name="MOVIMIENTO INDUSTRIAL" sheetId="14" r:id="rId6"/>
    <sheet name="REMANENTE XV-I" sheetId="17" r:id="rId7"/>
    <sheet name="REMANENTE CESIONES ANCHOVETA XV" sheetId="16" r:id="rId8"/>
    <sheet name="P. Investigación" sheetId="4" r:id="rId9"/>
    <sheet name="Publicacion web" sheetId="6" r:id="rId10"/>
  </sheets>
  <externalReferences>
    <externalReference r:id="rId11"/>
    <externalReference r:id="rId12"/>
  </externalReferences>
  <definedNames>
    <definedName name="_xlnm._FilterDatabase" localSheetId="3" hidden="1">'Cesiones ind y colec'!$B$2:$O$199</definedName>
    <definedName name="_xlnm._FilterDatabase" localSheetId="9" hidden="1">'Publicacion web'!$A$1:$Q$66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I36" i="1"/>
  <c r="I35" i="1"/>
  <c r="H21" i="1"/>
  <c r="J9" i="1" l="1"/>
  <c r="J33" i="1"/>
  <c r="S5" i="5"/>
  <c r="J54" i="5"/>
  <c r="H11" i="1"/>
  <c r="H9" i="1"/>
  <c r="E35" i="1"/>
  <c r="I77" i="16" l="1"/>
  <c r="M57" i="16"/>
  <c r="L57" i="16"/>
  <c r="K57" i="16"/>
  <c r="J57" i="16"/>
  <c r="L14" i="16"/>
  <c r="M14" i="16" s="1"/>
  <c r="K14" i="16"/>
  <c r="J14" i="16"/>
  <c r="L6" i="16"/>
  <c r="M6" i="16" s="1"/>
  <c r="K6" i="16"/>
  <c r="J6" i="16"/>
  <c r="L5" i="16"/>
  <c r="K5" i="16"/>
  <c r="J5" i="16"/>
  <c r="H44" i="17"/>
  <c r="G44" i="17"/>
  <c r="F44" i="17"/>
  <c r="E44" i="17"/>
  <c r="I43" i="17"/>
  <c r="I44" i="17" s="1"/>
  <c r="N40" i="17" s="1"/>
  <c r="I42" i="17"/>
  <c r="J42" i="17" s="1"/>
  <c r="N41" i="17"/>
  <c r="J41" i="17"/>
  <c r="O39" i="17"/>
  <c r="M38" i="17"/>
  <c r="O38" i="17" s="1"/>
  <c r="O37" i="17"/>
  <c r="F37" i="17"/>
  <c r="P31" i="17"/>
  <c r="R31" i="17" s="1"/>
  <c r="O31" i="17"/>
  <c r="Q31" i="17" s="1"/>
  <c r="N31" i="17"/>
  <c r="M31" i="17"/>
  <c r="K31" i="17"/>
  <c r="J31" i="17"/>
  <c r="H31" i="17"/>
  <c r="P6" i="17"/>
  <c r="R6" i="17" s="1"/>
  <c r="N6" i="17"/>
  <c r="M6" i="17"/>
  <c r="O6" i="17" s="1"/>
  <c r="Q6" i="17" s="1"/>
  <c r="K6" i="17"/>
  <c r="H6" i="17"/>
  <c r="J6" i="17" s="1"/>
  <c r="B2" i="17"/>
  <c r="H33" i="1"/>
  <c r="N43" i="17" l="1"/>
  <c r="N46" i="17" s="1"/>
  <c r="Q40" i="17"/>
  <c r="M46" i="17"/>
  <c r="M47" i="17" s="1"/>
  <c r="M43" i="17"/>
  <c r="M44" i="17" s="1"/>
  <c r="O40" i="17"/>
  <c r="O43" i="17"/>
  <c r="O44" i="17" s="1"/>
  <c r="J43" i="17"/>
  <c r="J44" i="17" s="1"/>
  <c r="I12" i="7" l="1"/>
  <c r="E11" i="1" l="1"/>
  <c r="H31" i="1"/>
  <c r="G31" i="1"/>
  <c r="G26" i="1"/>
  <c r="I29" i="1" l="1"/>
  <c r="R6" i="5" l="1"/>
  <c r="F13" i="3"/>
  <c r="F12" i="3"/>
  <c r="G10" i="1"/>
  <c r="F46" i="3"/>
  <c r="F45" i="3"/>
  <c r="L45" i="3" s="1"/>
  <c r="F11" i="3"/>
  <c r="F31" i="1"/>
  <c r="G34" i="1" l="1"/>
  <c r="H34" i="1"/>
  <c r="F34" i="1"/>
  <c r="F52" i="3"/>
  <c r="L47" i="3"/>
  <c r="F30" i="1"/>
  <c r="F32" i="3" l="1"/>
  <c r="H120" i="5"/>
  <c r="R5" i="5" s="1"/>
  <c r="F33" i="1" l="1"/>
  <c r="F35" i="1" s="1"/>
  <c r="R7" i="5"/>
  <c r="I11" i="7"/>
  <c r="N138" i="5" l="1"/>
  <c r="J110" i="5" l="1"/>
  <c r="O13" i="2"/>
  <c r="Q13" i="2"/>
  <c r="E35" i="3" l="1"/>
  <c r="F50" i="3" l="1"/>
  <c r="G20" i="14"/>
  <c r="H20" i="14"/>
  <c r="G19" i="14"/>
  <c r="F34" i="3"/>
  <c r="F33" i="3"/>
  <c r="H19" i="14"/>
  <c r="G16" i="14"/>
  <c r="K110" i="5"/>
  <c r="G45" i="3"/>
  <c r="E52" i="3"/>
  <c r="G17" i="14" l="1"/>
  <c r="H16" i="14"/>
  <c r="M167" i="5" l="1"/>
  <c r="K16" i="5" l="1"/>
  <c r="J16" i="5"/>
  <c r="K5" i="5" l="1"/>
  <c r="H41" i="6" l="1"/>
  <c r="K41" i="6"/>
  <c r="O41" i="6"/>
  <c r="H36" i="6"/>
  <c r="K36" i="6"/>
  <c r="O36" i="6"/>
  <c r="E36" i="6"/>
  <c r="E41" i="6"/>
  <c r="H23" i="6"/>
  <c r="K23" i="6"/>
  <c r="O23" i="6"/>
  <c r="H24" i="6"/>
  <c r="K24" i="6"/>
  <c r="O24" i="6"/>
  <c r="E24" i="6"/>
  <c r="E23" i="6"/>
  <c r="I23" i="6"/>
  <c r="N32" i="3"/>
  <c r="L33" i="3"/>
  <c r="N33" i="3"/>
  <c r="G33" i="3"/>
  <c r="J24" i="6" s="1"/>
  <c r="I24" i="6"/>
  <c r="G32" i="3"/>
  <c r="I32" i="3" s="1"/>
  <c r="L23" i="6" s="1"/>
  <c r="K32" i="3"/>
  <c r="L50" i="3"/>
  <c r="M50" i="3" s="1"/>
  <c r="O50" i="3" s="1"/>
  <c r="N50" i="3"/>
  <c r="G50" i="3"/>
  <c r="I41" i="6"/>
  <c r="I36" i="6"/>
  <c r="K50" i="3"/>
  <c r="H17" i="14"/>
  <c r="F13" i="14"/>
  <c r="J41" i="6" l="1"/>
  <c r="J50" i="3"/>
  <c r="M41" i="6" s="1"/>
  <c r="J23" i="6"/>
  <c r="I33" i="3"/>
  <c r="L24" i="6" s="1"/>
  <c r="J33" i="3"/>
  <c r="M24" i="6" s="1"/>
  <c r="L32" i="3"/>
  <c r="M32" i="3" s="1"/>
  <c r="O32" i="3" s="1"/>
  <c r="I50" i="3"/>
  <c r="L41" i="6" s="1"/>
  <c r="J32" i="3"/>
  <c r="M23" i="6" s="1"/>
  <c r="P32" i="3"/>
  <c r="P50" i="3"/>
  <c r="F9" i="14"/>
  <c r="H9" i="14" s="1"/>
  <c r="F14" i="3" l="1"/>
  <c r="G14" i="3" l="1"/>
  <c r="K199" i="5"/>
  <c r="J199" i="5"/>
  <c r="I14" i="3" l="1"/>
  <c r="J14" i="3"/>
  <c r="K193" i="5" l="1"/>
  <c r="J193" i="5"/>
  <c r="K185" i="5"/>
  <c r="J185" i="5"/>
  <c r="J172" i="5"/>
  <c r="N25" i="5" l="1"/>
  <c r="K33" i="3" l="1"/>
  <c r="M33" i="3" s="1"/>
  <c r="J36" i="6"/>
  <c r="K45" i="3"/>
  <c r="O33" i="3" l="1"/>
  <c r="P33" i="3"/>
  <c r="J45" i="3"/>
  <c r="M36" i="6" s="1"/>
  <c r="I45" i="3"/>
  <c r="L36" i="6" s="1"/>
  <c r="J14" i="1" l="1"/>
  <c r="I14" i="1"/>
  <c r="H14" i="1"/>
  <c r="G14" i="1"/>
  <c r="H16" i="1"/>
  <c r="G12" i="1"/>
  <c r="S6" i="5"/>
  <c r="I16" i="1" l="1"/>
  <c r="J16" i="1"/>
  <c r="J12" i="1"/>
  <c r="G16" i="1"/>
  <c r="I12" i="1"/>
  <c r="H12" i="1"/>
  <c r="U6" i="5"/>
  <c r="J34" i="1" s="1"/>
  <c r="H10" i="1" l="1"/>
  <c r="S7" i="5"/>
  <c r="U7" i="5" s="1"/>
  <c r="K54" i="5"/>
  <c r="J120" i="5" l="1"/>
  <c r="I10" i="1" l="1"/>
  <c r="H6" i="6" l="1"/>
  <c r="K6" i="6"/>
  <c r="O6" i="6"/>
  <c r="E6" i="6"/>
  <c r="H13" i="14" l="1"/>
  <c r="F12" i="14"/>
  <c r="H12" i="14" s="1"/>
  <c r="F11" i="14"/>
  <c r="H11" i="14" s="1"/>
  <c r="F10" i="14"/>
  <c r="H10" i="14" s="1"/>
  <c r="N15" i="3" l="1"/>
  <c r="L14" i="3"/>
  <c r="K15" i="3"/>
  <c r="I6" i="6"/>
  <c r="G15" i="3" l="1"/>
  <c r="J15" i="3" s="1"/>
  <c r="M6" i="6" s="1"/>
  <c r="L15" i="3"/>
  <c r="M15" i="3" s="1"/>
  <c r="P15" i="3" s="1"/>
  <c r="N114" i="5"/>
  <c r="O114" i="5" s="1"/>
  <c r="O15" i="3" l="1"/>
  <c r="I15" i="3"/>
  <c r="L6" i="6" s="1"/>
  <c r="J6" i="6"/>
  <c r="H12" i="7" l="1"/>
  <c r="K172" i="5" l="1"/>
  <c r="F29" i="3"/>
  <c r="G29" i="3" s="1"/>
  <c r="I29" i="3" s="1"/>
  <c r="N155" i="5"/>
  <c r="O155" i="5" s="1"/>
  <c r="F38" i="3"/>
  <c r="E23" i="1" l="1"/>
  <c r="K120" i="5" l="1"/>
  <c r="F37" i="3"/>
  <c r="G37" i="3" s="1"/>
  <c r="N30" i="3" l="1"/>
  <c r="O21" i="6"/>
  <c r="K21" i="6"/>
  <c r="H21" i="6"/>
  <c r="E21" i="6"/>
  <c r="F30" i="3"/>
  <c r="G30" i="3" s="1"/>
  <c r="F28" i="3"/>
  <c r="K30" i="3"/>
  <c r="J30" i="3" l="1"/>
  <c r="M21" i="6" s="1"/>
  <c r="J21" i="6"/>
  <c r="I30" i="3"/>
  <c r="L21" i="6" s="1"/>
  <c r="P30" i="3"/>
  <c r="I21" i="6"/>
  <c r="L30" i="3"/>
  <c r="M30" i="3" s="1"/>
  <c r="O30" i="3"/>
  <c r="H40" i="6"/>
  <c r="I40" i="6"/>
  <c r="K40" i="6"/>
  <c r="L40" i="6"/>
  <c r="O40" i="6"/>
  <c r="E40" i="6"/>
  <c r="N49" i="3"/>
  <c r="L49" i="3"/>
  <c r="G49" i="3"/>
  <c r="I49" i="3" s="1"/>
  <c r="K49" i="3"/>
  <c r="M49" i="3" s="1"/>
  <c r="F51" i="3"/>
  <c r="O49" i="3" l="1"/>
  <c r="J40" i="6"/>
  <c r="P49" i="3"/>
  <c r="J49" i="3"/>
  <c r="M40" i="6" s="1"/>
  <c r="G16" i="3"/>
  <c r="J16" i="3"/>
  <c r="K16" i="3"/>
  <c r="L16" i="3"/>
  <c r="K104" i="5" l="1"/>
  <c r="J104" i="5"/>
  <c r="L13" i="3"/>
  <c r="K13" i="3"/>
  <c r="K12" i="3"/>
  <c r="K11" i="3"/>
  <c r="K97" i="5"/>
  <c r="J97" i="5"/>
  <c r="M13" i="3" l="1"/>
  <c r="J5" i="5"/>
  <c r="T5" i="3"/>
  <c r="K12" i="7" l="1"/>
  <c r="F47" i="3" l="1"/>
  <c r="N30" i="5"/>
  <c r="O30" i="5" s="1"/>
  <c r="F41" i="3"/>
  <c r="T6" i="5" l="1"/>
  <c r="I34" i="1" s="1"/>
  <c r="O25" i="5"/>
  <c r="U5" i="5" l="1"/>
  <c r="T5" i="5" l="1"/>
  <c r="J10" i="1"/>
  <c r="G33" i="1"/>
  <c r="I33" i="1" l="1"/>
  <c r="T7" i="5"/>
  <c r="O53" i="6"/>
  <c r="K53" i="6"/>
  <c r="I53" i="6"/>
  <c r="H53" i="6"/>
  <c r="E53" i="6"/>
  <c r="H13" i="2"/>
  <c r="L13" i="2" s="1"/>
  <c r="M53" i="6" s="1"/>
  <c r="N13" i="2"/>
  <c r="P13" i="2" s="1"/>
  <c r="R13" i="2" l="1"/>
  <c r="S13" i="2"/>
  <c r="K13" i="2"/>
  <c r="L53" i="6" s="1"/>
  <c r="J53" i="6"/>
  <c r="O10" i="6"/>
  <c r="I10" i="6"/>
  <c r="K10" i="6"/>
  <c r="H10" i="6"/>
  <c r="E10" i="6"/>
  <c r="H7" i="6"/>
  <c r="I16" i="3" l="1"/>
  <c r="E42" i="6"/>
  <c r="H42" i="6"/>
  <c r="K42" i="6"/>
  <c r="O42" i="6"/>
  <c r="G51" i="3"/>
  <c r="I51" i="3" s="1"/>
  <c r="L42" i="6" s="1"/>
  <c r="K51" i="3"/>
  <c r="N51" i="3"/>
  <c r="I42" i="6"/>
  <c r="E25" i="6"/>
  <c r="H25" i="6"/>
  <c r="I25" i="6"/>
  <c r="K25" i="6"/>
  <c r="O25" i="6"/>
  <c r="L34" i="3"/>
  <c r="G34" i="3"/>
  <c r="J34" i="3" s="1"/>
  <c r="M25" i="6" s="1"/>
  <c r="K34" i="3"/>
  <c r="N34" i="3"/>
  <c r="J42" i="6" l="1"/>
  <c r="L51" i="3"/>
  <c r="M51" i="3" s="1"/>
  <c r="M34" i="3"/>
  <c r="O34" i="3" s="1"/>
  <c r="J25" i="6"/>
  <c r="J51" i="3"/>
  <c r="M42" i="6" s="1"/>
  <c r="I34" i="3"/>
  <c r="L25" i="6" s="1"/>
  <c r="O51" i="3" l="1"/>
  <c r="P51" i="3"/>
  <c r="P34" i="3"/>
  <c r="N59" i="6"/>
  <c r="G19" i="3" l="1"/>
  <c r="K19" i="3"/>
  <c r="N19" i="3"/>
  <c r="I19" i="3" l="1"/>
  <c r="L10" i="6" s="1"/>
  <c r="J10" i="6"/>
  <c r="L19" i="3"/>
  <c r="M19" i="3" s="1"/>
  <c r="J19" i="3"/>
  <c r="M10" i="6" s="1"/>
  <c r="O19" i="3" l="1"/>
  <c r="P19" i="3"/>
  <c r="H52" i="6" l="1"/>
  <c r="I52" i="6"/>
  <c r="K52" i="6"/>
  <c r="O52" i="6"/>
  <c r="E52" i="6"/>
  <c r="N12" i="2"/>
  <c r="O12" i="2"/>
  <c r="Q12" i="2"/>
  <c r="H12" i="2"/>
  <c r="J52" i="6" s="1"/>
  <c r="K12" i="2" l="1"/>
  <c r="L52" i="6" s="1"/>
  <c r="L12" i="2"/>
  <c r="M52" i="6" s="1"/>
  <c r="P12" i="2"/>
  <c r="S12" i="2" s="1"/>
  <c r="R12" i="2" l="1"/>
  <c r="K4" i="6" l="1"/>
  <c r="O4" i="6"/>
  <c r="K5" i="6"/>
  <c r="O5" i="6"/>
  <c r="K7" i="6"/>
  <c r="O7" i="6"/>
  <c r="I4" i="6"/>
  <c r="I5" i="6"/>
  <c r="H4" i="6"/>
  <c r="H5" i="6"/>
  <c r="E4" i="6"/>
  <c r="E5" i="6"/>
  <c r="N13" i="3"/>
  <c r="P13" i="3" s="1"/>
  <c r="K14" i="3"/>
  <c r="M14" i="3" s="1"/>
  <c r="N14" i="3"/>
  <c r="G13" i="3"/>
  <c r="M5" i="6"/>
  <c r="E17" i="3"/>
  <c r="H25" i="1"/>
  <c r="E2" i="6"/>
  <c r="E3" i="6"/>
  <c r="E7" i="6"/>
  <c r="P14" i="3" l="1"/>
  <c r="O14" i="3"/>
  <c r="J13" i="3"/>
  <c r="I13" i="3"/>
  <c r="J4" i="6"/>
  <c r="L5" i="6"/>
  <c r="J5" i="6"/>
  <c r="H65" i="6"/>
  <c r="I65" i="6"/>
  <c r="K65" i="6"/>
  <c r="O65" i="6"/>
  <c r="K61" i="6"/>
  <c r="I61" i="6"/>
  <c r="H61" i="6"/>
  <c r="O61" i="6"/>
  <c r="H55" i="6"/>
  <c r="I55" i="6"/>
  <c r="K55" i="6"/>
  <c r="O55" i="6"/>
  <c r="L4" i="6" l="1"/>
  <c r="M4" i="6"/>
  <c r="O48" i="6"/>
  <c r="N48" i="6"/>
  <c r="K48" i="6"/>
  <c r="I48" i="6"/>
  <c r="H48" i="6"/>
  <c r="O13" i="3" l="1"/>
  <c r="N8" i="2" l="1"/>
  <c r="O54" i="6" l="1"/>
  <c r="K54" i="6"/>
  <c r="I54" i="6"/>
  <c r="H54" i="6"/>
  <c r="E54" i="6"/>
  <c r="O14" i="2"/>
  <c r="Q14" i="2"/>
  <c r="H14" i="2"/>
  <c r="N14" i="2"/>
  <c r="L14" i="2" l="1"/>
  <c r="M54" i="6" s="1"/>
  <c r="K14" i="2"/>
  <c r="L54" i="6" s="1"/>
  <c r="J54" i="6"/>
  <c r="P14" i="2"/>
  <c r="R14" i="2" s="1"/>
  <c r="K37" i="3"/>
  <c r="L37" i="3"/>
  <c r="N37" i="3"/>
  <c r="K38" i="3"/>
  <c r="L38" i="3"/>
  <c r="N38" i="3"/>
  <c r="N36" i="3"/>
  <c r="L36" i="3"/>
  <c r="K36" i="3"/>
  <c r="H9" i="2"/>
  <c r="J48" i="6" s="1"/>
  <c r="L12" i="3"/>
  <c r="N12" i="3"/>
  <c r="N16" i="3"/>
  <c r="N11" i="3"/>
  <c r="L11" i="3"/>
  <c r="B4" i="2"/>
  <c r="L17" i="3" l="1"/>
  <c r="F29" i="1" s="1"/>
  <c r="M37" i="3"/>
  <c r="P37" i="3" s="1"/>
  <c r="S14" i="2"/>
  <c r="M12" i="3"/>
  <c r="M16" i="3"/>
  <c r="O16" i="3" s="1"/>
  <c r="M38" i="3"/>
  <c r="O38" i="3" s="1"/>
  <c r="E29" i="1"/>
  <c r="O12" i="3" l="1"/>
  <c r="P12" i="3"/>
  <c r="O37" i="3"/>
  <c r="P38" i="3"/>
  <c r="P16" i="3"/>
  <c r="P8" i="7" l="1"/>
  <c r="N8" i="7"/>
  <c r="F20" i="1" s="1"/>
  <c r="M8" i="7"/>
  <c r="P7" i="7"/>
  <c r="N7" i="7"/>
  <c r="F19" i="1" s="1"/>
  <c r="M7" i="7"/>
  <c r="E19" i="1" s="1"/>
  <c r="Q8" i="2"/>
  <c r="O8" i="2"/>
  <c r="Q7" i="2"/>
  <c r="O7" i="2"/>
  <c r="N7" i="2"/>
  <c r="P7" i="2" l="1"/>
  <c r="N46" i="6" l="1"/>
  <c r="E9" i="1" l="1"/>
  <c r="F9" i="1"/>
  <c r="H45" i="6" l="1"/>
  <c r="I45" i="6"/>
  <c r="K45" i="6"/>
  <c r="G9" i="1"/>
  <c r="R7" i="2" l="1"/>
  <c r="I9" i="1" s="1"/>
  <c r="J45" i="6"/>
  <c r="S7" i="2"/>
  <c r="C4" i="4" l="1"/>
  <c r="I7" i="6" l="1"/>
  <c r="L7" i="6" l="1"/>
  <c r="J7" i="6"/>
  <c r="M7" i="6"/>
  <c r="E39" i="3" l="1"/>
  <c r="H27" i="1"/>
  <c r="G28" i="1"/>
  <c r="G27" i="1"/>
  <c r="F24" i="1"/>
  <c r="H24" i="1"/>
  <c r="F23" i="1"/>
  <c r="H23" i="1"/>
  <c r="E24" i="1"/>
  <c r="F18" i="1"/>
  <c r="H18" i="1"/>
  <c r="F17" i="1"/>
  <c r="H17" i="1"/>
  <c r="E18" i="1"/>
  <c r="E17" i="1"/>
  <c r="N9" i="7"/>
  <c r="P9" i="7"/>
  <c r="M9" i="7"/>
  <c r="M10" i="7"/>
  <c r="N10" i="7"/>
  <c r="F21" i="1" s="1"/>
  <c r="P10" i="7"/>
  <c r="M12" i="7"/>
  <c r="N12" i="7"/>
  <c r="P12" i="7"/>
  <c r="H9" i="7"/>
  <c r="O15" i="2"/>
  <c r="Q15" i="2"/>
  <c r="N15" i="2"/>
  <c r="O9" i="2"/>
  <c r="Q9" i="2"/>
  <c r="N9" i="2"/>
  <c r="H15" i="2"/>
  <c r="G17" i="1"/>
  <c r="E64" i="6"/>
  <c r="I64" i="6"/>
  <c r="K64" i="6"/>
  <c r="H64" i="6"/>
  <c r="I62" i="6"/>
  <c r="K62" i="6"/>
  <c r="E62" i="6"/>
  <c r="H62" i="6"/>
  <c r="I59" i="6"/>
  <c r="K59" i="6"/>
  <c r="H59" i="6"/>
  <c r="E59" i="6"/>
  <c r="E57" i="6"/>
  <c r="I57" i="6"/>
  <c r="K57" i="6"/>
  <c r="H57" i="6"/>
  <c r="P11" i="7"/>
  <c r="H22" i="1" s="1"/>
  <c r="N11" i="7"/>
  <c r="F22" i="1" s="1"/>
  <c r="M11" i="7"/>
  <c r="E22" i="1" s="1"/>
  <c r="H11" i="7"/>
  <c r="H10" i="7"/>
  <c r="J62" i="6" s="1"/>
  <c r="H20" i="1"/>
  <c r="H8" i="7"/>
  <c r="J8" i="7" s="1"/>
  <c r="H19" i="1"/>
  <c r="H7" i="7"/>
  <c r="J7" i="7" s="1"/>
  <c r="B4" i="7"/>
  <c r="G23" i="1" l="1"/>
  <c r="I23" i="1" s="1"/>
  <c r="J61" i="6"/>
  <c r="P15" i="2"/>
  <c r="S15" i="2" s="1"/>
  <c r="J55" i="6"/>
  <c r="M65" i="6"/>
  <c r="J65" i="6"/>
  <c r="K11" i="7"/>
  <c r="M64" i="6" s="1"/>
  <c r="E31" i="1"/>
  <c r="H30" i="6"/>
  <c r="O7" i="7"/>
  <c r="G19" i="1" s="1"/>
  <c r="I19" i="1" s="1"/>
  <c r="O8" i="7"/>
  <c r="G20" i="1" s="1"/>
  <c r="I20" i="1" s="1"/>
  <c r="I60" i="6"/>
  <c r="I66" i="6"/>
  <c r="G24" i="1"/>
  <c r="J24" i="1" s="1"/>
  <c r="P5" i="4"/>
  <c r="J10" i="7"/>
  <c r="L62" i="6" s="1"/>
  <c r="L59" i="6"/>
  <c r="J59" i="6"/>
  <c r="L9" i="2"/>
  <c r="M48" i="6" s="1"/>
  <c r="O11" i="7"/>
  <c r="H58" i="6"/>
  <c r="H60" i="6"/>
  <c r="J64" i="6"/>
  <c r="H66" i="6"/>
  <c r="E20" i="1"/>
  <c r="L15" i="2"/>
  <c r="M55" i="6" s="1"/>
  <c r="J9" i="7"/>
  <c r="L61" i="6" s="1"/>
  <c r="K9" i="7"/>
  <c r="O9" i="7"/>
  <c r="Q9" i="7" s="1"/>
  <c r="G18" i="1"/>
  <c r="J18" i="1" s="1"/>
  <c r="K10" i="7"/>
  <c r="J11" i="7"/>
  <c r="L64" i="6" s="1"/>
  <c r="L57" i="6"/>
  <c r="J57" i="6"/>
  <c r="K58" i="6"/>
  <c r="I58" i="6"/>
  <c r="I63" i="6"/>
  <c r="K9" i="2"/>
  <c r="L48" i="6" s="1"/>
  <c r="K15" i="2"/>
  <c r="L55" i="6" s="1"/>
  <c r="P9" i="2"/>
  <c r="R9" i="2" s="1"/>
  <c r="J12" i="7"/>
  <c r="L65" i="6" s="1"/>
  <c r="O12" i="7"/>
  <c r="R12" i="7" s="1"/>
  <c r="O10" i="7"/>
  <c r="R10" i="7" s="1"/>
  <c r="K66" i="6"/>
  <c r="I17" i="1"/>
  <c r="J17" i="1"/>
  <c r="I27" i="1"/>
  <c r="J27" i="1"/>
  <c r="K63" i="6"/>
  <c r="K60" i="6"/>
  <c r="H63" i="6"/>
  <c r="E21" i="1"/>
  <c r="K7" i="7"/>
  <c r="M57" i="6" s="1"/>
  <c r="K8" i="7"/>
  <c r="M59" i="6" s="1"/>
  <c r="I37" i="6"/>
  <c r="I12" i="6"/>
  <c r="B7" i="3"/>
  <c r="G25" i="1"/>
  <c r="I51" i="6"/>
  <c r="K51" i="6"/>
  <c r="H51" i="6"/>
  <c r="H49" i="6"/>
  <c r="I49" i="6"/>
  <c r="K49" i="6"/>
  <c r="I46" i="6"/>
  <c r="K46" i="6"/>
  <c r="H46" i="6"/>
  <c r="I44" i="6"/>
  <c r="K44" i="6"/>
  <c r="H44" i="6"/>
  <c r="I31" i="6"/>
  <c r="K31" i="6"/>
  <c r="I32" i="6"/>
  <c r="K32" i="6"/>
  <c r="I33" i="6"/>
  <c r="K33" i="6"/>
  <c r="I34" i="6"/>
  <c r="K34" i="6"/>
  <c r="I35" i="6"/>
  <c r="K35" i="6"/>
  <c r="K37" i="6"/>
  <c r="I38" i="6"/>
  <c r="K38" i="6"/>
  <c r="I39" i="6"/>
  <c r="K39" i="6"/>
  <c r="H32" i="6"/>
  <c r="H33" i="6"/>
  <c r="H34" i="6"/>
  <c r="H35" i="6"/>
  <c r="H37" i="6"/>
  <c r="H38" i="6"/>
  <c r="H39" i="6"/>
  <c r="H31" i="6"/>
  <c r="I29" i="6"/>
  <c r="K29" i="6"/>
  <c r="H29" i="6"/>
  <c r="I28" i="6"/>
  <c r="K28" i="6"/>
  <c r="H28" i="6"/>
  <c r="I27" i="6"/>
  <c r="K27" i="6"/>
  <c r="H27" i="6"/>
  <c r="I9" i="6"/>
  <c r="K9" i="6"/>
  <c r="I11" i="6"/>
  <c r="K11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I20" i="6"/>
  <c r="K20" i="6"/>
  <c r="I22" i="6"/>
  <c r="K22" i="6"/>
  <c r="H11" i="6"/>
  <c r="H12" i="6"/>
  <c r="H13" i="6"/>
  <c r="H14" i="6"/>
  <c r="H15" i="6"/>
  <c r="H16" i="6"/>
  <c r="H17" i="6"/>
  <c r="H18" i="6"/>
  <c r="H19" i="6"/>
  <c r="H20" i="6"/>
  <c r="H22" i="6"/>
  <c r="H9" i="6"/>
  <c r="I3" i="6"/>
  <c r="K3" i="6"/>
  <c r="H3" i="6"/>
  <c r="I2" i="6"/>
  <c r="K2" i="6"/>
  <c r="H2" i="6"/>
  <c r="O3" i="6"/>
  <c r="O8" i="6"/>
  <c r="O9" i="6"/>
  <c r="O11" i="6"/>
  <c r="O12" i="6"/>
  <c r="O13" i="6"/>
  <c r="O14" i="6"/>
  <c r="O15" i="6"/>
  <c r="O16" i="6"/>
  <c r="O17" i="6"/>
  <c r="O18" i="6"/>
  <c r="O19" i="6"/>
  <c r="O20" i="6"/>
  <c r="O22" i="6"/>
  <c r="O26" i="6"/>
  <c r="O27" i="6"/>
  <c r="O28" i="6"/>
  <c r="O29" i="6"/>
  <c r="O30" i="6"/>
  <c r="O31" i="6"/>
  <c r="O32" i="6"/>
  <c r="O33" i="6"/>
  <c r="O34" i="6"/>
  <c r="O35" i="6"/>
  <c r="O37" i="6"/>
  <c r="O38" i="6"/>
  <c r="O39" i="6"/>
  <c r="O43" i="6"/>
  <c r="O44" i="6"/>
  <c r="O45" i="6"/>
  <c r="O46" i="6"/>
  <c r="O47" i="6"/>
  <c r="O49" i="6"/>
  <c r="O50" i="6"/>
  <c r="O51" i="6"/>
  <c r="O56" i="6"/>
  <c r="O57" i="6"/>
  <c r="O58" i="6"/>
  <c r="O59" i="6"/>
  <c r="O60" i="6"/>
  <c r="O62" i="6"/>
  <c r="O63" i="6"/>
  <c r="O64" i="6"/>
  <c r="O66" i="6"/>
  <c r="O2" i="6"/>
  <c r="E51" i="6"/>
  <c r="E49" i="6"/>
  <c r="E46" i="6"/>
  <c r="E44" i="6"/>
  <c r="E32" i="6"/>
  <c r="E33" i="6"/>
  <c r="E34" i="6"/>
  <c r="E35" i="6"/>
  <c r="E37" i="6"/>
  <c r="E38" i="6"/>
  <c r="E39" i="6"/>
  <c r="E31" i="6"/>
  <c r="E29" i="6"/>
  <c r="E28" i="6"/>
  <c r="E27" i="6"/>
  <c r="E19" i="6"/>
  <c r="E20" i="6"/>
  <c r="E22" i="6"/>
  <c r="E11" i="6"/>
  <c r="E12" i="6"/>
  <c r="E13" i="6"/>
  <c r="E14" i="6"/>
  <c r="E15" i="6"/>
  <c r="E16" i="6"/>
  <c r="E17" i="6"/>
  <c r="E18" i="6"/>
  <c r="E9" i="6"/>
  <c r="N42" i="3"/>
  <c r="N41" i="3"/>
  <c r="N40" i="3"/>
  <c r="N43" i="3"/>
  <c r="N44" i="3"/>
  <c r="N46" i="3"/>
  <c r="N47" i="3"/>
  <c r="N48" i="3"/>
  <c r="L42" i="3"/>
  <c r="L43" i="3"/>
  <c r="L44" i="3"/>
  <c r="L46" i="3"/>
  <c r="L52" i="3" s="1"/>
  <c r="F32" i="1" s="1"/>
  <c r="L48" i="3"/>
  <c r="L41" i="3"/>
  <c r="L40" i="3"/>
  <c r="K41" i="3"/>
  <c r="K42" i="3"/>
  <c r="K43" i="3"/>
  <c r="K44" i="3"/>
  <c r="K46" i="3"/>
  <c r="K47" i="3"/>
  <c r="K48" i="3"/>
  <c r="K40" i="3"/>
  <c r="N18" i="3"/>
  <c r="K20" i="3"/>
  <c r="L20" i="3"/>
  <c r="N20" i="3"/>
  <c r="K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K31" i="3"/>
  <c r="L31" i="3"/>
  <c r="N31" i="3"/>
  <c r="L18" i="3"/>
  <c r="K18" i="3"/>
  <c r="G41" i="3"/>
  <c r="J32" i="6" s="1"/>
  <c r="G42" i="3"/>
  <c r="I42" i="3" s="1"/>
  <c r="L33" i="6" s="1"/>
  <c r="G43" i="3"/>
  <c r="J34" i="6" s="1"/>
  <c r="G44" i="3"/>
  <c r="I44" i="3" s="1"/>
  <c r="L35" i="6" s="1"/>
  <c r="G46" i="3"/>
  <c r="J37" i="6" s="1"/>
  <c r="G47" i="3"/>
  <c r="I47" i="3" s="1"/>
  <c r="L38" i="6" s="1"/>
  <c r="G48" i="3"/>
  <c r="J39" i="6" s="1"/>
  <c r="G40" i="3"/>
  <c r="I40" i="3" s="1"/>
  <c r="L31" i="6" s="1"/>
  <c r="G38" i="3"/>
  <c r="J38" i="3" s="1"/>
  <c r="M29" i="6" s="1"/>
  <c r="J28" i="6"/>
  <c r="G36" i="3"/>
  <c r="J27" i="6" s="1"/>
  <c r="G20" i="3"/>
  <c r="J20" i="3" s="1"/>
  <c r="M11" i="6" s="1"/>
  <c r="G22" i="3"/>
  <c r="I22" i="3" s="1"/>
  <c r="L13" i="6" s="1"/>
  <c r="G23" i="3"/>
  <c r="I23" i="3" s="1"/>
  <c r="L14" i="6" s="1"/>
  <c r="G24" i="3"/>
  <c r="J24" i="3" s="1"/>
  <c r="M15" i="6" s="1"/>
  <c r="G25" i="3"/>
  <c r="G26" i="3"/>
  <c r="I26" i="3" s="1"/>
  <c r="L17" i="6" s="1"/>
  <c r="G27" i="3"/>
  <c r="G28" i="3"/>
  <c r="I28" i="3" s="1"/>
  <c r="L19" i="6" s="1"/>
  <c r="L20" i="6"/>
  <c r="G31" i="3"/>
  <c r="J31" i="3" s="1"/>
  <c r="M22" i="6" s="1"/>
  <c r="G18" i="3"/>
  <c r="I18" i="3" s="1"/>
  <c r="L9" i="6" s="1"/>
  <c r="G12" i="3"/>
  <c r="G11" i="3"/>
  <c r="J11" i="3" s="1"/>
  <c r="M2" i="6" s="1"/>
  <c r="Q10" i="2"/>
  <c r="K50" i="6" s="1"/>
  <c r="O10" i="2"/>
  <c r="F13" i="1" s="1"/>
  <c r="Q11" i="2"/>
  <c r="H15" i="1" s="1"/>
  <c r="O11" i="2"/>
  <c r="N11" i="2"/>
  <c r="E15" i="1" s="1"/>
  <c r="N10" i="2"/>
  <c r="H50" i="6" s="1"/>
  <c r="I47" i="6"/>
  <c r="H47" i="6"/>
  <c r="H11" i="2"/>
  <c r="J51" i="6" s="1"/>
  <c r="H10" i="2"/>
  <c r="H8" i="2"/>
  <c r="L8" i="2" s="1"/>
  <c r="M46" i="6" s="1"/>
  <c r="H7" i="2"/>
  <c r="K7" i="2" s="1"/>
  <c r="J23" i="1" l="1"/>
  <c r="M29" i="3"/>
  <c r="P29" i="3" s="1"/>
  <c r="K10" i="2"/>
  <c r="L49" i="6" s="1"/>
  <c r="G13" i="1"/>
  <c r="L7" i="2"/>
  <c r="M44" i="6" s="1"/>
  <c r="R11" i="7"/>
  <c r="M66" i="6" s="1"/>
  <c r="I12" i="3"/>
  <c r="L3" i="6" s="1"/>
  <c r="J12" i="3"/>
  <c r="M3" i="6" s="1"/>
  <c r="J27" i="3"/>
  <c r="M18" i="6" s="1"/>
  <c r="I25" i="3"/>
  <c r="L16" i="6" s="1"/>
  <c r="J25" i="3"/>
  <c r="M16" i="6" s="1"/>
  <c r="H56" i="6"/>
  <c r="R15" i="2"/>
  <c r="M61" i="6"/>
  <c r="M62" i="6"/>
  <c r="F15" i="1"/>
  <c r="I56" i="6" s="1"/>
  <c r="P11" i="2"/>
  <c r="G15" i="1" s="1"/>
  <c r="M44" i="3"/>
  <c r="O44" i="3" s="1"/>
  <c r="J43" i="3"/>
  <c r="M34" i="6" s="1"/>
  <c r="M48" i="3"/>
  <c r="O48" i="3" s="1"/>
  <c r="M36" i="3"/>
  <c r="O36" i="3" s="1"/>
  <c r="M47" i="3"/>
  <c r="P47" i="3" s="1"/>
  <c r="M42" i="3"/>
  <c r="O42" i="3" s="1"/>
  <c r="M43" i="3"/>
  <c r="P43" i="3" s="1"/>
  <c r="J63" i="6"/>
  <c r="J58" i="6"/>
  <c r="Q11" i="7"/>
  <c r="L66" i="6" s="1"/>
  <c r="Q7" i="7"/>
  <c r="L58" i="6" s="1"/>
  <c r="J19" i="1"/>
  <c r="J44" i="3"/>
  <c r="M35" i="6" s="1"/>
  <c r="J42" i="3"/>
  <c r="M33" i="6" s="1"/>
  <c r="J41" i="3"/>
  <c r="M32" i="6" s="1"/>
  <c r="R7" i="7"/>
  <c r="M58" i="6" s="1"/>
  <c r="J20" i="1"/>
  <c r="M28" i="3"/>
  <c r="P28" i="3" s="1"/>
  <c r="R8" i="7"/>
  <c r="M60" i="6" s="1"/>
  <c r="Q12" i="7"/>
  <c r="Q8" i="7"/>
  <c r="L60" i="6" s="1"/>
  <c r="J60" i="6"/>
  <c r="M24" i="3"/>
  <c r="P24" i="3" s="1"/>
  <c r="K17" i="3"/>
  <c r="H8" i="6" s="1"/>
  <c r="I24" i="1"/>
  <c r="Q10" i="7"/>
  <c r="L63" i="6" s="1"/>
  <c r="I18" i="1"/>
  <c r="J40" i="3"/>
  <c r="M31" i="6" s="1"/>
  <c r="J29" i="6"/>
  <c r="G21" i="1"/>
  <c r="I21" i="1" s="1"/>
  <c r="I36" i="3"/>
  <c r="J36" i="3"/>
  <c r="M27" i="6" s="1"/>
  <c r="K39" i="3"/>
  <c r="L39" i="3"/>
  <c r="J35" i="6"/>
  <c r="S9" i="2"/>
  <c r="J47" i="3"/>
  <c r="M38" i="6" s="1"/>
  <c r="M27" i="3"/>
  <c r="M22" i="3"/>
  <c r="M20" i="3"/>
  <c r="P20" i="3" s="1"/>
  <c r="N35" i="3"/>
  <c r="H30" i="1" s="1"/>
  <c r="N39" i="3"/>
  <c r="N52" i="3"/>
  <c r="H32" i="1" s="1"/>
  <c r="J3" i="6"/>
  <c r="J31" i="6"/>
  <c r="J44" i="6"/>
  <c r="G22" i="1"/>
  <c r="J66" i="6"/>
  <c r="R9" i="7"/>
  <c r="M63" i="6" s="1"/>
  <c r="M11" i="3"/>
  <c r="I25" i="1"/>
  <c r="J25" i="1"/>
  <c r="M41" i="3"/>
  <c r="O41" i="3" s="1"/>
  <c r="M23" i="3"/>
  <c r="P23" i="3" s="1"/>
  <c r="J17" i="6"/>
  <c r="K56" i="6"/>
  <c r="M25" i="3"/>
  <c r="J16" i="6"/>
  <c r="K11" i="2"/>
  <c r="L51" i="6" s="1"/>
  <c r="P10" i="2"/>
  <c r="J50" i="6" s="1"/>
  <c r="F11" i="1"/>
  <c r="I50" i="6"/>
  <c r="L44" i="6"/>
  <c r="L10" i="2"/>
  <c r="M49" i="6" s="1"/>
  <c r="E13" i="1"/>
  <c r="J49" i="6"/>
  <c r="L11" i="2"/>
  <c r="M18" i="3"/>
  <c r="P18" i="3" s="1"/>
  <c r="M46" i="3"/>
  <c r="O46" i="3" s="1"/>
  <c r="J46" i="3"/>
  <c r="M37" i="6" s="1"/>
  <c r="G21" i="3"/>
  <c r="I21" i="3" s="1"/>
  <c r="L12" i="6" s="1"/>
  <c r="L21" i="3"/>
  <c r="M21" i="3" s="1"/>
  <c r="P21" i="3" s="1"/>
  <c r="M31" i="3"/>
  <c r="J37" i="3"/>
  <c r="M28" i="6" s="1"/>
  <c r="I37" i="3"/>
  <c r="I38" i="3"/>
  <c r="J2" i="6"/>
  <c r="J15" i="6"/>
  <c r="J11" i="6"/>
  <c r="J22" i="6"/>
  <c r="I11" i="3"/>
  <c r="I41" i="3"/>
  <c r="L32" i="6" s="1"/>
  <c r="M26" i="3"/>
  <c r="P26" i="3" s="1"/>
  <c r="H13" i="1"/>
  <c r="H35" i="1" s="1"/>
  <c r="K47" i="6"/>
  <c r="N17" i="3"/>
  <c r="K52" i="3"/>
  <c r="H43" i="6" s="1"/>
  <c r="J48" i="3"/>
  <c r="M39" i="6" s="1"/>
  <c r="I48" i="3"/>
  <c r="L39" i="6" s="1"/>
  <c r="J38" i="6"/>
  <c r="I46" i="3"/>
  <c r="L37" i="6" s="1"/>
  <c r="I43" i="3"/>
  <c r="L34" i="6" s="1"/>
  <c r="J33" i="6"/>
  <c r="M40" i="3"/>
  <c r="J20" i="6"/>
  <c r="J19" i="6"/>
  <c r="J18" i="6"/>
  <c r="J14" i="6"/>
  <c r="J22" i="3"/>
  <c r="M13" i="6" s="1"/>
  <c r="J13" i="6"/>
  <c r="K35" i="3"/>
  <c r="J9" i="6"/>
  <c r="J46" i="6"/>
  <c r="P8" i="2"/>
  <c r="J26" i="3"/>
  <c r="M17" i="6" s="1"/>
  <c r="J18" i="3"/>
  <c r="M9" i="6" s="1"/>
  <c r="J28" i="3"/>
  <c r="M19" i="6" s="1"/>
  <c r="J23" i="3"/>
  <c r="M14" i="6" s="1"/>
  <c r="J29" i="3"/>
  <c r="M20" i="6" s="1"/>
  <c r="I31" i="3"/>
  <c r="L22" i="6" s="1"/>
  <c r="I27" i="3"/>
  <c r="L18" i="6" s="1"/>
  <c r="I24" i="3"/>
  <c r="L15" i="6" s="1"/>
  <c r="I20" i="3"/>
  <c r="L11" i="6" s="1"/>
  <c r="K8" i="2"/>
  <c r="R11" i="2" l="1"/>
  <c r="S11" i="2"/>
  <c r="P48" i="3"/>
  <c r="P44" i="3"/>
  <c r="P36" i="3"/>
  <c r="I43" i="6"/>
  <c r="O47" i="3"/>
  <c r="P42" i="3"/>
  <c r="O43" i="3"/>
  <c r="K43" i="6"/>
  <c r="O24" i="3"/>
  <c r="K26" i="6"/>
  <c r="O27" i="3"/>
  <c r="P27" i="3"/>
  <c r="O25" i="3"/>
  <c r="P25" i="3"/>
  <c r="E32" i="1"/>
  <c r="O28" i="3"/>
  <c r="O29" i="3"/>
  <c r="O31" i="3"/>
  <c r="P31" i="3"/>
  <c r="O22" i="3"/>
  <c r="P22" i="3"/>
  <c r="P11" i="3"/>
  <c r="I30" i="6"/>
  <c r="K30" i="6"/>
  <c r="O23" i="3"/>
  <c r="J21" i="1"/>
  <c r="M17" i="3"/>
  <c r="P17" i="3" s="1"/>
  <c r="P46" i="3"/>
  <c r="M39" i="3"/>
  <c r="I31" i="1" s="1"/>
  <c r="O20" i="3"/>
  <c r="L27" i="6"/>
  <c r="L45" i="6"/>
  <c r="J22" i="1"/>
  <c r="I22" i="1"/>
  <c r="P41" i="3"/>
  <c r="O11" i="3"/>
  <c r="H29" i="1"/>
  <c r="J21" i="3"/>
  <c r="M12" i="6" s="1"/>
  <c r="O26" i="3"/>
  <c r="J56" i="6"/>
  <c r="I15" i="1"/>
  <c r="L56" i="6" s="1"/>
  <c r="J15" i="1"/>
  <c r="M56" i="6" s="1"/>
  <c r="O18" i="3"/>
  <c r="J12" i="6"/>
  <c r="L35" i="3"/>
  <c r="I13" i="1"/>
  <c r="R10" i="2"/>
  <c r="S10" i="2"/>
  <c r="M51" i="6"/>
  <c r="M35" i="3"/>
  <c r="O21" i="3"/>
  <c r="I8" i="6"/>
  <c r="L28" i="6"/>
  <c r="L2" i="6"/>
  <c r="L29" i="6"/>
  <c r="K8" i="6"/>
  <c r="P40" i="3"/>
  <c r="M52" i="3"/>
  <c r="P52" i="3" s="1"/>
  <c r="O40" i="3"/>
  <c r="H26" i="6"/>
  <c r="E30" i="1"/>
  <c r="L46" i="6"/>
  <c r="S8" i="2"/>
  <c r="R8" i="2"/>
  <c r="J47" i="6"/>
  <c r="G11" i="1"/>
  <c r="J11" i="1" l="1"/>
  <c r="G35" i="1"/>
  <c r="O52" i="3"/>
  <c r="L43" i="6" s="1"/>
  <c r="P39" i="3"/>
  <c r="J8" i="6"/>
  <c r="M45" i="6"/>
  <c r="J30" i="6"/>
  <c r="G29" i="1"/>
  <c r="J29" i="1" s="1"/>
  <c r="J31" i="1"/>
  <c r="J26" i="6"/>
  <c r="P35" i="3"/>
  <c r="M26" i="6" s="1"/>
  <c r="I11" i="1"/>
  <c r="J13" i="1"/>
  <c r="O35" i="3"/>
  <c r="L26" i="6" s="1"/>
  <c r="L50" i="6"/>
  <c r="M50" i="6"/>
  <c r="O17" i="3"/>
  <c r="L8" i="6" s="1"/>
  <c r="I26" i="6"/>
  <c r="G30" i="1"/>
  <c r="M8" i="6"/>
  <c r="O39" i="3"/>
  <c r="L30" i="6" s="1"/>
  <c r="M43" i="6"/>
  <c r="J43" i="6"/>
  <c r="G32" i="1"/>
  <c r="L47" i="6"/>
  <c r="M47" i="6"/>
  <c r="I32" i="1" l="1"/>
  <c r="J32" i="1"/>
  <c r="J30" i="1"/>
  <c r="I30" i="1"/>
  <c r="M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ARCE VERGARA,MARCELA MARGARITA</author>
  </authors>
  <commentList>
    <comment ref="F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Modifcacion resolución exenta N°5. 75384 ton  por Res  N°966/2024  73151 ton.
Se mofica según Res 2499 8/11/2024</t>
        </r>
      </text>
    </comment>
    <comment ref="M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N°168-15-07-2024 </t>
        </r>
        <r>
          <rPr>
            <sz val="9"/>
            <color indexed="81"/>
            <rFont val="Tahoma"/>
            <family val="2"/>
          </rPr>
          <t xml:space="preserve">Cierre de cuota.
</t>
        </r>
        <r>
          <rPr>
            <b/>
            <sz val="9"/>
            <color indexed="81"/>
            <rFont val="Tahoma"/>
            <family val="2"/>
          </rPr>
          <t xml:space="preserve">
ResN°1631-19-07-2024</t>
        </r>
        <r>
          <rPr>
            <sz val="9"/>
            <color indexed="81"/>
            <rFont val="Tahoma"/>
            <family val="2"/>
          </rPr>
          <t xml:space="preserve"> Apertura de cuota imprevisto.
</t>
        </r>
        <r>
          <rPr>
            <b/>
            <sz val="9"/>
            <color indexed="81"/>
            <rFont val="Tahoma"/>
            <family val="2"/>
          </rPr>
          <t xml:space="preserve">Res N°182 02-08-2024 </t>
        </r>
        <r>
          <rPr>
            <sz val="9"/>
            <color indexed="81"/>
            <rFont val="Tahoma"/>
            <family val="2"/>
          </rPr>
          <t>Cierre de cuota.</t>
        </r>
      </text>
    </comment>
    <comment ref="F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Modifcacion resolución exenta N°5. 28345 ton  por Res  N°966/2024  27707 ton.
Se mofica según Res 2499 8/11/2024</t>
        </r>
      </text>
    </comment>
    <comment ref="F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2498/2024.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ARCE VERGARA,MARCELA MARGARITA</author>
  </authors>
  <commentList>
    <comment ref="F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Modifcacion resolución exenta N°5. 630 ton  por Res  N°966/2024  1323 ton.
 Se modifica Según Res N°2499 8/11/2024</t>
        </r>
      </text>
    </comment>
    <comment ref="F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Modifcacion resolución exenta N°5. 2385 ton  por Res  N°966/17-04-2024,  5007 ton.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 16-02-2024 Cierre de cuota Resolucion N°36
18-04-2024 Apertura de cuota Resolición N°75
13-05-2024 Cierre de Cuota Resolucion N°96/2024</t>
        </r>
      </text>
    </comment>
    <comment ref="F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Modifcacion resolución exenta N°5.  por Res  N°966/17-04-2024, 700 ton FA.</t>
        </r>
      </text>
    </comment>
    <comment ref="F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N°1443-18/06/2024 
Se modifica según Res N°2167/2024
Se modifica según res N°2499 8/11/2024</t>
        </r>
      </text>
    </comment>
    <comment ref="L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98 CIERRE DE CUOTA.
Res 283-30-10-2024 APERTURA
</t>
        </r>
      </text>
    </comment>
    <comment ref="F1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N°1443-18/06/2024 
Se modifica según Res N°2167/2024</t>
        </r>
      </text>
    </comment>
    <comment ref="L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ARCE VERGARA,MARCELA MARGARITA:
RES N°139 20/05/2024 CIERRE DE CUOTA
 RES 171 - 18/06/2024 Apertura de cuota
</t>
        </r>
      </text>
    </comment>
    <comment ref="F12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N°1443-18/06/2024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ARCE VERGARA,MARCELA MARGARITA</author>
    <author>Autor</author>
  </authors>
  <commentList>
    <comment ref="D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 según la resolucion 1722/2024 donde se incorpora la embarcación.</t>
        </r>
      </text>
    </comment>
    <comment ref="D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RESOLUCION 2088/2024 SE INCORPORA EMBARCACIÓN</t>
        </r>
      </text>
    </comment>
    <comment ref="D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 N°2745/2024</t>
        </r>
      </text>
    </comment>
    <comment ref="F1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SUSTITUCION POR DON UBALDO H.Q</t>
        </r>
      </text>
    </comment>
    <comment ref="D4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N°1164/2024, los cesionarios</t>
        </r>
      </text>
    </comment>
    <comment ref="D5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N°1164/2024, los cesionarios</t>
        </r>
      </text>
    </comment>
    <comment ref="D52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N°1164/2024, los cesionarios</t>
        </r>
      </text>
    </comment>
    <comment ref="D5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N°1164/2024, los cesionarios</t>
        </r>
      </text>
    </comment>
    <comment ref="H54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la res N°2989/2024 se disminuye la cuota quedando en 70000,00 toneladas.</t>
        </r>
      </text>
    </comment>
    <comment ref="D61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ELIMINAN DE LA RES N°1062 , SEGÚN RES N°1863/2024.</t>
        </r>
      </text>
    </comment>
    <comment ref="D62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ELIMINAN DE LA RES N°1062 , SEGÚN RES N°1863/2024.</t>
        </r>
      </text>
    </comment>
    <comment ref="F79" authorId="1" shapeId="0" xr:uid="{9EAB30B8-48F7-4047-BDA7-2A6BA4020746}">
      <text>
        <r>
          <rPr>
            <b/>
            <sz val="9"/>
            <color indexed="81"/>
            <rFont val="Tahoma"/>
            <family val="2"/>
          </rPr>
          <t>RES EX N°1859 ACOGE
SUSTITUCIÓN DE ODISEO II POR JAVIERA R</t>
        </r>
      </text>
    </comment>
    <comment ref="F87" authorId="1" shapeId="0" xr:uid="{43D59C3A-0EAC-4A52-B5E1-C8C183B7B9B8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EMB INACTIVA SUSTITUIDA POR JAVIERA R</t>
        </r>
      </text>
    </comment>
    <comment ref="D96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INCORPORA LA EMBARCACIÓN SANTIAGO SEGÚN LA RES N°1863/2024.</t>
        </r>
      </text>
    </comment>
    <comment ref="H110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por la resolucion 2149 que aumenta las toneladas.</t>
        </r>
      </text>
    </comment>
    <comment ref="D111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incorporando la embarcacion bajo la resolucion 1589/2024.</t>
        </r>
      </text>
    </comment>
    <comment ref="F111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incopora Res N°1589/2024 la embarcacion.</t>
        </r>
      </text>
    </comment>
    <comment ref="D113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ResN°1711/2024 se incorpora embarcacion.</t>
        </r>
      </text>
    </comment>
    <comment ref="D118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N°1531 2/07/2024 se agrega la embarcación indicada.</t>
        </r>
      </text>
    </comment>
    <comment ref="H120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la res N°1357 en sentido de disminuir la la cuota quedando 11000 según la</t>
        </r>
        <r>
          <rPr>
            <b/>
            <sz val="9"/>
            <color indexed="81"/>
            <rFont val="Tahoma"/>
            <family val="2"/>
          </rPr>
          <t xml:space="preserve"> res N°2976</t>
        </r>
      </text>
    </comment>
    <comment ref="D125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modifca Según Res N°1530 /02/07/2024 se agrega embarcacion indicada.</t>
        </r>
      </text>
    </comment>
    <comment ref="D133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RESOLUCION 2091/2024 SE INCORPORA Embarcacion.</t>
        </r>
      </text>
    </comment>
    <comment ref="D134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RESOLUCION 2091/2024 SE INCORPORA Embarcacion.</t>
        </r>
      </text>
    </comment>
    <comment ref="D135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modifca bajo la resolucion 1669 que incorpora embarcación</t>
        </r>
      </text>
    </comment>
    <comment ref="D136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RESOLUCION 2091/2024 SE INCORPORA Embarcacion.</t>
        </r>
      </text>
    </comment>
    <comment ref="D137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 RESN°2747/2024 se incorpora emabracacion</t>
        </r>
      </text>
    </comment>
    <comment ref="F191" authorId="0" shapeId="0" xr:uid="{00000000-0006-0000-0300-00001C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INCORPORA SEGÚN LA RESO N°2442 29/10/2024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ARCE VERGARA,MARCELA MARGARITA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N°145 /06-11-2024</t>
        </r>
      </text>
    </comment>
    <comment ref="F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 1944  30/08/2024 </t>
        </r>
        <r>
          <rPr>
            <sz val="9"/>
            <color indexed="81"/>
            <rFont val="Tahoma"/>
            <family val="2"/>
          </rPr>
          <t xml:space="preserve">cede 1592,374 toneladas a embarcaciones XV-I.
</t>
        </r>
        <r>
          <rPr>
            <b/>
            <sz val="9"/>
            <color indexed="81"/>
            <rFont val="Tahoma"/>
            <family val="2"/>
          </rPr>
          <t>Res N° 1945  30/08/2024</t>
        </r>
        <r>
          <rPr>
            <sz val="9"/>
            <color indexed="81"/>
            <rFont val="Tahoma"/>
            <family val="2"/>
          </rPr>
          <t xml:space="preserve"> cede  3488,625 
 toneladas a embarcaciones XV-I</t>
        </r>
      </text>
    </comment>
    <comment ref="F1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 1357 03/06/2024 cede 50,000 toneladas a embarcaciones XV-I. se modifica la res N°2976  en 39000,00 toneladas.</t>
        </r>
      </text>
    </comment>
    <comment ref="F1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 1062/2024  Cede 100,000Ton hacia Emb XV-II. se modifica segun res N°2989 en 30000,00 toneladas.
Res N° 1107/2024  Cede 15,000Ton hacia Emb II.
Res N° 01108/2024  Cede 15,000Ton hacia Emb XV-II.
Res N° 01312/2024  Cede 3,000 Ton hacia Emb XV-II
Res N°2149/2024 Cede 5,000 ton  acia Emb XV-II (modifica la  Res N°1312).
</t>
        </r>
      </text>
    </comment>
    <comment ref="F14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494-24 Cede 16731,47 Ton hacia Emb XV-I.
Res 497-24 Cede 1153,89 Ton Hacia embarcacion XV-II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>Res 456-24 Cede 3173,209 ton hacia Emb XV-I.</t>
        </r>
      </text>
    </comment>
    <comment ref="F2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Certificado N°3/2024 </t>
        </r>
        <r>
          <rPr>
            <sz val="9"/>
            <color indexed="81"/>
            <rFont val="Tahoma"/>
            <family val="2"/>
          </rPr>
          <t>Cede 0,307 ton a favor de  Thor Fisheries Spa.</t>
        </r>
      </text>
    </comment>
    <comment ref="F29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Res N°1391</t>
        </r>
        <r>
          <rPr>
            <sz val="9"/>
            <color indexed="81"/>
            <rFont val="Tahoma"/>
            <family val="2"/>
          </rPr>
          <t xml:space="preserve"> 07/06/2024 Cede 3000 ton a embarcaciones IV.</t>
        </r>
      </text>
    </comment>
    <comment ref="F30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Certificado N°3/2024</t>
        </r>
        <r>
          <rPr>
            <sz val="9"/>
            <color indexed="81"/>
            <rFont val="Tahoma"/>
            <family val="2"/>
          </rPr>
          <t xml:space="preserve"> Recibe 0,307 ton desde </t>
        </r>
        <r>
          <rPr>
            <b/>
            <sz val="9"/>
            <color indexed="81"/>
            <rFont val="Tahoma"/>
            <family val="2"/>
          </rPr>
          <t>Landes S.A Soc.Pesq.</t>
        </r>
      </text>
    </comment>
    <comment ref="F32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RES N°2193 7/10/2024</t>
        </r>
        <r>
          <rPr>
            <sz val="9"/>
            <color indexed="81"/>
            <rFont val="Tahoma"/>
            <family val="2"/>
          </rPr>
          <t xml:space="preserve"> INCREMENTA 296,713 TON DESDE INVERSIONES PESQUERAS SPA.
</t>
        </r>
        <r>
          <rPr>
            <b/>
            <sz val="9"/>
            <color indexed="81"/>
            <rFont val="Tahoma"/>
            <family val="2"/>
          </rPr>
          <t xml:space="preserve">RES N°2410/2024 </t>
        </r>
        <r>
          <rPr>
            <sz val="9"/>
            <color indexed="81"/>
            <rFont val="Tahoma"/>
            <family val="2"/>
          </rPr>
          <t>CEDE 296,713 TON A SIPESUR SPA.</t>
        </r>
      </text>
    </comment>
    <comment ref="F33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RES N°1824 13/08/2024</t>
        </r>
        <r>
          <rPr>
            <sz val="9"/>
            <color indexed="81"/>
            <rFont val="Tahoma"/>
            <family val="2"/>
          </rPr>
          <t xml:space="preserve"> INCREMENTA 296,713 TON DESDE SIPESUR SPA.
</t>
        </r>
        <r>
          <rPr>
            <b/>
            <sz val="9"/>
            <color indexed="81"/>
            <rFont val="Tahoma"/>
            <family val="2"/>
          </rPr>
          <t>RES N°2193 7/10/2024</t>
        </r>
        <r>
          <rPr>
            <sz val="9"/>
            <color indexed="81"/>
            <rFont val="Tahoma"/>
            <family val="2"/>
          </rPr>
          <t xml:space="preserve"> CEDE 296,713 TON A BURITA INVERSIONES.</t>
        </r>
      </text>
    </comment>
    <comment ref="F34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RES N°1824 13/08/2024 </t>
        </r>
        <r>
          <rPr>
            <sz val="9"/>
            <color indexed="81"/>
            <rFont val="Tahoma"/>
            <family val="2"/>
          </rPr>
          <t xml:space="preserve">CEDE 296,713 TON  A  INVERSIONES PESQUERA SPA.
</t>
        </r>
        <r>
          <rPr>
            <b/>
            <sz val="9"/>
            <color indexed="81"/>
            <rFont val="Tahoma"/>
            <family val="2"/>
          </rPr>
          <t>RES N°2410/2024 INCREMENTA</t>
        </r>
        <r>
          <rPr>
            <sz val="9"/>
            <color indexed="81"/>
            <rFont val="Tahoma"/>
            <family val="2"/>
          </rPr>
          <t xml:space="preserve"> 296,713 DESDE BURITA INVERSIONES.
</t>
        </r>
      </text>
    </comment>
    <comment ref="E35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ARCE VERGARA,MARCELA MARGARITA:
Modificado por Decreto 141 5-11-2024.</t>
        </r>
      </text>
    </comment>
    <comment ref="F37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b/>
            <sz val="9"/>
            <color indexed="81"/>
            <rFont val="Tahoma"/>
            <family val="2"/>
          </rPr>
          <t xml:space="preserve">
Res N°1356 3/06/2024</t>
        </r>
        <r>
          <rPr>
            <sz val="9"/>
            <color indexed="81"/>
            <rFont val="Tahoma"/>
            <family val="2"/>
          </rPr>
          <t xml:space="preserve"> Cede 500 ton hacia embarcaciones de I. 
</t>
        </r>
      </text>
    </comment>
    <comment ref="F3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Res N°1385 6/06/2024</t>
        </r>
        <r>
          <rPr>
            <sz val="9"/>
            <color indexed="81"/>
            <rFont val="Tahoma"/>
            <family val="2"/>
          </rPr>
          <t xml:space="preserve"> Cede 800 ton hacia embarcaciones de II.
</t>
        </r>
        <r>
          <rPr>
            <b/>
            <sz val="9"/>
            <color indexed="81"/>
            <rFont val="Tahoma"/>
            <family val="2"/>
          </rPr>
          <t xml:space="preserve">Res N°1388 7/06/2024 </t>
        </r>
        <r>
          <rPr>
            <sz val="9"/>
            <color indexed="81"/>
            <rFont val="Tahoma"/>
            <family val="2"/>
          </rPr>
          <t>Cede 800 ton hacia embarcaciones de II</t>
        </r>
      </text>
    </comment>
    <comment ref="F41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968-18-04-2024 Cede 890 ton hacia Emb III.</t>
        </r>
      </text>
    </comment>
    <comment ref="E44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resolución N°2253/2024</t>
        </r>
      </text>
    </comment>
    <comment ref="E45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resolución N°2253/2024</t>
        </r>
      </text>
    </comment>
    <comment ref="F45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N°1825 13/08/2024 </t>
        </r>
        <r>
          <rPr>
            <sz val="9"/>
            <color indexed="81"/>
            <rFont val="Tahoma"/>
            <family val="2"/>
          </rPr>
          <t xml:space="preserve"> INCREMENTA 2,977 TON DESDE SIPESUR SPA.
</t>
        </r>
        <r>
          <rPr>
            <b/>
            <sz val="9"/>
            <color indexed="81"/>
            <rFont val="Tahoma"/>
            <family val="2"/>
          </rPr>
          <t xml:space="preserve">
RES N°2193 07/10/2024 </t>
        </r>
        <r>
          <rPr>
            <sz val="9"/>
            <color indexed="81"/>
            <rFont val="Tahoma"/>
            <family val="2"/>
          </rPr>
          <t xml:space="preserve"> CEDE 4,9216
 TON A BURITA INVERSIONES.</t>
        </r>
      </text>
    </comment>
    <comment ref="F46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N°1825 13/08/2024 </t>
        </r>
        <r>
          <rPr>
            <sz val="9"/>
            <color indexed="81"/>
            <rFont val="Tahoma"/>
            <family val="2"/>
          </rPr>
          <t xml:space="preserve"> CEDE 2,977 TON  A INVERSIONES PESQUERA SPA.
</t>
        </r>
        <r>
          <rPr>
            <b/>
            <sz val="9"/>
            <color indexed="81"/>
            <rFont val="Tahoma"/>
            <family val="2"/>
          </rPr>
          <t>RES N°2409 28/10/2024</t>
        </r>
        <r>
          <rPr>
            <sz val="9"/>
            <color indexed="81"/>
            <rFont val="Tahoma"/>
            <family val="2"/>
          </rPr>
          <t xml:space="preserve"> incrementa 4,916 ton desde Burita Inversiones.</t>
        </r>
      </text>
    </comment>
    <comment ref="F47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973-18-04-2024 Cede 380 ton hacia Emb IV.</t>
        </r>
      </text>
    </comment>
    <comment ref="F49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Certificado N°10 recibe 0,135 desde Landes .</t>
        </r>
      </text>
    </comment>
    <comment ref="F50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N°2193 07/10/2024  INCREMENTA 4,916 </t>
        </r>
        <r>
          <rPr>
            <sz val="9"/>
            <color indexed="81"/>
            <rFont val="Tahoma"/>
            <family val="2"/>
          </rPr>
          <t xml:space="preserve">TON DESDE INVERSIONES PESQUERAS
</t>
        </r>
        <r>
          <rPr>
            <b/>
            <sz val="9"/>
            <color indexed="81"/>
            <rFont val="Tahoma"/>
            <family val="2"/>
          </rPr>
          <t>RES N°2409 28/10/2024</t>
        </r>
        <r>
          <rPr>
            <sz val="9"/>
            <color indexed="81"/>
            <rFont val="Tahoma"/>
            <family val="2"/>
          </rPr>
          <t xml:space="preserve"> CEDE 4,916 TON A SIPERSUR</t>
        </r>
      </text>
    </comment>
    <comment ref="F51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Certificado N°10 Cede 0,135 ton a Thor Fisheries SPA.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6" authorId="0" shapeId="0" xr:uid="{BDF5875E-9D30-4257-B517-6663FF807476}">
      <text>
        <r>
          <rPr>
            <sz val="11"/>
            <color theme="1"/>
            <rFont val="Calibri"/>
            <family val="2"/>
            <scheme val="minor"/>
          </rPr>
          <t xml:space="preserve">  
Modifcacion resolución exenta N°5. 75384 ton  por Res  N°966/2024  73151 ton.</t>
        </r>
      </text>
    </comment>
    <comment ref="G6" authorId="0" shapeId="0" xr:uid="{90535166-9759-4079-BD60-CDE41E2BF332}">
      <text>
        <r>
          <rPr>
            <sz val="9"/>
            <color indexed="81"/>
            <rFont val="Tahoma"/>
            <family val="2"/>
          </rPr>
          <t xml:space="preserve">Comentario:
Modifcacion resolución exenta N°1631, de 19 de julio de 2024,incremento cuota de imprevistos AyP
</t>
        </r>
      </text>
    </comment>
    <comment ref="H6" authorId="0" shapeId="0" xr:uid="{3DADFA47-C81C-40B0-B657-4F8549F465A6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Modifcacion resolución exenta N°1631, de 19 de julio de 2024,incremento cuota de imprevistos AyP 
Saldo incluye remanentes 2023
</t>
        </r>
      </text>
    </comment>
    <comment ref="L6" authorId="0" shapeId="0" xr:uid="{769A34E6-D6F5-43DF-956F-6963BF569F47}">
      <text>
        <r>
          <rPr>
            <b/>
            <sz val="9"/>
            <color indexed="81"/>
            <rFont val="Tahoma"/>
            <family val="2"/>
          </rPr>
          <t>CUOTA CERRADA EL 17-07-2024 RES EX N°AYP 168             CUOTA APERTURADA EL 20/07/2024 RES EX N°AYP 00171
N°AYP 168         
    CUOTA APERTURADA EL 22/10/2024 RES EX N°AYP 00171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 xr:uid="{C9430D8E-935B-443D-8A0A-F9E4B0C4DD15}">
      <text>
        <r>
          <rPr>
            <sz val="11"/>
            <color theme="1"/>
            <rFont val="Calibri"/>
            <family val="2"/>
            <scheme val="minor"/>
          </rPr>
          <t xml:space="preserve">  
Modifcacion resolución exenta N°5. 75384 ton  por Res  N°966/2024  73151 ton.</t>
        </r>
      </text>
    </comment>
    <comment ref="G31" authorId="0" shapeId="0" xr:uid="{C59C2907-3DF1-4F13-B36E-50B55B9D37AE}">
      <text>
        <r>
          <rPr>
            <sz val="9"/>
            <color indexed="81"/>
            <rFont val="Tahoma"/>
            <family val="2"/>
          </rPr>
          <t xml:space="preserve">Comentario:
Modifcacion resolución exenta N°1631, de 19 de julio de 2024,incremento cuota de imprevistos AyP
</t>
        </r>
      </text>
    </comment>
    <comment ref="L31" authorId="0" shapeId="0" xr:uid="{841B60A3-C136-4EC5-A1CE-DA12F49740D2}">
      <text>
        <r>
          <rPr>
            <b/>
            <sz val="9"/>
            <color indexed="81"/>
            <rFont val="Tahoma"/>
            <family val="2"/>
          </rPr>
          <t>CUOTA CERRADA EL 17-07-2024 RES EX N°AYP 168             CUOTA APERTURADA EL 20/07/2024 RES EX N°AYP 00171
N°AYP 168         
    CUOTA APERTURADA EL 22/10/2024 RES EX N°AYP 00171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 shapeId="0" xr:uid="{59ABD57A-BBFD-4CA5-B191-6ED54C903CC8}">
      <text>
        <r>
          <rPr>
            <b/>
            <sz val="9"/>
            <color indexed="81"/>
            <rFont val="Tahoma"/>
            <family val="2"/>
          </rPr>
          <t xml:space="preserve">SE SUMA A LA CUOTA GLOBAL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<sst xmlns="http://schemas.openxmlformats.org/spreadsheetml/2006/main" count="1439" uniqueCount="407">
  <si>
    <t>RESUMEN CONSUMO ANUAL ANCHOVETA Y SARDINA ESPAÑOLA XV-IV AÑO 2024. Dato en toneladas</t>
  </si>
  <si>
    <t>Información preliminar</t>
  </si>
  <si>
    <t>Fracción</t>
  </si>
  <si>
    <t>Recurso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</si>
  <si>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</si>
  <si>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</si>
  <si>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</si>
  <si>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</si>
  <si>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</si>
  <si>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</si>
  <si>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</si>
  <si>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Artesanal</t>
  </si>
  <si>
    <t>Anchoveta</t>
  </si>
  <si>
    <t>XV - I</t>
  </si>
  <si>
    <t>Cesiones Ind y Colec XV-I</t>
  </si>
  <si>
    <t>-</t>
  </si>
  <si>
    <t>II</t>
  </si>
  <si>
    <t>Cesiones Ind y Colec II</t>
  </si>
  <si>
    <t>III</t>
  </si>
  <si>
    <t>Cesiones Ind y Colec III</t>
  </si>
  <si>
    <t>IV</t>
  </si>
  <si>
    <t>Cesiones Ind y Colec IV</t>
  </si>
  <si>
    <t>FA XV - II</t>
  </si>
  <si>
    <t>FA III - IV</t>
  </si>
  <si>
    <t>Sardina española</t>
  </si>
  <si>
    <t>Investigación</t>
  </si>
  <si>
    <t xml:space="preserve">Anchoveta </t>
  </si>
  <si>
    <t>XV - II</t>
  </si>
  <si>
    <t>Imprevisto</t>
  </si>
  <si>
    <t>III - IV</t>
  </si>
  <si>
    <t>INDUSTRIAL</t>
  </si>
  <si>
    <t xml:space="preserve">Sardina española </t>
  </si>
  <si>
    <t>Cesiones</t>
  </si>
  <si>
    <t>XV - IV</t>
  </si>
  <si>
    <t>TOTAL</t>
  </si>
  <si>
    <t>CONTROL CUOTA ANCHOVETA  XV - IV AÑO 2024</t>
  </si>
  <si>
    <t>RESUMEN ANUAL</t>
  </si>
  <si>
    <t>Unidad de pesquería</t>
  </si>
  <si>
    <t>Fraccionamiento</t>
  </si>
  <si>
    <t>Asignatario</t>
  </si>
  <si>
    <t>Período</t>
  </si>
  <si>
    <t>Cuota asignada</t>
  </si>
  <si>
    <t>Cuota efectiva</t>
  </si>
  <si>
    <t>Captura (ton)</t>
  </si>
  <si>
    <t>Cargos por excesos</t>
  </si>
  <si>
    <t>Saldo (ton)</t>
  </si>
  <si>
    <t>% Consumo</t>
  </si>
  <si>
    <t>Cierre</t>
  </si>
  <si>
    <t>Anchoveta XV - II</t>
  </si>
  <si>
    <t xml:space="preserve"> Arica y Parinacota - Tarapacá</t>
  </si>
  <si>
    <t>MACROZONA XV - I</t>
  </si>
  <si>
    <t>Ene - Dic</t>
  </si>
  <si>
    <t xml:space="preserve"> Antofagasta</t>
  </si>
  <si>
    <t>REGIÓN II</t>
  </si>
  <si>
    <t>Fauna acompañante</t>
  </si>
  <si>
    <t>Anchoveta III - IV</t>
  </si>
  <si>
    <t xml:space="preserve"> Atacama</t>
  </si>
  <si>
    <t>REGIÓN III</t>
  </si>
  <si>
    <t>Coquimbo</t>
  </si>
  <si>
    <t>AG de Coquimbo RAG 55-4</t>
  </si>
  <si>
    <t>CERCOPESCA Rol 4276</t>
  </si>
  <si>
    <t>STI de Coquimbo RSU 04.04.0472</t>
  </si>
  <si>
    <t>CUOTA RESIDUAL</t>
  </si>
  <si>
    <t>CONTROL CUOTA SARDINA ESPAÑOLA ARTESANAL XV - IV AÑO 2024</t>
  </si>
  <si>
    <t>Sardina española XV - II</t>
  </si>
  <si>
    <t>Sardina española III - IV</t>
  </si>
  <si>
    <t>Atacama</t>
  </si>
  <si>
    <t>REGIÓN IV</t>
  </si>
  <si>
    <t>ANCHOVETA 2024</t>
  </si>
  <si>
    <t>SARDINA ESPAÑOLA 2024</t>
  </si>
  <si>
    <t>CUOTA</t>
  </si>
  <si>
    <t>CAPTURA</t>
  </si>
  <si>
    <t>SALDO</t>
  </si>
  <si>
    <t>% CONSUMO</t>
  </si>
  <si>
    <t>TOTAL CESIONES 2024</t>
  </si>
  <si>
    <t>Tipo</t>
  </si>
  <si>
    <t>Fecha</t>
  </si>
  <si>
    <t>N° Resolución</t>
  </si>
  <si>
    <t>Región</t>
  </si>
  <si>
    <t>Embarcación</t>
  </si>
  <si>
    <t>RPA</t>
  </si>
  <si>
    <t>Ind-Art</t>
  </si>
  <si>
    <t>XV</t>
  </si>
  <si>
    <t>Andreas</t>
  </si>
  <si>
    <t>Anchoveta XV-IV</t>
  </si>
  <si>
    <t>Liliana</t>
  </si>
  <si>
    <t>S. española</t>
  </si>
  <si>
    <t>Valentina</t>
  </si>
  <si>
    <t>Josue</t>
  </si>
  <si>
    <t>I</t>
  </si>
  <si>
    <t>Isidora I</t>
  </si>
  <si>
    <t>Aries I</t>
  </si>
  <si>
    <t>Fernanda I</t>
  </si>
  <si>
    <t>Francesca</t>
  </si>
  <si>
    <t>ANTONELA PAZ</t>
  </si>
  <si>
    <t>RENATA</t>
  </si>
  <si>
    <t>Niña Ximena</t>
  </si>
  <si>
    <t>Josue / SUSTITU DON UBLADO H.Q</t>
  </si>
  <si>
    <t xml:space="preserve">Francesca </t>
  </si>
  <si>
    <t>Sea Quest</t>
  </si>
  <si>
    <t>Tom  Jerry</t>
  </si>
  <si>
    <t>Reymar I</t>
  </si>
  <si>
    <t>Fotuna VI</t>
  </si>
  <si>
    <t>Daniela Andrea I</t>
  </si>
  <si>
    <t>Don Milo</t>
  </si>
  <si>
    <t>Atenea II</t>
  </si>
  <si>
    <t>Sebastian II</t>
  </si>
  <si>
    <t>El Bellaco</t>
  </si>
  <si>
    <t>Delfin 2000</t>
  </si>
  <si>
    <t>Falcon</t>
  </si>
  <si>
    <t>El Bellaco I</t>
  </si>
  <si>
    <t>Green Peace</t>
  </si>
  <si>
    <t>Don Victorino</t>
  </si>
  <si>
    <t>Maria Soledad</t>
  </si>
  <si>
    <t>Pa Ke Te PiKay</t>
  </si>
  <si>
    <t>El Reno</t>
  </si>
  <si>
    <t>Atlantico III</t>
  </si>
  <si>
    <t>Garota</t>
  </si>
  <si>
    <t>Garota V</t>
  </si>
  <si>
    <t>Garota II</t>
  </si>
  <si>
    <t>Sta Veronica II</t>
  </si>
  <si>
    <t>Don Perucho II</t>
  </si>
  <si>
    <t>Doña Alga I</t>
  </si>
  <si>
    <t>Jennifer I</t>
  </si>
  <si>
    <t>Haylen Carolina</t>
  </si>
  <si>
    <t>Zeus I</t>
  </si>
  <si>
    <t>Venus</t>
  </si>
  <si>
    <t>Kalejo</t>
  </si>
  <si>
    <t>XV-I</t>
  </si>
  <si>
    <t>ABEL</t>
  </si>
  <si>
    <t>AGUJILLA</t>
  </si>
  <si>
    <t>AMADEUS</t>
  </si>
  <si>
    <t>AMADEUS II</t>
  </si>
  <si>
    <t>AMADEUS IV</t>
  </si>
  <si>
    <t>ARKHOS II</t>
  </si>
  <si>
    <t>ARKHOS III</t>
  </si>
  <si>
    <t>ARKHOS IV</t>
  </si>
  <si>
    <t>ARKHOS V</t>
  </si>
  <si>
    <t xml:space="preserve">CESAR MIGUEL </t>
  </si>
  <si>
    <t>CHANGO I</t>
  </si>
  <si>
    <t>CHANGO II</t>
  </si>
  <si>
    <t>CONSUELITO I</t>
  </si>
  <si>
    <t>COYI I</t>
  </si>
  <si>
    <t>COYI II</t>
  </si>
  <si>
    <t xml:space="preserve">DANIEL </t>
  </si>
  <si>
    <t>DON GERMAN CSA</t>
  </si>
  <si>
    <t>DON JOSE I</t>
  </si>
  <si>
    <t>DON MARIO 1</t>
  </si>
  <si>
    <t>DON UBALDO H.Q</t>
  </si>
  <si>
    <t>ELVA S</t>
  </si>
  <si>
    <t>GRACIAS A DIOS I</t>
  </si>
  <si>
    <t>GRINGO PABLO II</t>
  </si>
  <si>
    <t>GUAJACHE II</t>
  </si>
  <si>
    <t>HUMBOLT II</t>
  </si>
  <si>
    <t>JAVIERA R</t>
  </si>
  <si>
    <t>KAREN PAMELA</t>
  </si>
  <si>
    <t>KIMBA I</t>
  </si>
  <si>
    <t>LOBO DE AFUERA IV</t>
  </si>
  <si>
    <t>LOBO DE AFUERA V</t>
  </si>
  <si>
    <t>LOBO DE AFUERA VII</t>
  </si>
  <si>
    <t>LORETO V</t>
  </si>
  <si>
    <t>MARCELO RODOLFO</t>
  </si>
  <si>
    <t>ODISEO II</t>
  </si>
  <si>
    <t>PELICANO II</t>
  </si>
  <si>
    <t>PETROHUE I</t>
  </si>
  <si>
    <t>PETROHUE II</t>
  </si>
  <si>
    <t>PETROHUE III</t>
  </si>
  <si>
    <t>RINA F Y M</t>
  </si>
  <si>
    <t xml:space="preserve">SANTA MARGARITA I </t>
  </si>
  <si>
    <t>SEBASTIAN ALEJANDRO</t>
  </si>
  <si>
    <t>SHALOM II</t>
  </si>
  <si>
    <t>TUAREG I</t>
  </si>
  <si>
    <t>XV-II</t>
  </si>
  <si>
    <t>DON MIGUEL</t>
  </si>
  <si>
    <t>TRINQUETE</t>
  </si>
  <si>
    <t>EDI</t>
  </si>
  <si>
    <t>DON NINO I</t>
  </si>
  <si>
    <t>DON NINO II</t>
  </si>
  <si>
    <t>DON ANDRES II</t>
  </si>
  <si>
    <t>DON RUFINO II</t>
  </si>
  <si>
    <t>S/EF</t>
  </si>
  <si>
    <t>GENESIS C</t>
  </si>
  <si>
    <t>ARLETH ANTONIA</t>
  </si>
  <si>
    <t>GIOVANNA PRISCILLA IV</t>
  </si>
  <si>
    <t>MARIA ELENA</t>
  </si>
  <si>
    <t>MOISES</t>
  </si>
  <si>
    <t>STGO MORAN</t>
  </si>
  <si>
    <t>RAGNAR</t>
  </si>
  <si>
    <t>BENJAMIN A</t>
  </si>
  <si>
    <t>JORGE HERNAN M</t>
  </si>
  <si>
    <t>MAR TERCERO</t>
  </si>
  <si>
    <t>XV- I</t>
  </si>
  <si>
    <t>Abdon I</t>
  </si>
  <si>
    <t>Isaac</t>
  </si>
  <si>
    <t>Carolina I</t>
  </si>
  <si>
    <t>Don Mauricio I</t>
  </si>
  <si>
    <t>Guerro del Golfo</t>
  </si>
  <si>
    <t>Camila Antonia</t>
  </si>
  <si>
    <t>ABDÓN I</t>
  </si>
  <si>
    <t>ABRAHAM</t>
  </si>
  <si>
    <t>ANDREAS</t>
  </si>
  <si>
    <t>ARIES I</t>
  </si>
  <si>
    <t>CAMILA ANTONIA</t>
  </si>
  <si>
    <t>CAROLINA I</t>
  </si>
  <si>
    <t>DON MAURICIO I</t>
  </si>
  <si>
    <t>FERNANDA I</t>
  </si>
  <si>
    <t xml:space="preserve">FRANCESCA </t>
  </si>
  <si>
    <t>GUERRERO DEL GOLFO</t>
  </si>
  <si>
    <t>ISAAC</t>
  </si>
  <si>
    <t>ISIDORA I</t>
  </si>
  <si>
    <t>JOSUE</t>
  </si>
  <si>
    <t>LILIANA</t>
  </si>
  <si>
    <t>NIÑA XIMENA</t>
  </si>
  <si>
    <t>VALENTINA</t>
  </si>
  <si>
    <t>Don Salomon</t>
  </si>
  <si>
    <t>Edi</t>
  </si>
  <si>
    <t>Don Nino I</t>
  </si>
  <si>
    <t>Don Nino II</t>
  </si>
  <si>
    <t>MARY PAZII</t>
  </si>
  <si>
    <t>ALDEBERAN II</t>
  </si>
  <si>
    <t>DOÑA MERCEDES II</t>
  </si>
  <si>
    <t>OLGUITA I</t>
  </si>
  <si>
    <t>DOÑA EDI</t>
  </si>
  <si>
    <t>DOÑA SABINA</t>
  </si>
  <si>
    <t>JOSEFA II</t>
  </si>
  <si>
    <t>JOSEFA ALBINO</t>
  </si>
  <si>
    <t>DON RAFA</t>
  </si>
  <si>
    <t>DON ELEUTERIO</t>
  </si>
  <si>
    <t>JULIETA IGNACIA</t>
  </si>
  <si>
    <t>SR GRACIELA</t>
  </si>
  <si>
    <t>DON LUIS</t>
  </si>
  <si>
    <t>SRMARIOLY 1</t>
  </si>
  <si>
    <t>LA ANGELITA</t>
  </si>
  <si>
    <t>DON JOAQUIN III</t>
  </si>
  <si>
    <t>EL TESORO</t>
  </si>
  <si>
    <t>PIONERO</t>
  </si>
  <si>
    <t>SOCOROMA</t>
  </si>
  <si>
    <t>SOCOROMA I</t>
  </si>
  <si>
    <t>JAVIERA SELMIRA I</t>
  </si>
  <si>
    <t>DON MILO</t>
  </si>
  <si>
    <t>SEBASTIAN II</t>
  </si>
  <si>
    <t>EL BELLACO</t>
  </si>
  <si>
    <t>DON MARINO I</t>
  </si>
  <si>
    <t>PANCHO MALO</t>
  </si>
  <si>
    <t>EL BELLACO I</t>
  </si>
  <si>
    <t>CENTAURO</t>
  </si>
  <si>
    <t>KIWI</t>
  </si>
  <si>
    <t>KALEJO</t>
  </si>
  <si>
    <t>EL RENO</t>
  </si>
  <si>
    <t>VENUS</t>
  </si>
  <si>
    <t>CATALINA Q</t>
  </si>
  <si>
    <t>CONTROL CUOTA ANCHOVETA Y SARDINA ESPAÑOLA INDUSTRIAL XV - IV AÑO 2024</t>
  </si>
  <si>
    <t>CUOTA (TONELADAS)</t>
  </si>
  <si>
    <t>OPERACIÓN</t>
  </si>
  <si>
    <t>Titular de cuota LTP</t>
  </si>
  <si>
    <t>Periodo</t>
  </si>
  <si>
    <t>Traspaso, Cesión, arriendos, etc</t>
  </si>
  <si>
    <t>Captura (t)</t>
  </si>
  <si>
    <t>Saldo (t)</t>
  </si>
  <si>
    <t>% Consumido</t>
  </si>
  <si>
    <t>ARICA SEAFOOD PRODUCER S.A.</t>
  </si>
  <si>
    <t>CAMANCHACA S.A</t>
  </si>
  <si>
    <t>CORPESCA S.A</t>
  </si>
  <si>
    <t>DEL NORTE SpA SIND. PESQ.</t>
  </si>
  <si>
    <t>DECASUR SPA</t>
  </si>
  <si>
    <t>ESPACIO PESQUERO SpA.</t>
  </si>
  <si>
    <t>ABASTECIMIENTO DEL PACIFICO S.A.</t>
  </si>
  <si>
    <t xml:space="preserve">ALIMENTOS MARINOS S.A.          </t>
  </si>
  <si>
    <t>ATILIO REYES BARRERA</t>
  </si>
  <si>
    <t xml:space="preserve">BAHIA CALDERA S.A. PESQ.          </t>
  </si>
  <si>
    <t xml:space="preserve">BLUMAR S.A.                                              </t>
  </si>
  <si>
    <t xml:space="preserve">CAMANCHACA PESCA SUR S.A.  </t>
  </si>
  <si>
    <t xml:space="preserve">CAMANCHACA S.A. CIA. PESQ    </t>
  </si>
  <si>
    <t>ERIC ARACENA REYNUABA</t>
  </si>
  <si>
    <t>FOODCORP CHILE S.A.</t>
  </si>
  <si>
    <t>GIULLIANO REYNUABA SALAS</t>
  </si>
  <si>
    <t xml:space="preserve">LANDES S.A. SOC. PESQ.                           </t>
  </si>
  <si>
    <t xml:space="preserve">ORIZON S.A                                                   </t>
  </si>
  <si>
    <t>THOR FISHERIES SPA</t>
  </si>
  <si>
    <t>Ene-Dic</t>
  </si>
  <si>
    <t>PROCESOS TECNOLOGICOS DEL BIO BIO SpA</t>
  </si>
  <si>
    <t>BURITA INVERSIONES</t>
  </si>
  <si>
    <t>INVERSIONES PESQUERA SPA</t>
  </si>
  <si>
    <t>SIPESUR SPA</t>
  </si>
  <si>
    <t xml:space="preserve">ARICA SEAFOOD PRODUCER S.A.  </t>
  </si>
  <si>
    <t xml:space="preserve">CAMANCHACA S.A. CIA. PESQ      </t>
  </si>
  <si>
    <t xml:space="preserve">CORPESCA S.A.                             </t>
  </si>
  <si>
    <t>BLUMAR S.A.</t>
  </si>
  <si>
    <t>CAMANCHACA S.A.</t>
  </si>
  <si>
    <t>ORIZON S.A.</t>
  </si>
  <si>
    <t>CAMANCHACA PESCA SUR S.A.</t>
  </si>
  <si>
    <t>LANDES S.A. SOC. PESQ.</t>
  </si>
  <si>
    <t>UP ANCHOVETA</t>
  </si>
  <si>
    <t>III-IV</t>
  </si>
  <si>
    <t>UP SARDINA ESPAÑOLA</t>
  </si>
  <si>
    <t>N° doc</t>
  </si>
  <si>
    <t>CEDE</t>
  </si>
  <si>
    <t>RECIBE</t>
  </si>
  <si>
    <t>Coeficiente</t>
  </si>
  <si>
    <t>DECASUR SPA.</t>
  </si>
  <si>
    <t>INVERSIONES PESQUERAS SPA.</t>
  </si>
  <si>
    <t>BURITA INVERSIONES SPA</t>
  </si>
  <si>
    <t>SIPESUR</t>
  </si>
  <si>
    <t xml:space="preserve"> Arica y Parinacota-Tarapacá</t>
  </si>
  <si>
    <t>REGIÓN XV-I</t>
  </si>
  <si>
    <t>REMANENTE</t>
  </si>
  <si>
    <t>Cuota Remanente</t>
  </si>
  <si>
    <t>REGIÓN</t>
  </si>
  <si>
    <t>ASIGNATARIO</t>
  </si>
  <si>
    <t>Cuota Remanente (Ton)</t>
  </si>
  <si>
    <t>Cuota (ton)</t>
  </si>
  <si>
    <t>Arica y Parinacota - Tarapacá</t>
  </si>
  <si>
    <t>Región de Arica y Parinacota - Tarapacá</t>
  </si>
  <si>
    <t>Global 2024</t>
  </si>
  <si>
    <t>Remanente CG(2023)</t>
  </si>
  <si>
    <t>Cesiones 2024</t>
  </si>
  <si>
    <t>Cedente</t>
  </si>
  <si>
    <t>Tons</t>
  </si>
  <si>
    <t>Desembarque</t>
  </si>
  <si>
    <t>Consumo (%)</t>
  </si>
  <si>
    <t>Saldo 2023</t>
  </si>
  <si>
    <t>CONSUMO 2024</t>
  </si>
  <si>
    <t>SALDO 2024</t>
  </si>
  <si>
    <t>Remanente cesiones 2023</t>
  </si>
  <si>
    <t>359 / CP 707 - 2023</t>
  </si>
  <si>
    <t>Corpesca S.A.</t>
  </si>
  <si>
    <t>1.294 - 2023</t>
  </si>
  <si>
    <t>cuota global</t>
  </si>
  <si>
    <t>CP 422 - 2023</t>
  </si>
  <si>
    <t>Sindicato Pesquero del Norte SpA.</t>
  </si>
  <si>
    <t>COLECTIVA</t>
  </si>
  <si>
    <t>Abel</t>
  </si>
  <si>
    <t>Amadeus</t>
  </si>
  <si>
    <t>Amadeus II</t>
  </si>
  <si>
    <t>Amadeus IV</t>
  </si>
  <si>
    <t>Arkhos II</t>
  </si>
  <si>
    <t>Arkhos III</t>
  </si>
  <si>
    <t>Arkhos IV</t>
  </si>
  <si>
    <t>Arkhos V</t>
  </si>
  <si>
    <t>Cesar Miguel</t>
  </si>
  <si>
    <t>Chango I</t>
  </si>
  <si>
    <t>Consuelito I</t>
  </si>
  <si>
    <t>Coyi I</t>
  </si>
  <si>
    <t>Coyi II</t>
  </si>
  <si>
    <t>Daniel</t>
  </si>
  <si>
    <t>Don German CSA</t>
  </si>
  <si>
    <t>Don Jose I</t>
  </si>
  <si>
    <t>Don Mario 1</t>
  </si>
  <si>
    <t>Elva S</t>
  </si>
  <si>
    <t>Gracias a Dios I</t>
  </si>
  <si>
    <t>Gracias a Dios IV</t>
  </si>
  <si>
    <t>Gringo Pablo II</t>
  </si>
  <si>
    <t>Guajache II</t>
  </si>
  <si>
    <t>Ike I</t>
  </si>
  <si>
    <t>Jorge Hernan M</t>
  </si>
  <si>
    <t>Karen Pamela</t>
  </si>
  <si>
    <t>Kaweskar</t>
  </si>
  <si>
    <t>Kimba I</t>
  </si>
  <si>
    <t>Lobo de Afuera IV</t>
  </si>
  <si>
    <t>Lobo de Afuera VI</t>
  </si>
  <si>
    <t>Lobo de Afuera VII</t>
  </si>
  <si>
    <t>Loreto V</t>
  </si>
  <si>
    <t>Mar Tercero</t>
  </si>
  <si>
    <t>Marcelo Rodolfo</t>
  </si>
  <si>
    <t>Odiseo II</t>
  </si>
  <si>
    <t>Pelicano II</t>
  </si>
  <si>
    <t>Petrohue I</t>
  </si>
  <si>
    <t>Petrohue II</t>
  </si>
  <si>
    <t>Petrohue III</t>
  </si>
  <si>
    <t>Rina F y M</t>
  </si>
  <si>
    <t>Santa Margarita I</t>
  </si>
  <si>
    <t>Sebastian Alejandro</t>
  </si>
  <si>
    <t>Shalom II</t>
  </si>
  <si>
    <t>Tuareg I</t>
  </si>
  <si>
    <t>CUOTA GLOBAL</t>
  </si>
  <si>
    <t>CONTROL DE CUOTAS PESCA DE INVESTIGACIÓN AÑO 2024</t>
  </si>
  <si>
    <t>Total P. investigación</t>
  </si>
  <si>
    <t>Resolución</t>
  </si>
  <si>
    <t>Cuota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</si>
  <si>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</si>
  <si>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</si>
  <si>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</si>
  <si>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</si>
  <si>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</si>
  <si>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</si>
  <si>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</si>
  <si>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</si>
  <si>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</si>
  <si>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</si>
  <si>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</si>
  <si>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</si>
  <si>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saldo_porcentaje</t>
  </si>
  <si>
    <t>cierre</t>
  </si>
  <si>
    <t>Preliminar</t>
  </si>
  <si>
    <t>año</t>
  </si>
  <si>
    <t>comentario</t>
  </si>
  <si>
    <t>ANCHOVETA</t>
  </si>
  <si>
    <t>TITULAR LTP</t>
  </si>
  <si>
    <t>TOTAL ASIGNATARIO LTP</t>
  </si>
  <si>
    <t>SARDINA ESPAÑOLA</t>
  </si>
  <si>
    <t>REGION</t>
  </si>
  <si>
    <t>TOTAL ASIGNATARIO MACROZONA</t>
  </si>
  <si>
    <t>TOTAL ASIGNATARIO REGION</t>
  </si>
  <si>
    <t>Fauna acompañante XV-III</t>
  </si>
  <si>
    <t>ORGANIZACIÓN</t>
  </si>
  <si>
    <t>Fauna acompañante IV</t>
  </si>
  <si>
    <t>MACROZONA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</si>
</sst>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"/>
    <numFmt numFmtId="166" formatCode="[$-F800]dddd\,\ mmmm\ dd\,\ yyyy"/>
    <numFmt numFmtId="167" formatCode="yyyy/mm/dd;@"/>
    <numFmt numFmtId="168" formatCode="#\ ##0.000"/>
    <numFmt numFmtId="169" formatCode="#\ ##0.00"/>
    <numFmt numFmtId="170" formatCode="##\ ##0.000"/>
    <numFmt numFmtId="171" formatCode="0.000%"/>
    <numFmt numFmtId="172" formatCode="####\ ##0.000"/>
    <numFmt numFmtId="173" formatCode="0.0"/>
    <numFmt numFmtId="174" formatCode="##\ ##0.00"/>
    <numFmt numFmtId="175" formatCode="###\ ##0.00"/>
    <numFmt numFmtId="176" formatCode="0.0000000"/>
    <numFmt numFmtId="177" formatCode="0.000000"/>
    <numFmt numFmtId="178" formatCode="0.0%"/>
    <numFmt numFmtId="179" formatCode="0.0000"/>
    <numFmt numFmtId="180" formatCode="0.00000"/>
    <numFmt numFmtId="181" formatCode="0.000_ "/>
    <numFmt numFmtId="182" formatCode="#,##0.0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5" tint="0.80001220740379042"/>
        </stop>
        <stop position="0.5">
          <color theme="5" tint="0.40000610370189521"/>
        </stop>
        <stop position="1">
          <color theme="5" tint="0.80001220740379042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auto="1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41">
    <xf numFmtId="0" fontId="0" fillId="0" borderId="0"/>
    <xf numFmtId="9" fontId="1" fillId="0" borderId="0" applyFont="0" applyFill="0" applyBorder="0" applyAlignment="0" applyProtection="0"/>
    <xf numFmtId="9" fontId="1" fillId="28" borderId="0" applyFon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4" fillId="21" borderId="18" applyNumberFormat="0" applyAlignment="0" applyProtection="0"/>
    <xf numFmtId="0" fontId="14" fillId="21" borderId="18" applyNumberFormat="0" applyAlignment="0" applyProtection="0"/>
    <xf numFmtId="0" fontId="14" fillId="21" borderId="18" applyNumberFormat="0" applyAlignment="0" applyProtection="0"/>
    <xf numFmtId="0" fontId="14" fillId="21" borderId="18" applyNumberFormat="0" applyAlignment="0" applyProtection="0"/>
    <xf numFmtId="0" fontId="14" fillId="21" borderId="18" applyNumberFormat="0" applyAlignment="0" applyProtection="0"/>
    <xf numFmtId="0" fontId="15" fillId="0" borderId="19" applyNumberFormat="0" applyFill="0" applyAlignment="0" applyProtection="0"/>
    <xf numFmtId="0" fontId="15" fillId="0" borderId="19" applyNumberFormat="0" applyFill="0" applyAlignment="0" applyProtection="0"/>
    <xf numFmtId="0" fontId="15" fillId="0" borderId="19" applyNumberFormat="0" applyFill="0" applyAlignment="0" applyProtection="0"/>
    <xf numFmtId="0" fontId="15" fillId="0" borderId="19" applyNumberFormat="0" applyFill="0" applyAlignment="0" applyProtection="0"/>
    <xf numFmtId="0" fontId="15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5" fillId="0" borderId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4" fillId="0" borderId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3" fillId="20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17" fillId="11" borderId="17" applyNumberForma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4" fillId="27" borderId="15" applyNumberFormat="0" applyFon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0" fillId="20" borderId="20" applyNumberFormat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8" fillId="0" borderId="0" applyFont="0" applyFill="0" applyBorder="0" applyAlignment="0" applyProtection="0"/>
    <xf numFmtId="0" fontId="50" fillId="0" borderId="0"/>
    <xf numFmtId="0" fontId="5" fillId="0" borderId="0"/>
  </cellStyleXfs>
  <cellXfs count="60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9" fontId="0" fillId="0" borderId="0" xfId="1" applyFont="1"/>
    <xf numFmtId="168" fontId="0" fillId="0" borderId="2" xfId="0" applyNumberFormat="1" applyBorder="1"/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168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left" vertical="center"/>
    </xf>
    <xf numFmtId="168" fontId="0" fillId="0" borderId="3" xfId="0" applyNumberFormat="1" applyBorder="1"/>
    <xf numFmtId="9" fontId="0" fillId="0" borderId="11" xfId="1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168" fontId="0" fillId="0" borderId="5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168" fontId="0" fillId="0" borderId="8" xfId="0" applyNumberFormat="1" applyBorder="1"/>
    <xf numFmtId="168" fontId="0" fillId="0" borderId="16" xfId="0" applyNumberFormat="1" applyBorder="1"/>
    <xf numFmtId="9" fontId="0" fillId="0" borderId="7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26" xfId="1" applyFont="1" applyBorder="1" applyAlignment="1">
      <alignment horizontal="center" vertical="center"/>
    </xf>
    <xf numFmtId="168" fontId="0" fillId="0" borderId="16" xfId="0" applyNumberFormat="1" applyBorder="1" applyAlignment="1">
      <alignment vertical="center"/>
    </xf>
    <xf numFmtId="9" fontId="0" fillId="0" borderId="6" xfId="1" applyFont="1" applyFill="1" applyBorder="1" applyAlignment="1">
      <alignment horizontal="center"/>
    </xf>
    <xf numFmtId="14" fontId="0" fillId="0" borderId="0" xfId="0" applyNumberFormat="1"/>
    <xf numFmtId="9" fontId="0" fillId="0" borderId="1" xfId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0" fillId="0" borderId="0" xfId="1" applyNumberFormat="1" applyFont="1" applyAlignment="1">
      <alignment horizontal="center"/>
    </xf>
    <xf numFmtId="168" fontId="0" fillId="0" borderId="1" xfId="0" applyNumberFormat="1" applyBorder="1" applyAlignment="1">
      <alignment horizontal="center" vertical="center"/>
    </xf>
    <xf numFmtId="171" fontId="0" fillId="0" borderId="1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1" borderId="1" xfId="0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31" borderId="8" xfId="0" applyFont="1" applyFill="1" applyBorder="1" applyAlignment="1">
      <alignment horizontal="center" vertical="center"/>
    </xf>
    <xf numFmtId="0" fontId="2" fillId="31" borderId="3" xfId="0" applyFont="1" applyFill="1" applyBorder="1" applyAlignment="1">
      <alignment horizontal="center" vertical="center"/>
    </xf>
    <xf numFmtId="0" fontId="2" fillId="31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5" borderId="10" xfId="0" applyFont="1" applyFill="1" applyBorder="1" applyAlignment="1">
      <alignment horizontal="center" vertical="center" wrapText="1"/>
    </xf>
    <xf numFmtId="0" fontId="2" fillId="35" borderId="12" xfId="0" applyFont="1" applyFill="1" applyBorder="1" applyAlignment="1">
      <alignment horizontal="center" vertical="center"/>
    </xf>
    <xf numFmtId="0" fontId="2" fillId="35" borderId="13" xfId="0" applyFont="1" applyFill="1" applyBorder="1" applyAlignment="1">
      <alignment horizontal="center" vertical="center"/>
    </xf>
    <xf numFmtId="0" fontId="2" fillId="35" borderId="13" xfId="0" applyFont="1" applyFill="1" applyBorder="1" applyAlignment="1">
      <alignment horizontal="center" vertical="center" wrapText="1"/>
    </xf>
    <xf numFmtId="0" fontId="2" fillId="35" borderId="14" xfId="0" applyFont="1" applyFill="1" applyBorder="1" applyAlignment="1">
      <alignment horizontal="center" vertical="center"/>
    </xf>
    <xf numFmtId="0" fontId="2" fillId="35" borderId="12" xfId="0" applyFont="1" applyFill="1" applyBorder="1" applyAlignment="1">
      <alignment horizontal="center" vertical="center" wrapText="1"/>
    </xf>
    <xf numFmtId="0" fontId="0" fillId="32" borderId="2" xfId="0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171" fontId="0" fillId="0" borderId="0" xfId="1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9" fontId="0" fillId="0" borderId="11" xfId="1" applyFon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170" fontId="0" fillId="0" borderId="8" xfId="0" applyNumberFormat="1" applyBorder="1" applyAlignment="1">
      <alignment horizontal="center" vertical="center"/>
    </xf>
    <xf numFmtId="0" fontId="32" fillId="30" borderId="3" xfId="0" applyFont="1" applyFill="1" applyBorder="1" applyAlignment="1">
      <alignment horizontal="left" vertical="center" wrapText="1"/>
    </xf>
    <xf numFmtId="0" fontId="30" fillId="32" borderId="2" xfId="0" applyFont="1" applyFill="1" applyBorder="1" applyAlignment="1">
      <alignment horizontal="center" vertical="center"/>
    </xf>
    <xf numFmtId="0" fontId="30" fillId="32" borderId="3" xfId="0" applyFont="1" applyFill="1" applyBorder="1" applyAlignment="1">
      <alignment horizontal="left" vertical="center"/>
    </xf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72" fontId="0" fillId="32" borderId="2" xfId="0" applyNumberFormat="1" applyFill="1" applyBorder="1" applyAlignment="1">
      <alignment horizontal="right" vertical="center"/>
    </xf>
    <xf numFmtId="1" fontId="0" fillId="37" borderId="1" xfId="0" applyNumberFormat="1" applyFill="1" applyBorder="1"/>
    <xf numFmtId="1" fontId="0" fillId="37" borderId="0" xfId="0" applyNumberFormat="1" applyFill="1"/>
    <xf numFmtId="165" fontId="0" fillId="32" borderId="0" xfId="0" applyNumberFormat="1" applyFill="1"/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0" fontId="30" fillId="32" borderId="2" xfId="0" applyFont="1" applyFill="1" applyBorder="1" applyAlignment="1">
      <alignment horizontal="left" vertical="center"/>
    </xf>
    <xf numFmtId="168" fontId="0" fillId="32" borderId="2" xfId="0" applyNumberFormat="1" applyFill="1" applyBorder="1" applyAlignment="1">
      <alignment horizontal="right" vertical="center"/>
    </xf>
    <xf numFmtId="168" fontId="0" fillId="32" borderId="33" xfId="0" applyNumberFormat="1" applyFill="1" applyBorder="1" applyAlignment="1">
      <alignment horizontal="right" vertical="center"/>
    </xf>
    <xf numFmtId="165" fontId="0" fillId="0" borderId="33" xfId="0" applyNumberFormat="1" applyBorder="1" applyAlignment="1">
      <alignment horizontal="center" vertical="center"/>
    </xf>
    <xf numFmtId="0" fontId="0" fillId="0" borderId="33" xfId="0" applyBorder="1"/>
    <xf numFmtId="173" fontId="0" fillId="37" borderId="1" xfId="0" applyNumberFormat="1" applyFill="1" applyBorder="1"/>
    <xf numFmtId="165" fontId="0" fillId="0" borderId="2" xfId="0" applyNumberFormat="1" applyBorder="1" applyAlignment="1">
      <alignment horizontal="center" vertical="center"/>
    </xf>
    <xf numFmtId="9" fontId="0" fillId="0" borderId="34" xfId="1" applyFont="1" applyFill="1" applyBorder="1" applyAlignment="1">
      <alignment horizontal="center"/>
    </xf>
    <xf numFmtId="168" fontId="0" fillId="0" borderId="25" xfId="0" applyNumberFormat="1" applyBorder="1" applyAlignment="1">
      <alignment vertical="center"/>
    </xf>
    <xf numFmtId="0" fontId="0" fillId="0" borderId="32" xfId="0" applyBorder="1" applyAlignment="1">
      <alignment horizontal="center" vertical="center"/>
    </xf>
    <xf numFmtId="168" fontId="0" fillId="0" borderId="32" xfId="0" applyNumberFormat="1" applyBorder="1" applyAlignment="1">
      <alignment vertical="center"/>
    </xf>
    <xf numFmtId="9" fontId="0" fillId="0" borderId="2" xfId="1" applyFont="1" applyFill="1" applyBorder="1" applyAlignment="1">
      <alignment horizontal="center"/>
    </xf>
    <xf numFmtId="16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left"/>
    </xf>
    <xf numFmtId="1" fontId="0" fillId="37" borderId="35" xfId="0" applyNumberFormat="1" applyFill="1" applyBorder="1"/>
    <xf numFmtId="0" fontId="0" fillId="0" borderId="35" xfId="0" applyBorder="1"/>
    <xf numFmtId="168" fontId="0" fillId="0" borderId="35" xfId="0" applyNumberFormat="1" applyBorder="1"/>
    <xf numFmtId="9" fontId="0" fillId="0" borderId="35" xfId="1" applyFont="1" applyFill="1" applyBorder="1" applyAlignment="1">
      <alignment horizontal="center"/>
    </xf>
    <xf numFmtId="169" fontId="0" fillId="0" borderId="35" xfId="0" applyNumberFormat="1" applyBorder="1"/>
    <xf numFmtId="169" fontId="0" fillId="0" borderId="35" xfId="0" applyNumberForma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8" fontId="0" fillId="29" borderId="2" xfId="0" applyNumberFormat="1" applyFill="1" applyBorder="1" applyAlignment="1">
      <alignment horizontal="center" vertical="center"/>
    </xf>
    <xf numFmtId="9" fontId="0" fillId="29" borderId="2" xfId="1" applyFont="1" applyFill="1" applyBorder="1" applyAlignment="1">
      <alignment horizontal="center" vertical="center"/>
    </xf>
    <xf numFmtId="0" fontId="0" fillId="32" borderId="2" xfId="0" applyFill="1" applyBorder="1" applyAlignment="1">
      <alignment horizontal="center" vertical="center"/>
    </xf>
    <xf numFmtId="9" fontId="0" fillId="0" borderId="37" xfId="1" applyFont="1" applyBorder="1" applyAlignment="1">
      <alignment horizontal="center" vertical="center"/>
    </xf>
    <xf numFmtId="0" fontId="7" fillId="0" borderId="0" xfId="0" applyFont="1"/>
    <xf numFmtId="168" fontId="0" fillId="40" borderId="37" xfId="0" applyNumberFormat="1" applyFill="1" applyBorder="1" applyAlignment="1">
      <alignment horizontal="center" vertical="center"/>
    </xf>
    <xf numFmtId="168" fontId="2" fillId="40" borderId="37" xfId="0" applyNumberFormat="1" applyFont="1" applyFill="1" applyBorder="1" applyAlignment="1">
      <alignment horizontal="center" vertical="center"/>
    </xf>
    <xf numFmtId="171" fontId="0" fillId="40" borderId="37" xfId="1" applyNumberFormat="1" applyFont="1" applyFill="1" applyBorder="1" applyAlignment="1">
      <alignment horizontal="center" vertical="center"/>
    </xf>
    <xf numFmtId="14" fontId="2" fillId="40" borderId="37" xfId="0" applyNumberFormat="1" applyFont="1" applyFill="1" applyBorder="1" applyAlignment="1">
      <alignment horizontal="center" vertical="center"/>
    </xf>
    <xf numFmtId="9" fontId="0" fillId="40" borderId="37" xfId="1" applyFont="1" applyFill="1" applyBorder="1" applyAlignment="1">
      <alignment horizontal="center" vertical="center"/>
    </xf>
    <xf numFmtId="0" fontId="2" fillId="31" borderId="38" xfId="0" applyFont="1" applyFill="1" applyBorder="1" applyAlignment="1">
      <alignment horizontal="center" vertical="center"/>
    </xf>
    <xf numFmtId="0" fontId="2" fillId="31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  <xf numFmtId="9" fontId="0" fillId="0" borderId="0" xfId="1" applyFont="1" applyBorder="1" applyAlignment="1"/>
    <xf numFmtId="0" fontId="34" fillId="30" borderId="37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7" xfId="0" applyFill="1" applyBorder="1" applyAlignment="1">
      <alignment horizontal="center" vertical="center"/>
    </xf>
    <xf numFmtId="168" fontId="0" fillId="0" borderId="37" xfId="0" applyNumberFormat="1" applyBorder="1"/>
    <xf numFmtId="0" fontId="0" fillId="0" borderId="37" xfId="0" applyBorder="1"/>
    <xf numFmtId="168" fontId="2" fillId="31" borderId="37" xfId="0" applyNumberFormat="1" applyFont="1" applyFill="1" applyBorder="1" applyAlignment="1">
      <alignment horizontal="center" vertical="center"/>
    </xf>
    <xf numFmtId="0" fontId="0" fillId="32" borderId="37" xfId="0" applyFill="1" applyBorder="1" applyAlignment="1">
      <alignment horizontal="left"/>
    </xf>
    <xf numFmtId="168" fontId="0" fillId="32" borderId="37" xfId="0" applyNumberFormat="1" applyFill="1" applyBorder="1" applyAlignment="1">
      <alignment horizontal="right" vertical="center"/>
    </xf>
    <xf numFmtId="165" fontId="0" fillId="0" borderId="37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41" borderId="37" xfId="0" applyFill="1" applyBorder="1" applyAlignment="1">
      <alignment horizontal="center" vertical="center"/>
    </xf>
    <xf numFmtId="0" fontId="2" fillId="39" borderId="37" xfId="0" applyFont="1" applyFill="1" applyBorder="1" applyAlignment="1">
      <alignment horizontal="center" vertical="center"/>
    </xf>
    <xf numFmtId="0" fontId="2" fillId="39" borderId="37" xfId="0" applyFont="1" applyFill="1" applyBorder="1" applyAlignment="1">
      <alignment horizontal="center" vertical="center" wrapText="1"/>
    </xf>
    <xf numFmtId="0" fontId="39" fillId="41" borderId="37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" fillId="0" borderId="0" xfId="0" applyFont="1"/>
    <xf numFmtId="0" fontId="43" fillId="0" borderId="0" xfId="0" applyFont="1"/>
    <xf numFmtId="0" fontId="3" fillId="0" borderId="37" xfId="0" applyFont="1" applyBorder="1"/>
    <xf numFmtId="0" fontId="3" fillId="3" borderId="37" xfId="0" applyFont="1" applyFill="1" applyBorder="1"/>
    <xf numFmtId="0" fontId="3" fillId="3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165" fontId="2" fillId="0" borderId="37" xfId="0" applyNumberFormat="1" applyFont="1" applyBorder="1"/>
    <xf numFmtId="0" fontId="0" fillId="0" borderId="33" xfId="0" applyBorder="1" applyAlignment="1">
      <alignment horizontal="center"/>
    </xf>
    <xf numFmtId="168" fontId="0" fillId="0" borderId="33" xfId="0" applyNumberFormat="1" applyBorder="1"/>
    <xf numFmtId="9" fontId="0" fillId="0" borderId="40" xfId="1" applyFont="1" applyFill="1" applyBorder="1" applyAlignment="1">
      <alignment horizontal="center"/>
    </xf>
    <xf numFmtId="170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9" fontId="0" fillId="0" borderId="43" xfId="1" applyFont="1" applyBorder="1" applyAlignment="1">
      <alignment horizontal="center" vertical="center"/>
    </xf>
    <xf numFmtId="9" fontId="0" fillId="0" borderId="37" xfId="1" applyFont="1" applyFill="1" applyBorder="1" applyAlignment="1">
      <alignment horizontal="center"/>
    </xf>
    <xf numFmtId="170" fontId="0" fillId="0" borderId="37" xfId="0" applyNumberFormat="1" applyBorder="1" applyAlignment="1">
      <alignment horizontal="center" vertical="center"/>
    </xf>
    <xf numFmtId="0" fontId="0" fillId="32" borderId="37" xfId="0" applyFill="1" applyBorder="1"/>
    <xf numFmtId="0" fontId="2" fillId="32" borderId="37" xfId="0" applyFont="1" applyFill="1" applyBorder="1" applyAlignment="1">
      <alignment horizontal="center" vertical="center"/>
    </xf>
    <xf numFmtId="0" fontId="43" fillId="0" borderId="37" xfId="0" applyFont="1" applyBorder="1" applyAlignment="1">
      <alignment horizontal="center"/>
    </xf>
    <xf numFmtId="14" fontId="43" fillId="0" borderId="37" xfId="0" applyNumberFormat="1" applyFont="1" applyBorder="1" applyAlignment="1">
      <alignment horizontal="center"/>
    </xf>
    <xf numFmtId="176" fontId="43" fillId="0" borderId="37" xfId="0" applyNumberFormat="1" applyFont="1" applyBorder="1" applyAlignment="1">
      <alignment horizontal="center"/>
    </xf>
    <xf numFmtId="0" fontId="43" fillId="3" borderId="37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44" fillId="0" borderId="37" xfId="0" applyFont="1" applyBorder="1" applyAlignment="1">
      <alignment horizontal="center"/>
    </xf>
    <xf numFmtId="14" fontId="44" fillId="0" borderId="37" xfId="0" applyNumberFormat="1" applyFont="1" applyBorder="1" applyAlignment="1">
      <alignment horizontal="center"/>
    </xf>
    <xf numFmtId="0" fontId="45" fillId="3" borderId="37" xfId="0" applyFont="1" applyFill="1" applyBorder="1" applyAlignment="1">
      <alignment horizontal="center" vertical="center"/>
    </xf>
    <xf numFmtId="176" fontId="44" fillId="0" borderId="37" xfId="0" applyNumberFormat="1" applyFont="1" applyBorder="1" applyAlignment="1">
      <alignment horizontal="center"/>
    </xf>
    <xf numFmtId="0" fontId="44" fillId="0" borderId="0" xfId="0" applyFont="1"/>
    <xf numFmtId="0" fontId="39" fillId="0" borderId="0" xfId="0" applyFont="1"/>
    <xf numFmtId="177" fontId="44" fillId="0" borderId="37" xfId="0" applyNumberFormat="1" applyFont="1" applyBorder="1" applyAlignment="1">
      <alignment horizontal="center"/>
    </xf>
    <xf numFmtId="0" fontId="2" fillId="0" borderId="39" xfId="0" applyFont="1" applyBorder="1"/>
    <xf numFmtId="9" fontId="0" fillId="0" borderId="0" xfId="1" applyFont="1" applyBorder="1" applyAlignment="1">
      <alignment horizontal="center" vertical="center"/>
    </xf>
    <xf numFmtId="9" fontId="0" fillId="31" borderId="37" xfId="1" applyFont="1" applyFill="1" applyBorder="1" applyAlignment="1">
      <alignment horizontal="center" vertical="center"/>
    </xf>
    <xf numFmtId="0" fontId="0" fillId="42" borderId="0" xfId="0" applyFill="1"/>
    <xf numFmtId="0" fontId="0" fillId="31" borderId="0" xfId="0" applyFill="1"/>
    <xf numFmtId="0" fontId="30" fillId="31" borderId="37" xfId="0" applyFont="1" applyFill="1" applyBorder="1" applyAlignment="1">
      <alignment horizontal="center" vertical="center"/>
    </xf>
    <xf numFmtId="168" fontId="0" fillId="31" borderId="37" xfId="0" applyNumberFormat="1" applyFill="1" applyBorder="1" applyAlignment="1">
      <alignment horizontal="center" vertical="center"/>
    </xf>
    <xf numFmtId="14" fontId="2" fillId="31" borderId="37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14" fontId="0" fillId="0" borderId="37" xfId="0" applyNumberForma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0" fillId="35" borderId="37" xfId="0" applyFill="1" applyBorder="1" applyAlignment="1">
      <alignment horizontal="center"/>
    </xf>
    <xf numFmtId="0" fontId="3" fillId="35" borderId="0" xfId="0" applyFont="1" applyFill="1"/>
    <xf numFmtId="0" fontId="46" fillId="30" borderId="37" xfId="0" applyFont="1" applyFill="1" applyBorder="1" applyAlignment="1">
      <alignment horizontal="left" vertical="center" wrapText="1"/>
    </xf>
    <xf numFmtId="0" fontId="35" fillId="2" borderId="37" xfId="0" applyFont="1" applyFill="1" applyBorder="1" applyAlignment="1">
      <alignment horizontal="left" vertical="center"/>
    </xf>
    <xf numFmtId="0" fontId="35" fillId="2" borderId="37" xfId="0" applyFont="1" applyFill="1" applyBorder="1" applyAlignment="1">
      <alignment horizontal="center" vertical="center"/>
    </xf>
    <xf numFmtId="0" fontId="35" fillId="0" borderId="37" xfId="0" applyFont="1" applyBorder="1"/>
    <xf numFmtId="168" fontId="35" fillId="0" borderId="37" xfId="0" applyNumberFormat="1" applyFont="1" applyBorder="1"/>
    <xf numFmtId="9" fontId="35" fillId="0" borderId="11" xfId="1" applyFont="1" applyBorder="1" applyAlignment="1">
      <alignment horizontal="center"/>
    </xf>
    <xf numFmtId="168" fontId="35" fillId="0" borderId="16" xfId="0" applyNumberFormat="1" applyFont="1" applyBorder="1"/>
    <xf numFmtId="0" fontId="38" fillId="30" borderId="37" xfId="0" applyFont="1" applyFill="1" applyBorder="1" applyAlignment="1">
      <alignment horizontal="left" vertical="center"/>
    </xf>
    <xf numFmtId="0" fontId="46" fillId="32" borderId="37" xfId="0" applyFont="1" applyFill="1" applyBorder="1" applyAlignment="1">
      <alignment horizontal="left" vertical="center" wrapText="1"/>
    </xf>
    <xf numFmtId="168" fontId="35" fillId="32" borderId="33" xfId="0" applyNumberFormat="1" applyFont="1" applyFill="1" applyBorder="1" applyAlignment="1">
      <alignment horizontal="right" vertical="center"/>
    </xf>
    <xf numFmtId="165" fontId="35" fillId="0" borderId="33" xfId="0" applyNumberFormat="1" applyFont="1" applyBorder="1" applyAlignment="1">
      <alignment horizontal="center" vertical="center"/>
    </xf>
    <xf numFmtId="9" fontId="35" fillId="0" borderId="11" xfId="1" applyFont="1" applyFill="1" applyBorder="1" applyAlignment="1">
      <alignment horizontal="center"/>
    </xf>
    <xf numFmtId="168" fontId="35" fillId="0" borderId="16" xfId="0" applyNumberFormat="1" applyFont="1" applyBorder="1" applyAlignment="1">
      <alignment vertical="center"/>
    </xf>
    <xf numFmtId="168" fontId="2" fillId="3" borderId="37" xfId="0" applyNumberFormat="1" applyFont="1" applyFill="1" applyBorder="1" applyAlignment="1">
      <alignment horizontal="center" vertical="center"/>
    </xf>
    <xf numFmtId="168" fontId="2" fillId="3" borderId="35" xfId="0" applyNumberFormat="1" applyFont="1" applyFill="1" applyBorder="1" applyAlignment="1">
      <alignment horizontal="center" vertical="center"/>
    </xf>
    <xf numFmtId="0" fontId="2" fillId="41" borderId="37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168" fontId="0" fillId="3" borderId="37" xfId="0" applyNumberFormat="1" applyFill="1" applyBorder="1" applyAlignment="1">
      <alignment horizontal="center" vertical="center"/>
    </xf>
    <xf numFmtId="168" fontId="0" fillId="0" borderId="0" xfId="0" applyNumberFormat="1"/>
    <xf numFmtId="165" fontId="38" fillId="0" borderId="37" xfId="0" applyNumberFormat="1" applyFont="1" applyBorder="1" applyAlignment="1">
      <alignment horizontal="center" vertical="center"/>
    </xf>
    <xf numFmtId="0" fontId="2" fillId="34" borderId="1" xfId="0" applyFont="1" applyFill="1" applyBorder="1" applyAlignment="1">
      <alignment horizontal="center" vertical="center"/>
    </xf>
    <xf numFmtId="0" fontId="2" fillId="31" borderId="41" xfId="0" applyFont="1" applyFill="1" applyBorder="1" applyAlignment="1">
      <alignment horizontal="center" vertical="center"/>
    </xf>
    <xf numFmtId="0" fontId="2" fillId="31" borderId="42" xfId="0" applyFont="1" applyFill="1" applyBorder="1" applyAlignment="1">
      <alignment horizontal="center" vertical="center"/>
    </xf>
    <xf numFmtId="0" fontId="2" fillId="31" borderId="42" xfId="0" applyFont="1" applyFill="1" applyBorder="1" applyAlignment="1">
      <alignment horizontal="center" vertical="center" wrapText="1"/>
    </xf>
    <xf numFmtId="0" fontId="2" fillId="34" borderId="42" xfId="0" applyFont="1" applyFill="1" applyBorder="1" applyAlignment="1">
      <alignment horizontal="center" vertical="center" wrapText="1"/>
    </xf>
    <xf numFmtId="0" fontId="2" fillId="34" borderId="47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14" fontId="2" fillId="0" borderId="42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4" borderId="42" xfId="0" applyFont="1" applyFill="1" applyBorder="1" applyAlignment="1">
      <alignment horizontal="center" vertical="center"/>
    </xf>
    <xf numFmtId="9" fontId="2" fillId="0" borderId="42" xfId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44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44" borderId="37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5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179" fontId="0" fillId="0" borderId="37" xfId="0" applyNumberFormat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0" fontId="0" fillId="41" borderId="37" xfId="0" applyFill="1" applyBorder="1" applyAlignment="1">
      <alignment horizontal="center"/>
    </xf>
    <xf numFmtId="0" fontId="3" fillId="41" borderId="0" xfId="0" applyFont="1" applyFill="1"/>
    <xf numFmtId="0" fontId="3" fillId="5" borderId="0" xfId="0" applyFont="1" applyFill="1"/>
    <xf numFmtId="180" fontId="2" fillId="0" borderId="3" xfId="0" applyNumberFormat="1" applyFont="1" applyBorder="1" applyAlignment="1">
      <alignment horizontal="center" vertical="center"/>
    </xf>
    <xf numFmtId="0" fontId="2" fillId="40" borderId="42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9" fontId="0" fillId="41" borderId="37" xfId="1" applyFont="1" applyFill="1" applyBorder="1" applyAlignment="1">
      <alignment horizontal="center" vertical="center"/>
    </xf>
    <xf numFmtId="0" fontId="30" fillId="41" borderId="37" xfId="0" applyFont="1" applyFill="1" applyBorder="1" applyAlignment="1">
      <alignment horizontal="center"/>
    </xf>
    <xf numFmtId="0" fontId="0" fillId="41" borderId="37" xfId="0" applyFill="1" applyBorder="1"/>
    <xf numFmtId="168" fontId="0" fillId="41" borderId="37" xfId="0" applyNumberFormat="1" applyFill="1" applyBorder="1" applyAlignment="1">
      <alignment horizontal="right" vertical="center"/>
    </xf>
    <xf numFmtId="0" fontId="40" fillId="41" borderId="37" xfId="0" applyFont="1" applyFill="1" applyBorder="1" applyAlignment="1">
      <alignment horizontal="center"/>
    </xf>
    <xf numFmtId="168" fontId="0" fillId="41" borderId="37" xfId="0" applyNumberFormat="1" applyFill="1" applyBorder="1" applyAlignment="1">
      <alignment horizontal="center" vertical="center"/>
    </xf>
    <xf numFmtId="0" fontId="30" fillId="44" borderId="37" xfId="0" applyFont="1" applyFill="1" applyBorder="1" applyAlignment="1">
      <alignment horizontal="center" vertical="center"/>
    </xf>
    <xf numFmtId="0" fontId="0" fillId="44" borderId="37" xfId="0" applyFill="1" applyBorder="1" applyAlignment="1">
      <alignment horizontal="center" vertical="center" wrapText="1"/>
    </xf>
    <xf numFmtId="0" fontId="30" fillId="44" borderId="37" xfId="0" applyFont="1" applyFill="1" applyBorder="1" applyAlignment="1">
      <alignment horizontal="center" vertical="center" wrapText="1"/>
    </xf>
    <xf numFmtId="0" fontId="0" fillId="44" borderId="37" xfId="0" applyFill="1" applyBorder="1"/>
    <xf numFmtId="168" fontId="0" fillId="44" borderId="37" xfId="0" applyNumberFormat="1" applyFill="1" applyBorder="1" applyAlignment="1">
      <alignment horizontal="center" vertical="center"/>
    </xf>
    <xf numFmtId="0" fontId="0" fillId="42" borderId="2" xfId="0" applyFill="1" applyBorder="1" applyAlignment="1">
      <alignment horizontal="center" vertical="center"/>
    </xf>
    <xf numFmtId="168" fontId="0" fillId="41" borderId="35" xfId="0" applyNumberFormat="1" applyFill="1" applyBorder="1" applyAlignment="1">
      <alignment horizontal="center" vertical="center"/>
    </xf>
    <xf numFmtId="168" fontId="0" fillId="41" borderId="1" xfId="0" applyNumberFormat="1" applyFill="1" applyBorder="1" applyAlignment="1">
      <alignment horizontal="center"/>
    </xf>
    <xf numFmtId="169" fontId="0" fillId="41" borderId="1" xfId="0" applyNumberFormat="1" applyFill="1" applyBorder="1" applyAlignment="1">
      <alignment horizontal="center" vertical="center"/>
    </xf>
    <xf numFmtId="168" fontId="0" fillId="41" borderId="0" xfId="0" applyNumberFormat="1" applyFill="1" applyAlignment="1">
      <alignment horizontal="center"/>
    </xf>
    <xf numFmtId="0" fontId="2" fillId="32" borderId="0" xfId="0" applyFont="1" applyFill="1" applyAlignment="1">
      <alignment horizontal="center" vertical="center"/>
    </xf>
    <xf numFmtId="0" fontId="0" fillId="32" borderId="0" xfId="0" applyFill="1" applyAlignment="1">
      <alignment horizontal="center" vertical="center"/>
    </xf>
    <xf numFmtId="9" fontId="0" fillId="32" borderId="0" xfId="1" applyFont="1" applyFill="1" applyBorder="1" applyAlignment="1">
      <alignment horizontal="center" vertical="center"/>
    </xf>
    <xf numFmtId="0" fontId="2" fillId="32" borderId="3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4" fontId="0" fillId="0" borderId="37" xfId="0" applyNumberFormat="1" applyBorder="1" applyAlignment="1">
      <alignment horizontal="center" vertical="center"/>
    </xf>
    <xf numFmtId="0" fontId="0" fillId="36" borderId="37" xfId="0" applyFill="1" applyBorder="1" applyAlignment="1">
      <alignment horizontal="center" vertical="center"/>
    </xf>
    <xf numFmtId="14" fontId="0" fillId="36" borderId="37" xfId="0" applyNumberFormat="1" applyFill="1" applyBorder="1" applyAlignment="1">
      <alignment horizontal="center" vertical="center"/>
    </xf>
    <xf numFmtId="0" fontId="2" fillId="36" borderId="0" xfId="0" applyFont="1" applyFill="1" applyAlignment="1">
      <alignment horizontal="center"/>
    </xf>
    <xf numFmtId="0" fontId="0" fillId="35" borderId="37" xfId="0" applyFill="1" applyBorder="1" applyAlignment="1">
      <alignment horizontal="center" vertical="center"/>
    </xf>
    <xf numFmtId="14" fontId="0" fillId="35" borderId="37" xfId="0" applyNumberFormat="1" applyFill="1" applyBorder="1" applyAlignment="1">
      <alignment horizontal="center" vertical="center"/>
    </xf>
    <xf numFmtId="0" fontId="2" fillId="35" borderId="2" xfId="0" applyFont="1" applyFill="1" applyBorder="1" applyAlignment="1">
      <alignment horizontal="center" vertical="center"/>
    </xf>
    <xf numFmtId="0" fontId="2" fillId="35" borderId="37" xfId="0" applyFont="1" applyFill="1" applyBorder="1" applyAlignment="1">
      <alignment horizontal="center" vertical="center"/>
    </xf>
    <xf numFmtId="0" fontId="0" fillId="35" borderId="0" xfId="0" applyFill="1"/>
    <xf numFmtId="14" fontId="0" fillId="2" borderId="37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/>
    <xf numFmtId="0" fontId="0" fillId="29" borderId="37" xfId="0" applyFill="1" applyBorder="1" applyAlignment="1">
      <alignment horizontal="center" vertical="center"/>
    </xf>
    <xf numFmtId="14" fontId="0" fillId="29" borderId="37" xfId="0" applyNumberFormat="1" applyFill="1" applyBorder="1" applyAlignment="1">
      <alignment horizontal="center" vertical="center"/>
    </xf>
    <xf numFmtId="0" fontId="0" fillId="34" borderId="37" xfId="0" applyFill="1" applyBorder="1" applyAlignment="1">
      <alignment horizontal="center" vertical="center"/>
    </xf>
    <xf numFmtId="14" fontId="0" fillId="34" borderId="37" xfId="0" applyNumberFormat="1" applyFill="1" applyBorder="1" applyAlignment="1">
      <alignment horizontal="center" vertical="center"/>
    </xf>
    <xf numFmtId="0" fontId="0" fillId="34" borderId="33" xfId="0" applyFill="1" applyBorder="1" applyAlignment="1">
      <alignment horizontal="center" vertical="center"/>
    </xf>
    <xf numFmtId="14" fontId="0" fillId="34" borderId="33" xfId="0" applyNumberForma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14" fontId="0" fillId="42" borderId="37" xfId="0" applyNumberFormat="1" applyFill="1" applyBorder="1" applyAlignment="1">
      <alignment horizontal="center" vertical="center"/>
    </xf>
    <xf numFmtId="0" fontId="0" fillId="42" borderId="33" xfId="0" applyFill="1" applyBorder="1" applyAlignment="1">
      <alignment horizontal="center" vertical="center"/>
    </xf>
    <xf numFmtId="14" fontId="0" fillId="42" borderId="33" xfId="0" applyNumberFormat="1" applyFill="1" applyBorder="1" applyAlignment="1">
      <alignment horizontal="center" vertical="center"/>
    </xf>
    <xf numFmtId="0" fontId="48" fillId="46" borderId="37" xfId="0" applyFont="1" applyFill="1" applyBorder="1" applyAlignment="1">
      <alignment horizontal="center" vertical="center"/>
    </xf>
    <xf numFmtId="14" fontId="48" fillId="46" borderId="37" xfId="0" applyNumberFormat="1" applyFont="1" applyFill="1" applyBorder="1" applyAlignment="1">
      <alignment horizontal="center" vertical="center"/>
    </xf>
    <xf numFmtId="0" fontId="2" fillId="36" borderId="3" xfId="0" applyFont="1" applyFill="1" applyBorder="1" applyAlignment="1">
      <alignment horizontal="center"/>
    </xf>
    <xf numFmtId="0" fontId="2" fillId="36" borderId="37" xfId="0" applyFont="1" applyFill="1" applyBorder="1" applyAlignment="1">
      <alignment horizontal="center"/>
    </xf>
    <xf numFmtId="14" fontId="0" fillId="3" borderId="37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47" borderId="37" xfId="0" applyFill="1" applyBorder="1" applyAlignment="1">
      <alignment horizontal="center" vertical="center"/>
    </xf>
    <xf numFmtId="14" fontId="0" fillId="47" borderId="37" xfId="0" applyNumberFormat="1" applyFill="1" applyBorder="1" applyAlignment="1">
      <alignment horizontal="center" vertical="center"/>
    </xf>
    <xf numFmtId="0" fontId="2" fillId="47" borderId="3" xfId="0" applyFont="1" applyFill="1" applyBorder="1"/>
    <xf numFmtId="0" fontId="2" fillId="47" borderId="3" xfId="0" applyFont="1" applyFill="1" applyBorder="1" applyAlignment="1">
      <alignment horizontal="center" vertical="center"/>
    </xf>
    <xf numFmtId="0" fontId="2" fillId="47" borderId="42" xfId="0" applyFont="1" applyFill="1" applyBorder="1" applyAlignment="1">
      <alignment horizontal="center"/>
    </xf>
    <xf numFmtId="0" fontId="2" fillId="47" borderId="37" xfId="0" applyFont="1" applyFill="1" applyBorder="1" applyAlignment="1">
      <alignment horizontal="left" vertical="center"/>
    </xf>
    <xf numFmtId="0" fontId="2" fillId="47" borderId="37" xfId="0" applyFont="1" applyFill="1" applyBorder="1" applyAlignment="1">
      <alignment horizontal="center" vertical="center"/>
    </xf>
    <xf numFmtId="0" fontId="2" fillId="47" borderId="37" xfId="0" applyFont="1" applyFill="1" applyBorder="1" applyAlignment="1">
      <alignment horizontal="center"/>
    </xf>
    <xf numFmtId="0" fontId="2" fillId="47" borderId="2" xfId="0" applyFont="1" applyFill="1" applyBorder="1" applyAlignment="1">
      <alignment horizontal="center" vertical="center"/>
    </xf>
    <xf numFmtId="0" fontId="2" fillId="47" borderId="37" xfId="0" applyFont="1" applyFill="1" applyBorder="1"/>
    <xf numFmtId="0" fontId="2" fillId="47" borderId="33" xfId="0" applyFont="1" applyFill="1" applyBorder="1"/>
    <xf numFmtId="0" fontId="2" fillId="47" borderId="33" xfId="0" applyFont="1" applyFill="1" applyBorder="1" applyAlignment="1">
      <alignment horizontal="center" vertical="center"/>
    </xf>
    <xf numFmtId="14" fontId="0" fillId="41" borderId="37" xfId="0" applyNumberFormat="1" applyFill="1" applyBorder="1" applyAlignment="1">
      <alignment horizontal="center" vertical="center"/>
    </xf>
    <xf numFmtId="0" fontId="0" fillId="41" borderId="37" xfId="0" applyFill="1" applyBorder="1" applyAlignment="1">
      <alignment horizontal="right" vertical="center"/>
    </xf>
    <xf numFmtId="165" fontId="0" fillId="41" borderId="37" xfId="0" applyNumberFormat="1" applyFill="1" applyBorder="1" applyAlignment="1">
      <alignment horizontal="right" vertical="center"/>
    </xf>
    <xf numFmtId="0" fontId="0" fillId="48" borderId="37" xfId="0" applyFill="1" applyBorder="1" applyAlignment="1">
      <alignment horizontal="center" vertical="center"/>
    </xf>
    <xf numFmtId="14" fontId="0" fillId="48" borderId="37" xfId="0" applyNumberFormat="1" applyFill="1" applyBorder="1" applyAlignment="1">
      <alignment horizontal="center" vertical="center"/>
    </xf>
    <xf numFmtId="181" fontId="0" fillId="48" borderId="5" xfId="0" applyNumberFormat="1" applyFill="1" applyBorder="1" applyAlignment="1">
      <alignment horizontal="right" vertical="center"/>
    </xf>
    <xf numFmtId="0" fontId="0" fillId="48" borderId="5" xfId="0" applyFill="1" applyBorder="1" applyAlignment="1">
      <alignment horizontal="right" vertical="center"/>
    </xf>
    <xf numFmtId="0" fontId="0" fillId="49" borderId="37" xfId="0" applyFill="1" applyBorder="1" applyAlignment="1">
      <alignment horizontal="center" vertical="center"/>
    </xf>
    <xf numFmtId="14" fontId="0" fillId="49" borderId="37" xfId="0" applyNumberFormat="1" applyFill="1" applyBorder="1" applyAlignment="1">
      <alignment horizontal="center" vertical="center"/>
    </xf>
    <xf numFmtId="0" fontId="2" fillId="36" borderId="3" xfId="0" applyFont="1" applyFill="1" applyBorder="1" applyAlignment="1">
      <alignment horizontal="center" vertical="center"/>
    </xf>
    <xf numFmtId="0" fontId="2" fillId="36" borderId="37" xfId="0" applyFont="1" applyFill="1" applyBorder="1" applyAlignment="1">
      <alignment horizontal="center" vertical="center"/>
    </xf>
    <xf numFmtId="0" fontId="2" fillId="36" borderId="33" xfId="0" applyFont="1" applyFill="1" applyBorder="1" applyAlignment="1">
      <alignment horizontal="center" vertical="center"/>
    </xf>
    <xf numFmtId="0" fontId="0" fillId="48" borderId="0" xfId="0" applyFill="1"/>
    <xf numFmtId="168" fontId="2" fillId="41" borderId="37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4" borderId="46" xfId="0" applyFont="1" applyFill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44" borderId="2" xfId="0" applyFont="1" applyFill="1" applyBorder="1" applyAlignment="1">
      <alignment horizontal="center"/>
    </xf>
    <xf numFmtId="0" fontId="0" fillId="35" borderId="37" xfId="0" applyFill="1" applyBorder="1"/>
    <xf numFmtId="0" fontId="2" fillId="43" borderId="37" xfId="0" applyFont="1" applyFill="1" applyBorder="1" applyAlignment="1">
      <alignment horizontal="center" vertical="center" wrapText="1"/>
    </xf>
    <xf numFmtId="0" fontId="2" fillId="43" borderId="37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0" fillId="29" borderId="37" xfId="0" applyFill="1" applyBorder="1" applyAlignment="1">
      <alignment horizontal="center" vertical="center" wrapText="1"/>
    </xf>
    <xf numFmtId="0" fontId="30" fillId="29" borderId="37" xfId="0" applyFont="1" applyFill="1" applyBorder="1" applyAlignment="1">
      <alignment horizontal="center" vertical="center" wrapText="1"/>
    </xf>
    <xf numFmtId="10" fontId="0" fillId="3" borderId="37" xfId="1" applyNumberFormat="1" applyFont="1" applyFill="1" applyBorder="1" applyAlignment="1">
      <alignment horizontal="center" vertical="center"/>
    </xf>
    <xf numFmtId="14" fontId="35" fillId="3" borderId="37" xfId="0" applyNumberFormat="1" applyFont="1" applyFill="1" applyBorder="1" applyAlignment="1">
      <alignment horizontal="center" vertical="center"/>
    </xf>
    <xf numFmtId="168" fontId="0" fillId="50" borderId="37" xfId="0" applyNumberFormat="1" applyFill="1" applyBorder="1" applyAlignment="1">
      <alignment horizontal="center" vertical="center"/>
    </xf>
    <xf numFmtId="9" fontId="0" fillId="50" borderId="37" xfId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0" fillId="0" borderId="0" xfId="0" applyNumberFormat="1"/>
    <xf numFmtId="0" fontId="30" fillId="43" borderId="37" xfId="0" applyFont="1" applyFill="1" applyBorder="1" applyAlignment="1">
      <alignment horizontal="center" vertical="center" wrapText="1"/>
    </xf>
    <xf numFmtId="170" fontId="0" fillId="3" borderId="37" xfId="0" applyNumberFormat="1" applyFill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2" fillId="52" borderId="37" xfId="0" applyFont="1" applyFill="1" applyBorder="1" applyAlignment="1">
      <alignment horizontal="center" vertical="center" wrapText="1"/>
    </xf>
    <xf numFmtId="0" fontId="2" fillId="52" borderId="37" xfId="0" applyFont="1" applyFill="1" applyBorder="1" applyAlignment="1">
      <alignment horizontal="center" vertical="center"/>
    </xf>
    <xf numFmtId="0" fontId="0" fillId="52" borderId="37" xfId="0" applyFill="1" applyBorder="1" applyAlignment="1">
      <alignment horizontal="center" vertical="center" wrapText="1"/>
    </xf>
    <xf numFmtId="0" fontId="30" fillId="52" borderId="37" xfId="0" applyFont="1" applyFill="1" applyBorder="1" applyAlignment="1">
      <alignment horizontal="center" vertical="center" wrapText="1"/>
    </xf>
    <xf numFmtId="0" fontId="0" fillId="52" borderId="37" xfId="0" applyFill="1" applyBorder="1" applyAlignment="1">
      <alignment horizontal="center" vertical="center"/>
    </xf>
    <xf numFmtId="168" fontId="0" fillId="52" borderId="37" xfId="0" applyNumberFormat="1" applyFill="1" applyBorder="1" applyAlignment="1">
      <alignment horizontal="center" vertical="center"/>
    </xf>
    <xf numFmtId="168" fontId="2" fillId="52" borderId="37" xfId="0" applyNumberFormat="1" applyFont="1" applyFill="1" applyBorder="1" applyAlignment="1">
      <alignment horizontal="center" vertical="center"/>
    </xf>
    <xf numFmtId="182" fontId="0" fillId="0" borderId="0" xfId="0" applyNumberFormat="1"/>
    <xf numFmtId="4" fontId="0" fillId="0" borderId="0" xfId="0" applyNumberFormat="1"/>
    <xf numFmtId="0" fontId="2" fillId="53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41" borderId="37" xfId="0" applyFill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/>
    </xf>
    <xf numFmtId="165" fontId="0" fillId="0" borderId="37" xfId="0" applyNumberFormat="1" applyBorder="1" applyAlignment="1">
      <alignment vertical="center" wrapText="1"/>
    </xf>
    <xf numFmtId="165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38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37" xfId="0" applyNumberFormat="1" applyBorder="1" applyAlignment="1">
      <alignment vertical="center"/>
    </xf>
    <xf numFmtId="4" fontId="0" fillId="0" borderId="37" xfId="0" applyNumberForma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4" fontId="6" fillId="0" borderId="37" xfId="0" applyNumberFormat="1" applyFont="1" applyBorder="1" applyAlignment="1">
      <alignment horizontal="center" vertical="center" wrapText="1"/>
    </xf>
    <xf numFmtId="10" fontId="6" fillId="0" borderId="37" xfId="0" applyNumberFormat="1" applyFont="1" applyBorder="1" applyAlignment="1">
      <alignment horizontal="center" vertical="center" wrapText="1"/>
    </xf>
    <xf numFmtId="4" fontId="6" fillId="41" borderId="37" xfId="0" applyNumberFormat="1" applyFont="1" applyFill="1" applyBorder="1" applyAlignment="1">
      <alignment horizontal="center" vertical="center" wrapText="1"/>
    </xf>
    <xf numFmtId="165" fontId="2" fillId="0" borderId="37" xfId="0" applyNumberFormat="1" applyFont="1" applyBorder="1" applyAlignment="1">
      <alignment horizontal="center" vertical="center"/>
    </xf>
    <xf numFmtId="4" fontId="38" fillId="0" borderId="37" xfId="0" applyNumberFormat="1" applyFont="1" applyBorder="1" applyAlignment="1">
      <alignment horizontal="center" vertical="center"/>
    </xf>
    <xf numFmtId="165" fontId="0" fillId="0" borderId="37" xfId="0" applyNumberFormat="1" applyBorder="1"/>
    <xf numFmtId="168" fontId="0" fillId="0" borderId="37" xfId="0" applyNumberFormat="1" applyBorder="1" applyAlignment="1">
      <alignment horizontal="center"/>
    </xf>
    <xf numFmtId="165" fontId="38" fillId="0" borderId="0" xfId="0" applyNumberFormat="1" applyFont="1" applyAlignment="1">
      <alignment horizontal="center" vertical="center"/>
    </xf>
    <xf numFmtId="4" fontId="2" fillId="0" borderId="37" xfId="0" applyNumberFormat="1" applyFont="1" applyBorder="1" applyAlignment="1">
      <alignment horizontal="center" vertical="center"/>
    </xf>
    <xf numFmtId="0" fontId="49" fillId="0" borderId="37" xfId="0" applyFont="1" applyBorder="1" applyAlignment="1">
      <alignment horizontal="center" vertical="center" wrapText="1"/>
    </xf>
    <xf numFmtId="4" fontId="49" fillId="0" borderId="37" xfId="0" applyNumberFormat="1" applyFont="1" applyBorder="1" applyAlignment="1">
      <alignment horizontal="center" vertical="center" wrapText="1"/>
    </xf>
    <xf numFmtId="4" fontId="49" fillId="41" borderId="37" xfId="0" applyNumberFormat="1" applyFont="1" applyFill="1" applyBorder="1" applyAlignment="1">
      <alignment horizontal="center" vertical="center" wrapText="1"/>
    </xf>
    <xf numFmtId="165" fontId="2" fillId="29" borderId="37" xfId="0" applyNumberFormat="1" applyFont="1" applyFill="1" applyBorder="1" applyAlignment="1">
      <alignment horizontal="center"/>
    </xf>
    <xf numFmtId="4" fontId="2" fillId="0" borderId="37" xfId="0" applyNumberFormat="1" applyFont="1" applyBorder="1" applyAlignment="1">
      <alignment horizontal="center"/>
    </xf>
    <xf numFmtId="168" fontId="35" fillId="0" borderId="0" xfId="0" applyNumberFormat="1" applyFont="1"/>
    <xf numFmtId="4" fontId="6" fillId="0" borderId="0" xfId="0" applyNumberFormat="1" applyFont="1" applyAlignment="1">
      <alignment horizontal="center" vertical="center" wrapText="1"/>
    </xf>
    <xf numFmtId="179" fontId="0" fillId="0" borderId="0" xfId="0" applyNumberFormat="1"/>
    <xf numFmtId="9" fontId="0" fillId="29" borderId="37" xfId="1" applyFont="1" applyFill="1" applyBorder="1" applyAlignment="1">
      <alignment horizontal="center" vertical="center"/>
    </xf>
    <xf numFmtId="9" fontId="0" fillId="42" borderId="37" xfId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2" fontId="0" fillId="0" borderId="0" xfId="0" applyNumberFormat="1"/>
    <xf numFmtId="0" fontId="2" fillId="41" borderId="37" xfId="0" applyFont="1" applyFill="1" applyBorder="1" applyAlignment="1">
      <alignment horizontal="center"/>
    </xf>
    <xf numFmtId="1" fontId="0" fillId="0" borderId="37" xfId="0" applyNumberFormat="1" applyBorder="1" applyAlignment="1">
      <alignment horizontal="center" vertical="center"/>
    </xf>
    <xf numFmtId="0" fontId="26" fillId="0" borderId="37" xfId="339" applyFont="1" applyBorder="1" applyAlignment="1">
      <alignment horizontal="left" wrapText="1"/>
    </xf>
    <xf numFmtId="0" fontId="26" fillId="0" borderId="37" xfId="339" applyFont="1" applyBorder="1" applyAlignment="1">
      <alignment horizontal="center" wrapText="1"/>
    </xf>
    <xf numFmtId="0" fontId="51" fillId="0" borderId="37" xfId="340" applyFont="1" applyBorder="1" applyAlignment="1">
      <alignment horizontal="center" vertical="top" wrapText="1"/>
    </xf>
    <xf numFmtId="0" fontId="47" fillId="0" borderId="37" xfId="0" applyFont="1" applyBorder="1" applyAlignment="1">
      <alignment horizontal="center"/>
    </xf>
    <xf numFmtId="169" fontId="52" fillId="0" borderId="37" xfId="0" applyNumberFormat="1" applyFont="1" applyBorder="1" applyAlignment="1">
      <alignment horizontal="center"/>
    </xf>
    <xf numFmtId="168" fontId="52" fillId="0" borderId="37" xfId="0" applyNumberFormat="1" applyFont="1" applyBorder="1" applyAlignment="1">
      <alignment horizontal="center"/>
    </xf>
    <xf numFmtId="9" fontId="47" fillId="0" borderId="37" xfId="1" applyFont="1" applyFill="1" applyBorder="1" applyAlignment="1">
      <alignment horizontal="center"/>
    </xf>
    <xf numFmtId="172" fontId="52" fillId="0" borderId="37" xfId="0" applyNumberFormat="1" applyFont="1" applyBorder="1" applyAlignment="1">
      <alignment horizontal="center"/>
    </xf>
    <xf numFmtId="0" fontId="2" fillId="42" borderId="37" xfId="0" applyFont="1" applyFill="1" applyBorder="1" applyAlignment="1">
      <alignment horizontal="center" vertical="center"/>
    </xf>
    <xf numFmtId="0" fontId="0" fillId="36" borderId="37" xfId="0" applyFill="1" applyBorder="1" applyAlignment="1">
      <alignment horizontal="center"/>
    </xf>
    <xf numFmtId="169" fontId="0" fillId="36" borderId="37" xfId="0" applyNumberFormat="1" applyFill="1" applyBorder="1" applyAlignment="1">
      <alignment horizontal="center" vertical="center"/>
    </xf>
    <xf numFmtId="169" fontId="0" fillId="31" borderId="37" xfId="0" applyNumberFormat="1" applyFill="1" applyBorder="1" applyAlignment="1">
      <alignment horizontal="center" vertical="center"/>
    </xf>
    <xf numFmtId="168" fontId="0" fillId="36" borderId="37" xfId="0" applyNumberFormat="1" applyFill="1" applyBorder="1" applyAlignment="1">
      <alignment horizontal="center" vertical="center"/>
    </xf>
    <xf numFmtId="0" fontId="0" fillId="31" borderId="37" xfId="0" applyFill="1" applyBorder="1" applyAlignment="1">
      <alignment horizontal="center"/>
    </xf>
    <xf numFmtId="175" fontId="0" fillId="31" borderId="37" xfId="0" applyNumberFormat="1" applyFill="1" applyBorder="1" applyAlignment="1">
      <alignment horizontal="center" vertical="center"/>
    </xf>
    <xf numFmtId="169" fontId="0" fillId="45" borderId="37" xfId="0" applyNumberFormat="1" applyFill="1" applyBorder="1" applyAlignment="1">
      <alignment horizontal="center" vertical="center"/>
    </xf>
    <xf numFmtId="0" fontId="0" fillId="43" borderId="37" xfId="0" applyFill="1" applyBorder="1" applyAlignment="1">
      <alignment horizontal="center"/>
    </xf>
    <xf numFmtId="169" fontId="0" fillId="43" borderId="37" xfId="0" applyNumberFormat="1" applyFill="1" applyBorder="1" applyAlignment="1">
      <alignment horizontal="center" vertical="center"/>
    </xf>
    <xf numFmtId="169" fontId="0" fillId="42" borderId="37" xfId="0" applyNumberFormat="1" applyFill="1" applyBorder="1" applyAlignment="1">
      <alignment horizontal="center" vertical="center"/>
    </xf>
    <xf numFmtId="168" fontId="0" fillId="42" borderId="37" xfId="0" applyNumberFormat="1" applyFill="1" applyBorder="1" applyAlignment="1">
      <alignment horizontal="center" vertical="center"/>
    </xf>
    <xf numFmtId="0" fontId="31" fillId="42" borderId="37" xfId="0" applyFont="1" applyFill="1" applyBorder="1" applyAlignment="1">
      <alignment horizontal="center" vertical="center" wrapText="1"/>
    </xf>
    <xf numFmtId="174" fontId="0" fillId="2" borderId="37" xfId="0" applyNumberFormat="1" applyFill="1" applyBorder="1" applyAlignment="1">
      <alignment horizontal="center" vertical="center"/>
    </xf>
    <xf numFmtId="168" fontId="0" fillId="2" borderId="37" xfId="0" applyNumberFormat="1" applyFill="1" applyBorder="1" applyAlignment="1">
      <alignment horizontal="center" vertical="center"/>
    </xf>
    <xf numFmtId="169" fontId="0" fillId="2" borderId="37" xfId="0" applyNumberFormat="1" applyFill="1" applyBorder="1" applyAlignment="1">
      <alignment horizontal="center" vertical="center"/>
    </xf>
    <xf numFmtId="9" fontId="0" fillId="2" borderId="37" xfId="1" applyFont="1" applyFill="1" applyBorder="1" applyAlignment="1">
      <alignment horizontal="center" vertical="center"/>
    </xf>
    <xf numFmtId="168" fontId="0" fillId="43" borderId="37" xfId="0" applyNumberFormat="1" applyFill="1" applyBorder="1" applyAlignment="1">
      <alignment horizontal="center" vertical="center"/>
    </xf>
    <xf numFmtId="9" fontId="0" fillId="43" borderId="37" xfId="1" applyFont="1" applyFill="1" applyBorder="1" applyAlignment="1">
      <alignment horizontal="center" vertical="center"/>
    </xf>
    <xf numFmtId="0" fontId="30" fillId="42" borderId="37" xfId="0" applyFont="1" applyFill="1" applyBorder="1" applyAlignment="1">
      <alignment horizontal="center" vertical="center"/>
    </xf>
    <xf numFmtId="0" fontId="2" fillId="29" borderId="37" xfId="0" applyFont="1" applyFill="1" applyBorder="1" applyAlignment="1">
      <alignment horizontal="center" vertical="center" wrapText="1"/>
    </xf>
    <xf numFmtId="0" fontId="2" fillId="29" borderId="37" xfId="0" applyFont="1" applyFill="1" applyBorder="1" applyAlignment="1">
      <alignment horizontal="center" vertical="center"/>
    </xf>
    <xf numFmtId="0" fontId="0" fillId="32" borderId="33" xfId="0" applyFill="1" applyBorder="1" applyAlignment="1">
      <alignment horizontal="center" vertical="center" wrapText="1"/>
    </xf>
    <xf numFmtId="0" fontId="30" fillId="32" borderId="33" xfId="0" applyFont="1" applyFill="1" applyBorder="1" applyAlignment="1">
      <alignment horizontal="center" vertical="center" wrapText="1"/>
    </xf>
    <xf numFmtId="168" fontId="0" fillId="32" borderId="37" xfId="0" applyNumberFormat="1" applyFill="1" applyBorder="1" applyAlignment="1">
      <alignment horizontal="center" vertical="center"/>
    </xf>
    <xf numFmtId="9" fontId="0" fillId="32" borderId="37" xfId="1" applyFont="1" applyFill="1" applyBorder="1" applyAlignment="1">
      <alignment horizontal="center" vertical="center"/>
    </xf>
    <xf numFmtId="0" fontId="0" fillId="32" borderId="37" xfId="0" applyFill="1" applyBorder="1" applyAlignment="1">
      <alignment horizontal="center" vertical="center"/>
    </xf>
    <xf numFmtId="168" fontId="0" fillId="29" borderId="37" xfId="0" applyNumberFormat="1" applyFill="1" applyBorder="1" applyAlignment="1">
      <alignment horizontal="center" vertical="center"/>
    </xf>
    <xf numFmtId="0" fontId="39" fillId="32" borderId="37" xfId="0" applyFont="1" applyFill="1" applyBorder="1" applyAlignment="1">
      <alignment horizontal="center" vertical="center"/>
    </xf>
    <xf numFmtId="0" fontId="40" fillId="32" borderId="33" xfId="0" applyFont="1" applyFill="1" applyBorder="1" applyAlignment="1">
      <alignment horizontal="center" vertical="center" wrapText="1"/>
    </xf>
    <xf numFmtId="0" fontId="39" fillId="32" borderId="37" xfId="0" applyFont="1" applyFill="1" applyBorder="1"/>
    <xf numFmtId="168" fontId="39" fillId="32" borderId="37" xfId="0" applyNumberFormat="1" applyFont="1" applyFill="1" applyBorder="1" applyAlignment="1">
      <alignment horizontal="right" vertical="center"/>
    </xf>
    <xf numFmtId="168" fontId="39" fillId="32" borderId="37" xfId="0" applyNumberFormat="1" applyFont="1" applyFill="1" applyBorder="1" applyAlignment="1">
      <alignment horizontal="center" vertical="center"/>
    </xf>
    <xf numFmtId="14" fontId="35" fillId="32" borderId="37" xfId="0" applyNumberFormat="1" applyFont="1" applyFill="1" applyBorder="1" applyAlignment="1">
      <alignment horizontal="center" vertical="center"/>
    </xf>
    <xf numFmtId="0" fontId="30" fillId="32" borderId="37" xfId="0" applyFont="1" applyFill="1" applyBorder="1" applyAlignment="1">
      <alignment horizontal="center" vertical="center" wrapText="1"/>
    </xf>
    <xf numFmtId="170" fontId="0" fillId="32" borderId="37" xfId="0" applyNumberFormat="1" applyFill="1" applyBorder="1" applyAlignment="1">
      <alignment horizontal="right" vertical="center"/>
    </xf>
    <xf numFmtId="168" fontId="35" fillId="0" borderId="37" xfId="0" applyNumberFormat="1" applyFont="1" applyBorder="1" applyAlignment="1">
      <alignment horizontal="center" vertical="center"/>
    </xf>
    <xf numFmtId="0" fontId="41" fillId="41" borderId="37" xfId="0" applyFont="1" applyFill="1" applyBorder="1" applyAlignment="1">
      <alignment horizontal="center"/>
    </xf>
    <xf numFmtId="0" fontId="42" fillId="41" borderId="37" xfId="0" applyFont="1" applyFill="1" applyBorder="1" applyAlignment="1">
      <alignment horizontal="center"/>
    </xf>
    <xf numFmtId="0" fontId="41" fillId="41" borderId="37" xfId="0" applyFont="1" applyFill="1" applyBorder="1"/>
    <xf numFmtId="168" fontId="41" fillId="41" borderId="37" xfId="0" applyNumberFormat="1" applyFont="1" applyFill="1" applyBorder="1" applyAlignment="1">
      <alignment horizontal="right" vertical="center"/>
    </xf>
    <xf numFmtId="168" fontId="35" fillId="41" borderId="37" xfId="0" applyNumberFormat="1" applyFont="1" applyFill="1" applyBorder="1" applyAlignment="1">
      <alignment horizontal="center" vertical="center"/>
    </xf>
    <xf numFmtId="168" fontId="39" fillId="41" borderId="37" xfId="0" applyNumberFormat="1" applyFont="1" applyFill="1" applyBorder="1" applyAlignment="1">
      <alignment horizontal="center" vertical="center"/>
    </xf>
    <xf numFmtId="9" fontId="39" fillId="2" borderId="37" xfId="1" applyFont="1" applyFill="1" applyBorder="1" applyAlignment="1">
      <alignment horizontal="center" vertical="center"/>
    </xf>
    <xf numFmtId="14" fontId="39" fillId="2" borderId="37" xfId="0" applyNumberFormat="1" applyFont="1" applyFill="1" applyBorder="1" applyAlignment="1">
      <alignment horizontal="center" vertical="center"/>
    </xf>
    <xf numFmtId="168" fontId="39" fillId="29" borderId="37" xfId="0" applyNumberFormat="1" applyFont="1" applyFill="1" applyBorder="1" applyAlignment="1">
      <alignment horizontal="center" vertical="center"/>
    </xf>
    <xf numFmtId="171" fontId="39" fillId="29" borderId="37" xfId="1" applyNumberFormat="1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/>
    </xf>
    <xf numFmtId="0" fontId="42" fillId="2" borderId="37" xfId="0" applyFont="1" applyFill="1" applyBorder="1" applyAlignment="1">
      <alignment horizontal="center"/>
    </xf>
    <xf numFmtId="0" fontId="41" fillId="2" borderId="37" xfId="0" applyFont="1" applyFill="1" applyBorder="1"/>
    <xf numFmtId="168" fontId="41" fillId="2" borderId="37" xfId="0" applyNumberFormat="1" applyFont="1" applyFill="1" applyBorder="1" applyAlignment="1">
      <alignment horizontal="right" vertical="center"/>
    </xf>
    <xf numFmtId="168" fontId="35" fillId="2" borderId="37" xfId="0" applyNumberFormat="1" applyFont="1" applyFill="1" applyBorder="1" applyAlignment="1">
      <alignment horizontal="center" vertical="center"/>
    </xf>
    <xf numFmtId="168" fontId="39" fillId="2" borderId="37" xfId="0" applyNumberFormat="1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30" fillId="2" borderId="37" xfId="0" applyFont="1" applyFill="1" applyBorder="1" applyAlignment="1">
      <alignment horizontal="center"/>
    </xf>
    <xf numFmtId="0" fontId="0" fillId="2" borderId="37" xfId="0" applyFill="1" applyBorder="1"/>
    <xf numFmtId="168" fontId="0" fillId="2" borderId="37" xfId="0" applyNumberFormat="1" applyFill="1" applyBorder="1" applyAlignment="1">
      <alignment horizontal="right" vertical="center"/>
    </xf>
    <xf numFmtId="168" fontId="47" fillId="0" borderId="37" xfId="0" applyNumberFormat="1" applyFont="1" applyBorder="1" applyAlignment="1">
      <alignment horizontal="center" vertical="center"/>
    </xf>
    <xf numFmtId="0" fontId="39" fillId="2" borderId="37" xfId="0" applyFont="1" applyFill="1" applyBorder="1" applyAlignment="1">
      <alignment horizontal="center" vertical="center"/>
    </xf>
    <xf numFmtId="9" fontId="39" fillId="29" borderId="37" xfId="1" applyFont="1" applyFill="1" applyBorder="1" applyAlignment="1">
      <alignment horizontal="center" vertical="center"/>
    </xf>
    <xf numFmtId="0" fontId="30" fillId="32" borderId="37" xfId="0" applyFont="1" applyFill="1" applyBorder="1" applyAlignment="1">
      <alignment horizontal="center" vertical="center"/>
    </xf>
    <xf numFmtId="0" fontId="30" fillId="32" borderId="37" xfId="0" applyFont="1" applyFill="1" applyBorder="1" applyAlignment="1">
      <alignment horizontal="left" vertical="center"/>
    </xf>
    <xf numFmtId="0" fontId="30" fillId="32" borderId="37" xfId="0" applyFont="1" applyFill="1" applyBorder="1" applyAlignment="1">
      <alignment horizontal="left" vertical="center" wrapText="1"/>
    </xf>
    <xf numFmtId="0" fontId="35" fillId="32" borderId="37" xfId="0" applyFont="1" applyFill="1" applyBorder="1" applyAlignment="1">
      <alignment horizontal="left"/>
    </xf>
    <xf numFmtId="0" fontId="30" fillId="41" borderId="37" xfId="0" applyFont="1" applyFill="1" applyBorder="1" applyAlignment="1">
      <alignment horizontal="left" vertical="center" wrapText="1"/>
    </xf>
    <xf numFmtId="0" fontId="32" fillId="30" borderId="37" xfId="0" applyFont="1" applyFill="1" applyBorder="1" applyAlignment="1">
      <alignment horizontal="left" vertical="center" wrapText="1"/>
    </xf>
    <xf numFmtId="0" fontId="2" fillId="0" borderId="37" xfId="0" applyFont="1" applyBorder="1"/>
    <xf numFmtId="0" fontId="35" fillId="41" borderId="37" xfId="0" applyFont="1" applyFill="1" applyBorder="1" applyAlignment="1">
      <alignment horizontal="center" vertical="center"/>
    </xf>
    <xf numFmtId="0" fontId="29" fillId="3" borderId="37" xfId="0" applyFont="1" applyFill="1" applyBorder="1" applyAlignment="1">
      <alignment horizontal="center" vertical="center"/>
    </xf>
    <xf numFmtId="0" fontId="29" fillId="3" borderId="37" xfId="0" applyFont="1" applyFill="1" applyBorder="1" applyAlignment="1">
      <alignment horizontal="center" vertical="center" wrapText="1"/>
    </xf>
    <xf numFmtId="9" fontId="29" fillId="3" borderId="37" xfId="1" applyFont="1" applyFill="1" applyBorder="1" applyAlignment="1">
      <alignment horizontal="center" vertical="center"/>
    </xf>
    <xf numFmtId="14" fontId="29" fillId="3" borderId="37" xfId="1" applyNumberFormat="1" applyFont="1" applyFill="1" applyBorder="1" applyAlignment="1">
      <alignment horizontal="center" vertical="center"/>
    </xf>
    <xf numFmtId="167" fontId="29" fillId="3" borderId="37" xfId="0" applyNumberFormat="1" applyFont="1" applyFill="1" applyBorder="1" applyAlignment="1">
      <alignment horizontal="center" vertical="center"/>
    </xf>
    <xf numFmtId="0" fontId="47" fillId="42" borderId="37" xfId="0" applyFont="1" applyFill="1" applyBorder="1" applyAlignment="1">
      <alignment horizontal="center" vertical="center"/>
    </xf>
    <xf numFmtId="0" fontId="30" fillId="42" borderId="37" xfId="0" applyFont="1" applyFill="1" applyBorder="1" applyAlignment="1">
      <alignment horizontal="center" vertical="center"/>
    </xf>
    <xf numFmtId="0" fontId="0" fillId="42" borderId="33" xfId="0" applyFill="1" applyBorder="1" applyAlignment="1">
      <alignment horizontal="center" vertical="center"/>
    </xf>
    <xf numFmtId="0" fontId="0" fillId="42" borderId="2" xfId="0" applyFill="1" applyBorder="1" applyAlignment="1">
      <alignment horizontal="center" vertical="center"/>
    </xf>
    <xf numFmtId="0" fontId="2" fillId="31" borderId="0" xfId="0" applyFont="1" applyFill="1" applyAlignment="1">
      <alignment horizontal="center" vertical="center"/>
    </xf>
    <xf numFmtId="0" fontId="31" fillId="2" borderId="37" xfId="0" applyFont="1" applyFill="1" applyBorder="1" applyAlignment="1">
      <alignment horizontal="center" vertical="center" wrapText="1"/>
    </xf>
    <xf numFmtId="166" fontId="2" fillId="31" borderId="0" xfId="0" applyNumberFormat="1" applyFont="1" applyFill="1" applyAlignment="1">
      <alignment horizontal="center"/>
    </xf>
    <xf numFmtId="0" fontId="2" fillId="31" borderId="0" xfId="0" applyFont="1" applyFill="1" applyAlignment="1">
      <alignment horizontal="center"/>
    </xf>
    <xf numFmtId="0" fontId="2" fillId="2" borderId="37" xfId="0" applyFont="1" applyFill="1" applyBorder="1" applyAlignment="1">
      <alignment horizontal="center" vertical="center"/>
    </xf>
    <xf numFmtId="0" fontId="2" fillId="31" borderId="37" xfId="0" applyFon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0" fontId="0" fillId="41" borderId="37" xfId="0" applyFill="1" applyBorder="1" applyAlignment="1">
      <alignment horizontal="center" vertical="center"/>
    </xf>
    <xf numFmtId="0" fontId="31" fillId="42" borderId="33" xfId="0" applyFont="1" applyFill="1" applyBorder="1" applyAlignment="1">
      <alignment horizontal="center" vertical="center" wrapText="1"/>
    </xf>
    <xf numFmtId="0" fontId="31" fillId="42" borderId="2" xfId="0" applyFont="1" applyFill="1" applyBorder="1" applyAlignment="1">
      <alignment horizontal="center" vertical="center" wrapText="1"/>
    </xf>
    <xf numFmtId="0" fontId="2" fillId="41" borderId="37" xfId="0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0" fillId="44" borderId="37" xfId="0" applyFont="1" applyFill="1" applyBorder="1" applyAlignment="1">
      <alignment horizontal="center" vertical="center"/>
    </xf>
    <xf numFmtId="0" fontId="39" fillId="41" borderId="3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2" borderId="33" xfId="0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 wrapText="1"/>
    </xf>
    <xf numFmtId="0" fontId="2" fillId="32" borderId="2" xfId="0" applyFont="1" applyFill="1" applyBorder="1" applyAlignment="1">
      <alignment horizontal="center" vertical="center" wrapText="1"/>
    </xf>
    <xf numFmtId="0" fontId="2" fillId="38" borderId="0" xfId="0" applyFont="1" applyFill="1" applyAlignment="1">
      <alignment horizontal="center" vertical="center"/>
    </xf>
    <xf numFmtId="0" fontId="0" fillId="36" borderId="33" xfId="0" applyFill="1" applyBorder="1" applyAlignment="1">
      <alignment horizontal="center" vertical="center"/>
    </xf>
    <xf numFmtId="0" fontId="0" fillId="36" borderId="1" xfId="0" applyFill="1" applyBorder="1" applyAlignment="1">
      <alignment horizontal="center" vertical="center"/>
    </xf>
    <xf numFmtId="0" fontId="0" fillId="36" borderId="2" xfId="0" applyFill="1" applyBorder="1" applyAlignment="1">
      <alignment horizontal="center" vertical="center"/>
    </xf>
    <xf numFmtId="0" fontId="0" fillId="42" borderId="1" xfId="0" applyFill="1" applyBorder="1" applyAlignment="1">
      <alignment horizontal="center" vertical="center"/>
    </xf>
    <xf numFmtId="9" fontId="0" fillId="42" borderId="37" xfId="1" applyFont="1" applyFill="1" applyBorder="1" applyAlignment="1">
      <alignment horizontal="center" vertical="center"/>
    </xf>
    <xf numFmtId="9" fontId="0" fillId="42" borderId="33" xfId="1" applyFont="1" applyFill="1" applyBorder="1" applyAlignment="1">
      <alignment horizontal="center" vertical="center"/>
    </xf>
    <xf numFmtId="0" fontId="48" fillId="46" borderId="37" xfId="0" applyFont="1" applyFill="1" applyBorder="1" applyAlignment="1">
      <alignment horizontal="center" vertical="center"/>
    </xf>
    <xf numFmtId="0" fontId="48" fillId="46" borderId="33" xfId="0" applyFont="1" applyFill="1" applyBorder="1" applyAlignment="1">
      <alignment horizontal="center" vertical="center"/>
    </xf>
    <xf numFmtId="0" fontId="48" fillId="46" borderId="1" xfId="0" applyFont="1" applyFill="1" applyBorder="1" applyAlignment="1">
      <alignment horizontal="center" vertical="center"/>
    </xf>
    <xf numFmtId="0" fontId="48" fillId="46" borderId="2" xfId="0" applyFont="1" applyFill="1" applyBorder="1" applyAlignment="1">
      <alignment horizontal="center" vertical="center"/>
    </xf>
    <xf numFmtId="9" fontId="48" fillId="46" borderId="33" xfId="1" applyFont="1" applyFill="1" applyBorder="1" applyAlignment="1">
      <alignment horizontal="center" vertical="center"/>
    </xf>
    <xf numFmtId="9" fontId="48" fillId="46" borderId="1" xfId="1" applyFont="1" applyFill="1" applyBorder="1" applyAlignment="1">
      <alignment horizontal="center" vertical="center"/>
    </xf>
    <xf numFmtId="9" fontId="48" fillId="46" borderId="2" xfId="1" applyFont="1" applyFill="1" applyBorder="1" applyAlignment="1">
      <alignment horizontal="center" vertical="center"/>
    </xf>
    <xf numFmtId="9" fontId="0" fillId="36" borderId="33" xfId="1" applyFont="1" applyFill="1" applyBorder="1" applyAlignment="1">
      <alignment horizontal="center" vertical="center"/>
    </xf>
    <xf numFmtId="9" fontId="0" fillId="36" borderId="1" xfId="1" applyFont="1" applyFill="1" applyBorder="1" applyAlignment="1">
      <alignment horizontal="center" vertical="center"/>
    </xf>
    <xf numFmtId="9" fontId="0" fillId="36" borderId="2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36" borderId="37" xfId="0" applyFill="1" applyBorder="1" applyAlignment="1">
      <alignment horizontal="center" vertical="center"/>
    </xf>
    <xf numFmtId="9" fontId="0" fillId="36" borderId="4" xfId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4" borderId="33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3" fontId="0" fillId="34" borderId="45" xfId="0" applyNumberFormat="1" applyFill="1" applyBorder="1" applyAlignment="1">
      <alignment horizontal="center" vertical="center"/>
    </xf>
    <xf numFmtId="3" fontId="0" fillId="34" borderId="44" xfId="0" applyNumberForma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35" borderId="33" xfId="0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0" fillId="35" borderId="2" xfId="0" applyFill="1" applyBorder="1" applyAlignment="1">
      <alignment horizontal="center" vertical="center"/>
    </xf>
    <xf numFmtId="9" fontId="0" fillId="29" borderId="37" xfId="1" applyFont="1" applyFill="1" applyBorder="1" applyAlignment="1">
      <alignment horizontal="center" vertical="center"/>
    </xf>
    <xf numFmtId="0" fontId="0" fillId="29" borderId="37" xfId="0" applyFill="1" applyBorder="1" applyAlignment="1">
      <alignment horizontal="center" vertical="center"/>
    </xf>
    <xf numFmtId="9" fontId="0" fillId="35" borderId="4" xfId="0" applyNumberFormat="1" applyFill="1" applyBorder="1" applyAlignment="1">
      <alignment horizontal="center" vertical="center"/>
    </xf>
    <xf numFmtId="9" fontId="0" fillId="35" borderId="1" xfId="0" applyNumberFormat="1" applyFill="1" applyBorder="1" applyAlignment="1">
      <alignment horizontal="center" vertical="center"/>
    </xf>
    <xf numFmtId="9" fontId="0" fillId="35" borderId="2" xfId="0" applyNumberForma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41" borderId="33" xfId="0" applyFill="1" applyBorder="1" applyAlignment="1">
      <alignment horizontal="center" vertical="center"/>
    </xf>
    <xf numFmtId="0" fontId="0" fillId="41" borderId="1" xfId="0" applyFill="1" applyBorder="1" applyAlignment="1">
      <alignment horizontal="center" vertical="center"/>
    </xf>
    <xf numFmtId="0" fontId="0" fillId="41" borderId="2" xfId="0" applyFill="1" applyBorder="1" applyAlignment="1">
      <alignment horizontal="center" vertical="center"/>
    </xf>
    <xf numFmtId="9" fontId="0" fillId="41" borderId="33" xfId="1" applyFont="1" applyFill="1" applyBorder="1" applyAlignment="1">
      <alignment horizontal="center" vertical="center"/>
    </xf>
    <xf numFmtId="9" fontId="0" fillId="41" borderId="1" xfId="1" applyFont="1" applyFill="1" applyBorder="1" applyAlignment="1">
      <alignment horizontal="center" vertical="center"/>
    </xf>
    <xf numFmtId="9" fontId="0" fillId="41" borderId="2" xfId="1" applyFont="1" applyFill="1" applyBorder="1" applyAlignment="1">
      <alignment horizontal="center" vertical="center"/>
    </xf>
    <xf numFmtId="9" fontId="0" fillId="48" borderId="33" xfId="1" applyFont="1" applyFill="1" applyBorder="1" applyAlignment="1">
      <alignment horizontal="center" vertical="center"/>
    </xf>
    <xf numFmtId="9" fontId="0" fillId="48" borderId="1" xfId="1" applyFont="1" applyFill="1" applyBorder="1" applyAlignment="1">
      <alignment horizontal="center" vertical="center"/>
    </xf>
    <xf numFmtId="9" fontId="0" fillId="48" borderId="2" xfId="1" applyFont="1" applyFill="1" applyBorder="1" applyAlignment="1">
      <alignment horizontal="center" vertical="center"/>
    </xf>
    <xf numFmtId="178" fontId="0" fillId="34" borderId="33" xfId="1" applyNumberFormat="1" applyFont="1" applyFill="1" applyBorder="1" applyAlignment="1">
      <alignment horizontal="center" vertical="center"/>
    </xf>
    <xf numFmtId="178" fontId="0" fillId="34" borderId="1" xfId="1" applyNumberFormat="1" applyFont="1" applyFill="1" applyBorder="1" applyAlignment="1">
      <alignment horizontal="center" vertical="center"/>
    </xf>
    <xf numFmtId="9" fontId="0" fillId="3" borderId="37" xfId="1" applyFont="1" applyFill="1" applyBorder="1" applyAlignment="1">
      <alignment horizontal="center" vertical="center"/>
    </xf>
    <xf numFmtId="0" fontId="0" fillId="47" borderId="33" xfId="0" applyFill="1" applyBorder="1" applyAlignment="1">
      <alignment horizontal="center" vertical="center"/>
    </xf>
    <xf numFmtId="0" fontId="0" fillId="47" borderId="1" xfId="0" applyFill="1" applyBorder="1" applyAlignment="1">
      <alignment horizontal="center" vertical="center"/>
    </xf>
    <xf numFmtId="0" fontId="0" fillId="47" borderId="2" xfId="0" applyFill="1" applyBorder="1" applyAlignment="1">
      <alignment horizontal="center" vertical="center"/>
    </xf>
    <xf numFmtId="9" fontId="0" fillId="47" borderId="33" xfId="1" applyFont="1" applyFill="1" applyBorder="1" applyAlignment="1">
      <alignment horizontal="center" vertical="center"/>
    </xf>
    <xf numFmtId="9" fontId="0" fillId="47" borderId="1" xfId="1" applyFont="1" applyFill="1" applyBorder="1" applyAlignment="1">
      <alignment horizontal="center" vertical="center"/>
    </xf>
    <xf numFmtId="9" fontId="0" fillId="47" borderId="2" xfId="1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49" borderId="37" xfId="0" applyFill="1" applyBorder="1" applyAlignment="1">
      <alignment horizontal="center" vertical="center"/>
    </xf>
    <xf numFmtId="0" fontId="0" fillId="48" borderId="37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33" xfId="1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0" fontId="2" fillId="33" borderId="0" xfId="0" applyFont="1" applyFill="1" applyAlignment="1">
      <alignment horizontal="center" vertical="center"/>
    </xf>
    <xf numFmtId="0" fontId="2" fillId="32" borderId="27" xfId="0" applyFont="1" applyFill="1" applyBorder="1" applyAlignment="1">
      <alignment horizontal="center"/>
    </xf>
    <xf numFmtId="0" fontId="2" fillId="32" borderId="28" xfId="0" applyFont="1" applyFill="1" applyBorder="1" applyAlignment="1">
      <alignment horizontal="center"/>
    </xf>
    <xf numFmtId="0" fontId="2" fillId="32" borderId="29" xfId="0" applyFont="1" applyFill="1" applyBorder="1" applyAlignment="1">
      <alignment horizontal="center"/>
    </xf>
    <xf numFmtId="0" fontId="27" fillId="5" borderId="8" xfId="0" applyFont="1" applyFill="1" applyBorder="1" applyAlignment="1">
      <alignment horizontal="center" vertical="center" textRotation="90"/>
    </xf>
    <xf numFmtId="0" fontId="27" fillId="5" borderId="16" xfId="0" applyFont="1" applyFill="1" applyBorder="1" applyAlignment="1">
      <alignment horizontal="center" vertical="center" textRotation="90"/>
    </xf>
    <xf numFmtId="0" fontId="27" fillId="5" borderId="31" xfId="0" applyFont="1" applyFill="1" applyBorder="1" applyAlignment="1">
      <alignment horizontal="center" vertical="center" textRotation="90"/>
    </xf>
    <xf numFmtId="0" fontId="3" fillId="35" borderId="8" xfId="0" applyFont="1" applyFill="1" applyBorder="1" applyAlignment="1">
      <alignment horizontal="center" vertical="center" textRotation="90" wrapText="1"/>
    </xf>
    <xf numFmtId="0" fontId="3" fillId="35" borderId="25" xfId="0" applyFont="1" applyFill="1" applyBorder="1" applyAlignment="1">
      <alignment horizontal="center" vertical="center" textRotation="90" wrapText="1"/>
    </xf>
    <xf numFmtId="0" fontId="3" fillId="35" borderId="16" xfId="0" applyFont="1" applyFill="1" applyBorder="1" applyAlignment="1">
      <alignment horizontal="center" vertical="center" textRotation="90" wrapText="1"/>
    </xf>
    <xf numFmtId="0" fontId="3" fillId="35" borderId="31" xfId="0" applyFont="1" applyFill="1" applyBorder="1" applyAlignment="1">
      <alignment horizontal="center" vertical="center" textRotation="90" wrapText="1"/>
    </xf>
    <xf numFmtId="0" fontId="3" fillId="35" borderId="36" xfId="0" applyFont="1" applyFill="1" applyBorder="1" applyAlignment="1">
      <alignment horizontal="center" vertical="center" textRotation="90" wrapText="1"/>
    </xf>
    <xf numFmtId="0" fontId="27" fillId="5" borderId="8" xfId="0" applyFont="1" applyFill="1" applyBorder="1" applyAlignment="1">
      <alignment horizontal="center" vertical="center" textRotation="90" wrapText="1"/>
    </xf>
    <xf numFmtId="0" fontId="27" fillId="5" borderId="16" xfId="0" applyFont="1" applyFill="1" applyBorder="1" applyAlignment="1">
      <alignment horizontal="center" vertical="center" textRotation="90" wrapText="1"/>
    </xf>
    <xf numFmtId="0" fontId="3" fillId="51" borderId="3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37" xfId="1" applyFont="1" applyFill="1" applyBorder="1" applyAlignment="1">
      <alignment horizontal="center" vertical="center"/>
    </xf>
    <xf numFmtId="9" fontId="2" fillId="0" borderId="46" xfId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14" fontId="2" fillId="0" borderId="36" xfId="0" applyNumberFormat="1" applyFont="1" applyBorder="1" applyAlignment="1">
      <alignment horizontal="center" vertical="center"/>
    </xf>
    <xf numFmtId="0" fontId="2" fillId="40" borderId="2" xfId="0" applyFont="1" applyFill="1" applyBorder="1" applyAlignment="1">
      <alignment horizontal="center" vertical="center"/>
    </xf>
    <xf numFmtId="0" fontId="2" fillId="40" borderId="37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35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/>
    </xf>
    <xf numFmtId="0" fontId="0" fillId="41" borderId="53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2" fillId="29" borderId="37" xfId="0" applyFont="1" applyFill="1" applyBorder="1" applyAlignment="1">
      <alignment horizontal="center" vertical="center"/>
    </xf>
    <xf numFmtId="166" fontId="0" fillId="3" borderId="37" xfId="0" applyNumberFormat="1" applyFill="1" applyBorder="1" applyAlignment="1">
      <alignment horizontal="center" vertical="center"/>
    </xf>
  </cellXfs>
  <cellStyles count="341">
    <cellStyle name="20% - Énfasis1 2" xfId="18" xr:uid="{00000000-0005-0000-0000-000000000000}"/>
    <cellStyle name="20% - Énfasis1 2 2" xfId="19" xr:uid="{00000000-0005-0000-0000-000001000000}"/>
    <cellStyle name="20% - Énfasis1 2 3" xfId="20" xr:uid="{00000000-0005-0000-0000-000002000000}"/>
    <cellStyle name="20% - Énfasis1 3" xfId="21" xr:uid="{00000000-0005-0000-0000-000003000000}"/>
    <cellStyle name="20% - Énfasis1 4" xfId="17" xr:uid="{00000000-0005-0000-0000-000004000000}"/>
    <cellStyle name="20% - Énfasis2 2" xfId="23" xr:uid="{00000000-0005-0000-0000-000005000000}"/>
    <cellStyle name="20% - Énfasis2 2 2" xfId="24" xr:uid="{00000000-0005-0000-0000-000006000000}"/>
    <cellStyle name="20% - Énfasis2 2 3" xfId="25" xr:uid="{00000000-0005-0000-0000-000007000000}"/>
    <cellStyle name="20% - Énfasis2 3" xfId="26" xr:uid="{00000000-0005-0000-0000-000008000000}"/>
    <cellStyle name="20% - Énfasis2 4" xfId="22" xr:uid="{00000000-0005-0000-0000-000009000000}"/>
    <cellStyle name="20% - Énfasis3 2" xfId="28" xr:uid="{00000000-0005-0000-0000-00000A000000}"/>
    <cellStyle name="20% - Énfasis3 2 2" xfId="29" xr:uid="{00000000-0005-0000-0000-00000B000000}"/>
    <cellStyle name="20% - Énfasis3 2 3" xfId="30" xr:uid="{00000000-0005-0000-0000-00000C000000}"/>
    <cellStyle name="20% - Énfasis3 3" xfId="31" xr:uid="{00000000-0005-0000-0000-00000D000000}"/>
    <cellStyle name="20% - Énfasis3 4" xfId="27" xr:uid="{00000000-0005-0000-0000-00000E000000}"/>
    <cellStyle name="20% - Énfasis4 2" xfId="33" xr:uid="{00000000-0005-0000-0000-00000F000000}"/>
    <cellStyle name="20% - Énfasis4 2 2" xfId="34" xr:uid="{00000000-0005-0000-0000-000010000000}"/>
    <cellStyle name="20% - Énfasis4 2 3" xfId="35" xr:uid="{00000000-0005-0000-0000-000011000000}"/>
    <cellStyle name="20% - Énfasis4 3" xfId="36" xr:uid="{00000000-0005-0000-0000-000012000000}"/>
    <cellStyle name="20% - Énfasis4 4" xfId="32" xr:uid="{00000000-0005-0000-0000-000013000000}"/>
    <cellStyle name="20% - Énfasis5 2" xfId="38" xr:uid="{00000000-0005-0000-0000-000014000000}"/>
    <cellStyle name="20% - Énfasis5 2 2" xfId="39" xr:uid="{00000000-0005-0000-0000-000015000000}"/>
    <cellStyle name="20% - Énfasis5 2 3" xfId="40" xr:uid="{00000000-0005-0000-0000-000016000000}"/>
    <cellStyle name="20% - Énfasis5 3" xfId="41" xr:uid="{00000000-0005-0000-0000-000017000000}"/>
    <cellStyle name="20% - Énfasis5 4" xfId="37" xr:uid="{00000000-0005-0000-0000-000018000000}"/>
    <cellStyle name="20% - Énfasis6 2" xfId="43" xr:uid="{00000000-0005-0000-0000-000019000000}"/>
    <cellStyle name="20% - Énfasis6 2 2" xfId="44" xr:uid="{00000000-0005-0000-0000-00001A000000}"/>
    <cellStyle name="20% - Énfasis6 2 3" xfId="45" xr:uid="{00000000-0005-0000-0000-00001B000000}"/>
    <cellStyle name="20% - Énfasis6 3" xfId="46" xr:uid="{00000000-0005-0000-0000-00001C000000}"/>
    <cellStyle name="20% - Énfasis6 4" xfId="42" xr:uid="{00000000-0005-0000-0000-00001D000000}"/>
    <cellStyle name="40% - Énfasis1 2" xfId="48" xr:uid="{00000000-0005-0000-0000-00001E000000}"/>
    <cellStyle name="40% - Énfasis1 2 2" xfId="49" xr:uid="{00000000-0005-0000-0000-00001F000000}"/>
    <cellStyle name="40% - Énfasis1 2 3" xfId="50" xr:uid="{00000000-0005-0000-0000-000020000000}"/>
    <cellStyle name="40% - Énfasis1 3" xfId="51" xr:uid="{00000000-0005-0000-0000-000021000000}"/>
    <cellStyle name="40% - Énfasis1 4" xfId="47" xr:uid="{00000000-0005-0000-0000-000022000000}"/>
    <cellStyle name="40% - Énfasis2 2" xfId="53" xr:uid="{00000000-0005-0000-0000-000023000000}"/>
    <cellStyle name="40% - Énfasis2 2 2" xfId="54" xr:uid="{00000000-0005-0000-0000-000024000000}"/>
    <cellStyle name="40% - Énfasis2 2 3" xfId="55" xr:uid="{00000000-0005-0000-0000-000025000000}"/>
    <cellStyle name="40% - Énfasis2 3" xfId="56" xr:uid="{00000000-0005-0000-0000-000026000000}"/>
    <cellStyle name="40% - Énfasis2 4" xfId="52" xr:uid="{00000000-0005-0000-0000-000027000000}"/>
    <cellStyle name="40% - Énfasis3 2" xfId="58" xr:uid="{00000000-0005-0000-0000-000028000000}"/>
    <cellStyle name="40% - Énfasis3 2 2" xfId="59" xr:uid="{00000000-0005-0000-0000-000029000000}"/>
    <cellStyle name="40% - Énfasis3 2 3" xfId="60" xr:uid="{00000000-0005-0000-0000-00002A000000}"/>
    <cellStyle name="40% - Énfasis3 3" xfId="61" xr:uid="{00000000-0005-0000-0000-00002B000000}"/>
    <cellStyle name="40% - Énfasis3 4" xfId="57" xr:uid="{00000000-0005-0000-0000-00002C000000}"/>
    <cellStyle name="40% - Énfasis4 2" xfId="63" xr:uid="{00000000-0005-0000-0000-00002D000000}"/>
    <cellStyle name="40% - Énfasis4 2 2" xfId="64" xr:uid="{00000000-0005-0000-0000-00002E000000}"/>
    <cellStyle name="40% - Énfasis4 2 3" xfId="65" xr:uid="{00000000-0005-0000-0000-00002F000000}"/>
    <cellStyle name="40% - Énfasis4 3" xfId="66" xr:uid="{00000000-0005-0000-0000-000030000000}"/>
    <cellStyle name="40% - Énfasis4 4" xfId="62" xr:uid="{00000000-0005-0000-0000-000031000000}"/>
    <cellStyle name="40% - Énfasis5 2" xfId="68" xr:uid="{00000000-0005-0000-0000-000032000000}"/>
    <cellStyle name="40% - Énfasis5 2 2" xfId="69" xr:uid="{00000000-0005-0000-0000-000033000000}"/>
    <cellStyle name="40% - Énfasis5 2 3" xfId="70" xr:uid="{00000000-0005-0000-0000-000034000000}"/>
    <cellStyle name="40% - Énfasis5 3" xfId="71" xr:uid="{00000000-0005-0000-0000-000035000000}"/>
    <cellStyle name="40% - Énfasis5 4" xfId="67" xr:uid="{00000000-0005-0000-0000-000036000000}"/>
    <cellStyle name="40% - Énfasis6 2" xfId="73" xr:uid="{00000000-0005-0000-0000-000037000000}"/>
    <cellStyle name="40% - Énfasis6 2 2" xfId="74" xr:uid="{00000000-0005-0000-0000-000038000000}"/>
    <cellStyle name="40% - Énfasis6 2 3" xfId="75" xr:uid="{00000000-0005-0000-0000-000039000000}"/>
    <cellStyle name="40% - Énfasis6 3" xfId="76" xr:uid="{00000000-0005-0000-0000-00003A000000}"/>
    <cellStyle name="40% - Énfasis6 4" xfId="72" xr:uid="{00000000-0005-0000-0000-00003B000000}"/>
    <cellStyle name="60% - Énfasis1 2" xfId="78" xr:uid="{00000000-0005-0000-0000-00003C000000}"/>
    <cellStyle name="60% - Énfasis1 2 2" xfId="79" xr:uid="{00000000-0005-0000-0000-00003D000000}"/>
    <cellStyle name="60% - Énfasis1 2 3" xfId="80" xr:uid="{00000000-0005-0000-0000-00003E000000}"/>
    <cellStyle name="60% - Énfasis1 3" xfId="81" xr:uid="{00000000-0005-0000-0000-00003F000000}"/>
    <cellStyle name="60% - Énfasis1 4" xfId="77" xr:uid="{00000000-0005-0000-0000-000040000000}"/>
    <cellStyle name="60% - Énfasis2 2" xfId="83" xr:uid="{00000000-0005-0000-0000-000041000000}"/>
    <cellStyle name="60% - Énfasis2 2 2" xfId="84" xr:uid="{00000000-0005-0000-0000-000042000000}"/>
    <cellStyle name="60% - Énfasis2 2 3" xfId="85" xr:uid="{00000000-0005-0000-0000-000043000000}"/>
    <cellStyle name="60% - Énfasis2 3" xfId="86" xr:uid="{00000000-0005-0000-0000-000044000000}"/>
    <cellStyle name="60% - Énfasis2 4" xfId="82" xr:uid="{00000000-0005-0000-0000-000045000000}"/>
    <cellStyle name="60% - Énfasis3 2" xfId="88" xr:uid="{00000000-0005-0000-0000-000046000000}"/>
    <cellStyle name="60% - Énfasis3 2 2" xfId="89" xr:uid="{00000000-0005-0000-0000-000047000000}"/>
    <cellStyle name="60% - Énfasis3 2 3" xfId="90" xr:uid="{00000000-0005-0000-0000-000048000000}"/>
    <cellStyle name="60% - Énfasis3 3" xfId="91" xr:uid="{00000000-0005-0000-0000-000049000000}"/>
    <cellStyle name="60% - Énfasis3 4" xfId="87" xr:uid="{00000000-0005-0000-0000-00004A000000}"/>
    <cellStyle name="60% - Énfasis4 2" xfId="93" xr:uid="{00000000-0005-0000-0000-00004B000000}"/>
    <cellStyle name="60% - Énfasis4 2 2" xfId="94" xr:uid="{00000000-0005-0000-0000-00004C000000}"/>
    <cellStyle name="60% - Énfasis4 2 3" xfId="95" xr:uid="{00000000-0005-0000-0000-00004D000000}"/>
    <cellStyle name="60% - Énfasis4 3" xfId="96" xr:uid="{00000000-0005-0000-0000-00004E000000}"/>
    <cellStyle name="60% - Énfasis4 4" xfId="92" xr:uid="{00000000-0005-0000-0000-00004F000000}"/>
    <cellStyle name="60% - Énfasis5 2" xfId="98" xr:uid="{00000000-0005-0000-0000-000050000000}"/>
    <cellStyle name="60% - Énfasis5 2 2" xfId="99" xr:uid="{00000000-0005-0000-0000-000051000000}"/>
    <cellStyle name="60% - Énfasis5 2 3" xfId="100" xr:uid="{00000000-0005-0000-0000-000052000000}"/>
    <cellStyle name="60% - Énfasis5 3" xfId="101" xr:uid="{00000000-0005-0000-0000-000053000000}"/>
    <cellStyle name="60% - Énfasis5 4" xfId="97" xr:uid="{00000000-0005-0000-0000-000054000000}"/>
    <cellStyle name="60% - Énfasis6 2" xfId="103" xr:uid="{00000000-0005-0000-0000-000055000000}"/>
    <cellStyle name="60% - Énfasis6 2 2" xfId="104" xr:uid="{00000000-0005-0000-0000-000056000000}"/>
    <cellStyle name="60% - Énfasis6 2 3" xfId="105" xr:uid="{00000000-0005-0000-0000-000057000000}"/>
    <cellStyle name="60% - Énfasis6 3" xfId="106" xr:uid="{00000000-0005-0000-0000-000058000000}"/>
    <cellStyle name="60% - Énfasis6 4" xfId="102" xr:uid="{00000000-0005-0000-0000-000059000000}"/>
    <cellStyle name="Buena 2" xfId="108" xr:uid="{00000000-0005-0000-0000-00005A000000}"/>
    <cellStyle name="Buena 2 2" xfId="109" xr:uid="{00000000-0005-0000-0000-00005B000000}"/>
    <cellStyle name="Buena 2 3" xfId="110" xr:uid="{00000000-0005-0000-0000-00005C000000}"/>
    <cellStyle name="Buena 3" xfId="111" xr:uid="{00000000-0005-0000-0000-00005D000000}"/>
    <cellStyle name="Buena 4" xfId="107" xr:uid="{00000000-0005-0000-0000-00005E000000}"/>
    <cellStyle name="Cálculo 2" xfId="113" xr:uid="{00000000-0005-0000-0000-00005F000000}"/>
    <cellStyle name="Cálculo 2 2" xfId="114" xr:uid="{00000000-0005-0000-0000-000060000000}"/>
    <cellStyle name="Cálculo 2 2 2" xfId="284" xr:uid="{00000000-0005-0000-0000-000061000000}"/>
    <cellStyle name="Cálculo 2 2 3" xfId="287" xr:uid="{00000000-0005-0000-0000-000062000000}"/>
    <cellStyle name="Cálculo 2 3" xfId="115" xr:uid="{00000000-0005-0000-0000-000063000000}"/>
    <cellStyle name="Cálculo 2 3 2" xfId="285" xr:uid="{00000000-0005-0000-0000-000064000000}"/>
    <cellStyle name="Cálculo 2 3 3" xfId="289" xr:uid="{00000000-0005-0000-0000-000065000000}"/>
    <cellStyle name="Cálculo 2 4" xfId="283" xr:uid="{00000000-0005-0000-0000-000066000000}"/>
    <cellStyle name="Cálculo 2 5" xfId="290" xr:uid="{00000000-0005-0000-0000-000067000000}"/>
    <cellStyle name="Cálculo 3" xfId="116" xr:uid="{00000000-0005-0000-0000-000068000000}"/>
    <cellStyle name="Cálculo 3 2" xfId="286" xr:uid="{00000000-0005-0000-0000-000069000000}"/>
    <cellStyle name="Cálculo 3 3" xfId="288" xr:uid="{00000000-0005-0000-0000-00006A000000}"/>
    <cellStyle name="Cálculo 4" xfId="112" xr:uid="{00000000-0005-0000-0000-00006B000000}"/>
    <cellStyle name="Cálculo 4 2" xfId="282" xr:uid="{00000000-0005-0000-0000-00006C000000}"/>
    <cellStyle name="Cálculo 4 3" xfId="291" xr:uid="{00000000-0005-0000-0000-00006D000000}"/>
    <cellStyle name="Celda de comprobación 2" xfId="118" xr:uid="{00000000-0005-0000-0000-00006E000000}"/>
    <cellStyle name="Celda de comprobación 2 2" xfId="119" xr:uid="{00000000-0005-0000-0000-00006F000000}"/>
    <cellStyle name="Celda de comprobación 2 3" xfId="120" xr:uid="{00000000-0005-0000-0000-000070000000}"/>
    <cellStyle name="Celda de comprobación 3" xfId="121" xr:uid="{00000000-0005-0000-0000-000071000000}"/>
    <cellStyle name="Celda de comprobación 4" xfId="117" xr:uid="{00000000-0005-0000-0000-000072000000}"/>
    <cellStyle name="Celda vinculada 2" xfId="123" xr:uid="{00000000-0005-0000-0000-000073000000}"/>
    <cellStyle name="Celda vinculada 2 2" xfId="124" xr:uid="{00000000-0005-0000-0000-000074000000}"/>
    <cellStyle name="Celda vinculada 2 3" xfId="125" xr:uid="{00000000-0005-0000-0000-000075000000}"/>
    <cellStyle name="Celda vinculada 3" xfId="126" xr:uid="{00000000-0005-0000-0000-000076000000}"/>
    <cellStyle name="Celda vinculada 4" xfId="122" xr:uid="{00000000-0005-0000-0000-000077000000}"/>
    <cellStyle name="Encabezado 4 2" xfId="128" xr:uid="{00000000-0005-0000-0000-000078000000}"/>
    <cellStyle name="Encabezado 4 2 2" xfId="129" xr:uid="{00000000-0005-0000-0000-000079000000}"/>
    <cellStyle name="Encabezado 4 2 3" xfId="130" xr:uid="{00000000-0005-0000-0000-00007A000000}"/>
    <cellStyle name="Encabezado 4 3" xfId="131" xr:uid="{00000000-0005-0000-0000-00007B000000}"/>
    <cellStyle name="Encabezado 4 4" xfId="127" xr:uid="{00000000-0005-0000-0000-00007C000000}"/>
    <cellStyle name="Énfasis1 2" xfId="133" xr:uid="{00000000-0005-0000-0000-00007D000000}"/>
    <cellStyle name="Énfasis1 2 2" xfId="134" xr:uid="{00000000-0005-0000-0000-00007E000000}"/>
    <cellStyle name="Énfasis1 2 3" xfId="135" xr:uid="{00000000-0005-0000-0000-00007F000000}"/>
    <cellStyle name="Énfasis1 3" xfId="136" xr:uid="{00000000-0005-0000-0000-000080000000}"/>
    <cellStyle name="Énfasis1 4" xfId="132" xr:uid="{00000000-0005-0000-0000-000081000000}"/>
    <cellStyle name="Énfasis2 2" xfId="138" xr:uid="{00000000-0005-0000-0000-000082000000}"/>
    <cellStyle name="Énfasis2 2 2" xfId="139" xr:uid="{00000000-0005-0000-0000-000083000000}"/>
    <cellStyle name="Énfasis2 2 3" xfId="140" xr:uid="{00000000-0005-0000-0000-000084000000}"/>
    <cellStyle name="Énfasis2 3" xfId="141" xr:uid="{00000000-0005-0000-0000-000085000000}"/>
    <cellStyle name="Énfasis2 4" xfId="137" xr:uid="{00000000-0005-0000-0000-000086000000}"/>
    <cellStyle name="Énfasis3 2" xfId="143" xr:uid="{00000000-0005-0000-0000-000087000000}"/>
    <cellStyle name="Énfasis3 2 2" xfId="144" xr:uid="{00000000-0005-0000-0000-000088000000}"/>
    <cellStyle name="Énfasis3 2 3" xfId="145" xr:uid="{00000000-0005-0000-0000-000089000000}"/>
    <cellStyle name="Énfasis3 3" xfId="146" xr:uid="{00000000-0005-0000-0000-00008A000000}"/>
    <cellStyle name="Énfasis3 4" xfId="142" xr:uid="{00000000-0005-0000-0000-00008B000000}"/>
    <cellStyle name="Énfasis4 2" xfId="148" xr:uid="{00000000-0005-0000-0000-00008C000000}"/>
    <cellStyle name="Énfasis4 2 2" xfId="149" xr:uid="{00000000-0005-0000-0000-00008D000000}"/>
    <cellStyle name="Énfasis4 2 3" xfId="150" xr:uid="{00000000-0005-0000-0000-00008E000000}"/>
    <cellStyle name="Énfasis4 3" xfId="151" xr:uid="{00000000-0005-0000-0000-00008F000000}"/>
    <cellStyle name="Énfasis4 4" xfId="147" xr:uid="{00000000-0005-0000-0000-000090000000}"/>
    <cellStyle name="Énfasis5 2" xfId="153" xr:uid="{00000000-0005-0000-0000-000091000000}"/>
    <cellStyle name="Énfasis5 2 2" xfId="154" xr:uid="{00000000-0005-0000-0000-000092000000}"/>
    <cellStyle name="Énfasis5 2 3" xfId="155" xr:uid="{00000000-0005-0000-0000-000093000000}"/>
    <cellStyle name="Énfasis5 3" xfId="156" xr:uid="{00000000-0005-0000-0000-000094000000}"/>
    <cellStyle name="Énfasis5 4" xfId="152" xr:uid="{00000000-0005-0000-0000-000095000000}"/>
    <cellStyle name="Énfasis6 2" xfId="158" xr:uid="{00000000-0005-0000-0000-000096000000}"/>
    <cellStyle name="Énfasis6 2 2" xfId="159" xr:uid="{00000000-0005-0000-0000-000097000000}"/>
    <cellStyle name="Énfasis6 2 3" xfId="160" xr:uid="{00000000-0005-0000-0000-000098000000}"/>
    <cellStyle name="Énfasis6 3" xfId="161" xr:uid="{00000000-0005-0000-0000-000099000000}"/>
    <cellStyle name="Énfasis6 4" xfId="157" xr:uid="{00000000-0005-0000-0000-00009A000000}"/>
    <cellStyle name="Entrada 2" xfId="163" xr:uid="{00000000-0005-0000-0000-00009B000000}"/>
    <cellStyle name="Entrada 2 2" xfId="164" xr:uid="{00000000-0005-0000-0000-00009C000000}"/>
    <cellStyle name="Entrada 2 2 2" xfId="294" xr:uid="{00000000-0005-0000-0000-00009D000000}"/>
    <cellStyle name="Entrada 2 2 3" xfId="277" xr:uid="{00000000-0005-0000-0000-00009E000000}"/>
    <cellStyle name="Entrada 2 3" xfId="165" xr:uid="{00000000-0005-0000-0000-00009F000000}"/>
    <cellStyle name="Entrada 2 3 2" xfId="295" xr:uid="{00000000-0005-0000-0000-0000A0000000}"/>
    <cellStyle name="Entrada 2 3 3" xfId="279" xr:uid="{00000000-0005-0000-0000-0000A1000000}"/>
    <cellStyle name="Entrada 2 4" xfId="293" xr:uid="{00000000-0005-0000-0000-0000A2000000}"/>
    <cellStyle name="Entrada 2 5" xfId="280" xr:uid="{00000000-0005-0000-0000-0000A3000000}"/>
    <cellStyle name="Entrada 3" xfId="166" xr:uid="{00000000-0005-0000-0000-0000A4000000}"/>
    <cellStyle name="Entrada 3 2" xfId="296" xr:uid="{00000000-0005-0000-0000-0000A5000000}"/>
    <cellStyle name="Entrada 3 3" xfId="278" xr:uid="{00000000-0005-0000-0000-0000A6000000}"/>
    <cellStyle name="Entrada 4" xfId="162" xr:uid="{00000000-0005-0000-0000-0000A7000000}"/>
    <cellStyle name="Entrada 4 2" xfId="292" xr:uid="{00000000-0005-0000-0000-0000A8000000}"/>
    <cellStyle name="Entrada 4 3" xfId="281" xr:uid="{00000000-0005-0000-0000-0000A9000000}"/>
    <cellStyle name="Excel Built-in Normal" xfId="167" xr:uid="{00000000-0005-0000-0000-0000AA000000}"/>
    <cellStyle name="Incorrecto 2" xfId="169" xr:uid="{00000000-0005-0000-0000-0000AB000000}"/>
    <cellStyle name="Incorrecto 2 2" xfId="170" xr:uid="{00000000-0005-0000-0000-0000AC000000}"/>
    <cellStyle name="Incorrecto 2 3" xfId="171" xr:uid="{00000000-0005-0000-0000-0000AD000000}"/>
    <cellStyle name="Incorrecto 3" xfId="172" xr:uid="{00000000-0005-0000-0000-0000AE000000}"/>
    <cellStyle name="Incorrecto 4" xfId="168" xr:uid="{00000000-0005-0000-0000-0000AF000000}"/>
    <cellStyle name="Millares 2" xfId="174" xr:uid="{00000000-0005-0000-0000-0000B0000000}"/>
    <cellStyle name="Millares 2 2" xfId="175" xr:uid="{00000000-0005-0000-0000-0000B1000000}"/>
    <cellStyle name="Millares 2 3" xfId="176" xr:uid="{00000000-0005-0000-0000-0000B2000000}"/>
    <cellStyle name="Millares 3" xfId="173" xr:uid="{00000000-0005-0000-0000-0000B3000000}"/>
    <cellStyle name="Moneda 2" xfId="177" xr:uid="{00000000-0005-0000-0000-0000B4000000}"/>
    <cellStyle name="Neutral 2" xfId="179" xr:uid="{00000000-0005-0000-0000-0000B5000000}"/>
    <cellStyle name="Neutral 2 2" xfId="180" xr:uid="{00000000-0005-0000-0000-0000B6000000}"/>
    <cellStyle name="Neutral 2 3" xfId="181" xr:uid="{00000000-0005-0000-0000-0000B7000000}"/>
    <cellStyle name="Neutral 3" xfId="182" xr:uid="{00000000-0005-0000-0000-0000B8000000}"/>
    <cellStyle name="Neutral 4" xfId="178" xr:uid="{00000000-0005-0000-0000-0000B9000000}"/>
    <cellStyle name="Normal" xfId="0" builtinId="0"/>
    <cellStyle name="Normal 11" xfId="183" xr:uid="{00000000-0005-0000-0000-0000BB000000}"/>
    <cellStyle name="Normal 11 2" xfId="184" xr:uid="{00000000-0005-0000-0000-0000BC000000}"/>
    <cellStyle name="Normal 11 3" xfId="185" xr:uid="{00000000-0005-0000-0000-0000BD000000}"/>
    <cellStyle name="Normal 12" xfId="186" xr:uid="{00000000-0005-0000-0000-0000BE000000}"/>
    <cellStyle name="Normal 12 2" xfId="187" xr:uid="{00000000-0005-0000-0000-0000BF000000}"/>
    <cellStyle name="Normal 12 3" xfId="188" xr:uid="{00000000-0005-0000-0000-0000C0000000}"/>
    <cellStyle name="Normal 13" xfId="318" xr:uid="{00000000-0005-0000-0000-0000C1000000}"/>
    <cellStyle name="Normal 14" xfId="319" xr:uid="{00000000-0005-0000-0000-0000C2000000}"/>
    <cellStyle name="Normal 15" xfId="320" xr:uid="{00000000-0005-0000-0000-0000C3000000}"/>
    <cellStyle name="Normal 16" xfId="189" xr:uid="{00000000-0005-0000-0000-0000C4000000}"/>
    <cellStyle name="Normal 18" xfId="190" xr:uid="{00000000-0005-0000-0000-0000C5000000}"/>
    <cellStyle name="Normal 18 2" xfId="191" xr:uid="{00000000-0005-0000-0000-0000C6000000}"/>
    <cellStyle name="Normal 19" xfId="192" xr:uid="{00000000-0005-0000-0000-0000C7000000}"/>
    <cellStyle name="Normal 2" xfId="7" xr:uid="{00000000-0005-0000-0000-0000C8000000}"/>
    <cellStyle name="Normal 2 2" xfId="12" xr:uid="{00000000-0005-0000-0000-0000C9000000}"/>
    <cellStyle name="Normal 2 2 2" xfId="194" xr:uid="{00000000-0005-0000-0000-0000CA000000}"/>
    <cellStyle name="Normal 2 3" xfId="195" xr:uid="{00000000-0005-0000-0000-0000CB000000}"/>
    <cellStyle name="Normal 2 3 2" xfId="196" xr:uid="{00000000-0005-0000-0000-0000CC000000}"/>
    <cellStyle name="Normal 2 4" xfId="197" xr:uid="{00000000-0005-0000-0000-0000CD000000}"/>
    <cellStyle name="Normal 2 5" xfId="193" xr:uid="{00000000-0005-0000-0000-0000CE000000}"/>
    <cellStyle name="Normal 2 6" xfId="11" xr:uid="{00000000-0005-0000-0000-0000CF000000}"/>
    <cellStyle name="Normal 20" xfId="198" xr:uid="{00000000-0005-0000-0000-0000D0000000}"/>
    <cellStyle name="Normal 20 2" xfId="199" xr:uid="{00000000-0005-0000-0000-0000D1000000}"/>
    <cellStyle name="Normal 21" xfId="200" xr:uid="{00000000-0005-0000-0000-0000D2000000}"/>
    <cellStyle name="Normal 22" xfId="321" xr:uid="{00000000-0005-0000-0000-0000D3000000}"/>
    <cellStyle name="Normal 23" xfId="322" xr:uid="{00000000-0005-0000-0000-0000D4000000}"/>
    <cellStyle name="Normal 24" xfId="201" xr:uid="{00000000-0005-0000-0000-0000D5000000}"/>
    <cellStyle name="Normal 25" xfId="323" xr:uid="{00000000-0005-0000-0000-0000D6000000}"/>
    <cellStyle name="Normal 26" xfId="324" xr:uid="{00000000-0005-0000-0000-0000D7000000}"/>
    <cellStyle name="Normal 27" xfId="325" xr:uid="{00000000-0005-0000-0000-0000D8000000}"/>
    <cellStyle name="Normal 28" xfId="326" xr:uid="{00000000-0005-0000-0000-0000D9000000}"/>
    <cellStyle name="Normal 29" xfId="327" xr:uid="{00000000-0005-0000-0000-0000DA000000}"/>
    <cellStyle name="Normal 3" xfId="3" xr:uid="{00000000-0005-0000-0000-0000DB000000}"/>
    <cellStyle name="Normal 3 2" xfId="202" xr:uid="{00000000-0005-0000-0000-0000DC000000}"/>
    <cellStyle name="Normal 3 3" xfId="266" xr:uid="{00000000-0005-0000-0000-0000DD000000}"/>
    <cellStyle name="Normal 3 4" xfId="13" xr:uid="{00000000-0005-0000-0000-0000DE000000}"/>
    <cellStyle name="Normal 30" xfId="328" xr:uid="{00000000-0005-0000-0000-0000DF000000}"/>
    <cellStyle name="Normal 31" xfId="329" xr:uid="{00000000-0005-0000-0000-0000E0000000}"/>
    <cellStyle name="Normal 32" xfId="330" xr:uid="{00000000-0005-0000-0000-0000E1000000}"/>
    <cellStyle name="Normal 33" xfId="331" xr:uid="{00000000-0005-0000-0000-0000E2000000}"/>
    <cellStyle name="Normal 34" xfId="332" xr:uid="{00000000-0005-0000-0000-0000E3000000}"/>
    <cellStyle name="Normal 35" xfId="333" xr:uid="{00000000-0005-0000-0000-0000E4000000}"/>
    <cellStyle name="Normal 36" xfId="334" xr:uid="{00000000-0005-0000-0000-0000E5000000}"/>
    <cellStyle name="Normal 37" xfId="335" xr:uid="{00000000-0005-0000-0000-0000E6000000}"/>
    <cellStyle name="Normal 38" xfId="336" xr:uid="{00000000-0005-0000-0000-0000E7000000}"/>
    <cellStyle name="Normal 4" xfId="4" xr:uid="{00000000-0005-0000-0000-0000E8000000}"/>
    <cellStyle name="Normal 4 2" xfId="204" xr:uid="{00000000-0005-0000-0000-0000E9000000}"/>
    <cellStyle name="Normal 4 3" xfId="203" xr:uid="{00000000-0005-0000-0000-0000EA000000}"/>
    <cellStyle name="Normal 40" xfId="337" xr:uid="{00000000-0005-0000-0000-0000EB000000}"/>
    <cellStyle name="Normal 5" xfId="9" xr:uid="{00000000-0005-0000-0000-0000EC000000}"/>
    <cellStyle name="Normal 5 2" xfId="206" xr:uid="{00000000-0005-0000-0000-0000ED000000}"/>
    <cellStyle name="Normal 5 3" xfId="205" xr:uid="{00000000-0005-0000-0000-0000EE000000}"/>
    <cellStyle name="Normal 6" xfId="207" xr:uid="{00000000-0005-0000-0000-0000EF000000}"/>
    <cellStyle name="Normal 6 2" xfId="208" xr:uid="{00000000-0005-0000-0000-0000F0000000}"/>
    <cellStyle name="Normal 7" xfId="5" xr:uid="{00000000-0005-0000-0000-0000F1000000}"/>
    <cellStyle name="Normal 7 2" xfId="210" xr:uid="{00000000-0005-0000-0000-0000F2000000}"/>
    <cellStyle name="Normal 7 3" xfId="209" xr:uid="{00000000-0005-0000-0000-0000F3000000}"/>
    <cellStyle name="Normal 8" xfId="16" xr:uid="{00000000-0005-0000-0000-0000F4000000}"/>
    <cellStyle name="Normal_Hoja1" xfId="339" xr:uid="{A5988586-06F2-4549-867C-B39CBC43B241}"/>
    <cellStyle name="Normal_Hoja1_1" xfId="340" xr:uid="{CFC824BA-59D8-42D6-AC21-D7E34CE34F49}"/>
    <cellStyle name="Notas 2" xfId="212" xr:uid="{00000000-0005-0000-0000-0000F5000000}"/>
    <cellStyle name="Notas 2 2" xfId="213" xr:uid="{00000000-0005-0000-0000-0000F6000000}"/>
    <cellStyle name="Notas 2 2 2" xfId="299" xr:uid="{00000000-0005-0000-0000-0000F7000000}"/>
    <cellStyle name="Notas 2 2 3" xfId="274" xr:uid="{00000000-0005-0000-0000-0000F8000000}"/>
    <cellStyle name="Notas 2 3" xfId="214" xr:uid="{00000000-0005-0000-0000-0000F9000000}"/>
    <cellStyle name="Notas 2 3 2" xfId="300" xr:uid="{00000000-0005-0000-0000-0000FA000000}"/>
    <cellStyle name="Notas 2 3 3" xfId="272" xr:uid="{00000000-0005-0000-0000-0000FB000000}"/>
    <cellStyle name="Notas 2 4" xfId="298" xr:uid="{00000000-0005-0000-0000-0000FC000000}"/>
    <cellStyle name="Notas 2 5" xfId="275" xr:uid="{00000000-0005-0000-0000-0000FD000000}"/>
    <cellStyle name="Notas 3" xfId="215" xr:uid="{00000000-0005-0000-0000-0000FE000000}"/>
    <cellStyle name="Notas 3 2" xfId="301" xr:uid="{00000000-0005-0000-0000-0000FF000000}"/>
    <cellStyle name="Notas 3 3" xfId="273" xr:uid="{00000000-0005-0000-0000-000000010000}"/>
    <cellStyle name="Notas 4" xfId="211" xr:uid="{00000000-0005-0000-0000-000001010000}"/>
    <cellStyle name="Notas 4 2" xfId="297" xr:uid="{00000000-0005-0000-0000-000002010000}"/>
    <cellStyle name="Notas 4 3" xfId="276" xr:uid="{00000000-0005-0000-0000-000003010000}"/>
    <cellStyle name="Porcentaje" xfId="1" builtinId="5"/>
    <cellStyle name="Porcentaje 2" xfId="14" xr:uid="{00000000-0005-0000-0000-000005010000}"/>
    <cellStyle name="Porcentaje 3" xfId="15" xr:uid="{00000000-0005-0000-0000-000006010000}"/>
    <cellStyle name="Porcentual 10" xfId="2" xr:uid="{00000000-0005-0000-0000-000007010000}"/>
    <cellStyle name="Porcentual 14" xfId="6" xr:uid="{00000000-0005-0000-0000-000008010000}"/>
    <cellStyle name="Porcentual 2" xfId="8" xr:uid="{00000000-0005-0000-0000-000009010000}"/>
    <cellStyle name="Porcentual 2 2" xfId="217" xr:uid="{00000000-0005-0000-0000-00000A010000}"/>
    <cellStyle name="Porcentual 2 3" xfId="218" xr:uid="{00000000-0005-0000-0000-00000B010000}"/>
    <cellStyle name="Porcentual 2 4" xfId="338" xr:uid="{00000000-0005-0000-0000-00000C010000}"/>
    <cellStyle name="Porcentual 3" xfId="10" xr:uid="{00000000-0005-0000-0000-00000D010000}"/>
    <cellStyle name="Porcentual 3 2" xfId="219" xr:uid="{00000000-0005-0000-0000-00000E010000}"/>
    <cellStyle name="Porcentual 4" xfId="220" xr:uid="{00000000-0005-0000-0000-00000F010000}"/>
    <cellStyle name="Porcentual 5" xfId="221" xr:uid="{00000000-0005-0000-0000-000010010000}"/>
    <cellStyle name="Porcentual 6" xfId="222" xr:uid="{00000000-0005-0000-0000-000011010000}"/>
    <cellStyle name="Porcentual 7" xfId="223" xr:uid="{00000000-0005-0000-0000-000012010000}"/>
    <cellStyle name="Porcentual 7 2" xfId="224" xr:uid="{00000000-0005-0000-0000-000013010000}"/>
    <cellStyle name="Porcentual 7 3" xfId="225" xr:uid="{00000000-0005-0000-0000-000014010000}"/>
    <cellStyle name="Porcentual 8" xfId="216" xr:uid="{00000000-0005-0000-0000-000015010000}"/>
    <cellStyle name="Porcentual 9" xfId="317" xr:uid="{00000000-0005-0000-0000-000016010000}"/>
    <cellStyle name="Salida 2" xfId="227" xr:uid="{00000000-0005-0000-0000-000017010000}"/>
    <cellStyle name="Salida 2 2" xfId="228" xr:uid="{00000000-0005-0000-0000-000018010000}"/>
    <cellStyle name="Salida 2 2 2" xfId="304" xr:uid="{00000000-0005-0000-0000-000019010000}"/>
    <cellStyle name="Salida 2 2 3" xfId="267" xr:uid="{00000000-0005-0000-0000-00001A010000}"/>
    <cellStyle name="Salida 2 3" xfId="229" xr:uid="{00000000-0005-0000-0000-00001B010000}"/>
    <cellStyle name="Salida 2 3 2" xfId="305" xr:uid="{00000000-0005-0000-0000-00001C010000}"/>
    <cellStyle name="Salida 2 3 3" xfId="269" xr:uid="{00000000-0005-0000-0000-00001D010000}"/>
    <cellStyle name="Salida 2 4" xfId="303" xr:uid="{00000000-0005-0000-0000-00001E010000}"/>
    <cellStyle name="Salida 2 5" xfId="270" xr:uid="{00000000-0005-0000-0000-00001F010000}"/>
    <cellStyle name="Salida 3" xfId="230" xr:uid="{00000000-0005-0000-0000-000020010000}"/>
    <cellStyle name="Salida 3 2" xfId="306" xr:uid="{00000000-0005-0000-0000-000021010000}"/>
    <cellStyle name="Salida 3 3" xfId="268" xr:uid="{00000000-0005-0000-0000-000022010000}"/>
    <cellStyle name="Salida 4" xfId="226" xr:uid="{00000000-0005-0000-0000-000023010000}"/>
    <cellStyle name="Salida 4 2" xfId="302" xr:uid="{00000000-0005-0000-0000-000024010000}"/>
    <cellStyle name="Salida 4 3" xfId="271" xr:uid="{00000000-0005-0000-0000-000025010000}"/>
    <cellStyle name="Texto de advertencia 2" xfId="232" xr:uid="{00000000-0005-0000-0000-000026010000}"/>
    <cellStyle name="Texto de advertencia 2 2" xfId="233" xr:uid="{00000000-0005-0000-0000-000027010000}"/>
    <cellStyle name="Texto de advertencia 2 3" xfId="234" xr:uid="{00000000-0005-0000-0000-000028010000}"/>
    <cellStyle name="Texto de advertencia 3" xfId="235" xr:uid="{00000000-0005-0000-0000-000029010000}"/>
    <cellStyle name="Texto de advertencia 4" xfId="231" xr:uid="{00000000-0005-0000-0000-00002A010000}"/>
    <cellStyle name="Texto explicativo 2" xfId="237" xr:uid="{00000000-0005-0000-0000-00002B010000}"/>
    <cellStyle name="Texto explicativo 2 2" xfId="238" xr:uid="{00000000-0005-0000-0000-00002C010000}"/>
    <cellStyle name="Texto explicativo 2 3" xfId="239" xr:uid="{00000000-0005-0000-0000-00002D010000}"/>
    <cellStyle name="Texto explicativo 3" xfId="240" xr:uid="{00000000-0005-0000-0000-00002E010000}"/>
    <cellStyle name="Texto explicativo 4" xfId="236" xr:uid="{00000000-0005-0000-0000-00002F010000}"/>
    <cellStyle name="Título 1 2" xfId="243" xr:uid="{00000000-0005-0000-0000-000030010000}"/>
    <cellStyle name="Título 1 2 2" xfId="244" xr:uid="{00000000-0005-0000-0000-000031010000}"/>
    <cellStyle name="Título 1 2 3" xfId="245" xr:uid="{00000000-0005-0000-0000-000032010000}"/>
    <cellStyle name="Título 1 3" xfId="246" xr:uid="{00000000-0005-0000-0000-000033010000}"/>
    <cellStyle name="Título 1 4" xfId="242" xr:uid="{00000000-0005-0000-0000-000034010000}"/>
    <cellStyle name="Título 2 2" xfId="248" xr:uid="{00000000-0005-0000-0000-000035010000}"/>
    <cellStyle name="Título 2 2 2" xfId="249" xr:uid="{00000000-0005-0000-0000-000036010000}"/>
    <cellStyle name="Título 2 2 3" xfId="250" xr:uid="{00000000-0005-0000-0000-000037010000}"/>
    <cellStyle name="Título 2 3" xfId="251" xr:uid="{00000000-0005-0000-0000-000038010000}"/>
    <cellStyle name="Título 2 4" xfId="247" xr:uid="{00000000-0005-0000-0000-000039010000}"/>
    <cellStyle name="Título 3 2" xfId="253" xr:uid="{00000000-0005-0000-0000-00003A010000}"/>
    <cellStyle name="Título 3 2 2" xfId="254" xr:uid="{00000000-0005-0000-0000-00003B010000}"/>
    <cellStyle name="Título 3 2 3" xfId="255" xr:uid="{00000000-0005-0000-0000-00003C010000}"/>
    <cellStyle name="Título 3 3" xfId="256" xr:uid="{00000000-0005-0000-0000-00003D010000}"/>
    <cellStyle name="Título 3 4" xfId="252" xr:uid="{00000000-0005-0000-0000-00003E010000}"/>
    <cellStyle name="Título 4" xfId="257" xr:uid="{00000000-0005-0000-0000-00003F010000}"/>
    <cellStyle name="Título 4 2" xfId="258" xr:uid="{00000000-0005-0000-0000-000040010000}"/>
    <cellStyle name="Título 4 3" xfId="259" xr:uid="{00000000-0005-0000-0000-000041010000}"/>
    <cellStyle name="Título 5" xfId="260" xr:uid="{00000000-0005-0000-0000-000042010000}"/>
    <cellStyle name="Título 6" xfId="241" xr:uid="{00000000-0005-0000-0000-000043010000}"/>
    <cellStyle name="Total 2" xfId="262" xr:uid="{00000000-0005-0000-0000-000044010000}"/>
    <cellStyle name="Total 2 2" xfId="263" xr:uid="{00000000-0005-0000-0000-000045010000}"/>
    <cellStyle name="Total 2 2 2" xfId="309" xr:uid="{00000000-0005-0000-0000-000046010000}"/>
    <cellStyle name="Total 2 2 3" xfId="314" xr:uid="{00000000-0005-0000-0000-000047010000}"/>
    <cellStyle name="Total 2 3" xfId="264" xr:uid="{00000000-0005-0000-0000-000048010000}"/>
    <cellStyle name="Total 2 3 2" xfId="310" xr:uid="{00000000-0005-0000-0000-000049010000}"/>
    <cellStyle name="Total 2 3 3" xfId="315" xr:uid="{00000000-0005-0000-0000-00004A010000}"/>
    <cellStyle name="Total 2 4" xfId="308" xr:uid="{00000000-0005-0000-0000-00004B010000}"/>
    <cellStyle name="Total 2 5" xfId="313" xr:uid="{00000000-0005-0000-0000-00004C010000}"/>
    <cellStyle name="Total 3" xfId="265" xr:uid="{00000000-0005-0000-0000-00004D010000}"/>
    <cellStyle name="Total 3 2" xfId="311" xr:uid="{00000000-0005-0000-0000-00004E010000}"/>
    <cellStyle name="Total 3 3" xfId="316" xr:uid="{00000000-0005-0000-0000-00004F010000}"/>
    <cellStyle name="Total 4" xfId="261" xr:uid="{00000000-0005-0000-0000-000050010000}"/>
    <cellStyle name="Total 4 2" xfId="307" xr:uid="{00000000-0005-0000-0000-000051010000}"/>
    <cellStyle name="Total 4 3" xfId="312" xr:uid="{00000000-0005-0000-0000-00005201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B2B2B2"/>
      <color rgb="FF00CC99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vejar/Desktop/Escritorio%20recuperado/02%20CUOTAS%20CLL/CUOTAS/2024/02%20PLANILLAS%20REGIONALES/CUOTAS%20ARTESANALES%20IV%20REGIO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e\AppData\Local\Microsoft\Windows\INetCache\Content.Outlook\FCRR98OA\Control%20Cuotas%20Region%20XV%20Arica%20y%20Parinacota%20al%20%2031%20de%20diciembre%202024%20CORREGIDO.xlsx" TargetMode="External"/><Relationship Id="rId1" Type="http://schemas.openxmlformats.org/officeDocument/2006/relationships/externalLinkPath" Target="file:///C:\Users\marce\AppData\Local\Microsoft\Windows\INetCache\Content.Outlook\FCRR98OA\Control%20Cuotas%20Region%20XV%20Arica%20y%20Parinacota%20al%20%2031%20de%20diciembre%202024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OTAS ARTESANALES"/>
      <sheetName val="FAUNA ACOMPAÑANTE"/>
      <sheetName val="P. INV."/>
      <sheetName val="CESIONES 2024 "/>
      <sheetName val="CESIONES CRUSTACEOS"/>
      <sheetName val="OROP"/>
    </sheetNames>
    <sheetDataSet>
      <sheetData sheetId="0" refreshError="1">
        <row r="5">
          <cell r="E5">
            <v>730.76300000000003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RESUMEN 2024"/>
      <sheetName val="Jurel"/>
      <sheetName val="Anchoveta"/>
      <sheetName val="Sardina española"/>
      <sheetName val="Cesiones Indv y Colect Anchovet"/>
      <sheetName val="Cesiones Indv y Colect SARDINA"/>
      <sheetName val="Cesiones Indv y Colect JUREL"/>
      <sheetName val="REMANENTE ANCHOVETA 2023"/>
      <sheetName val="REMAN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2">
          <cell r="I102">
            <v>81997.30700000003</v>
          </cell>
        </row>
      </sheetData>
      <sheetData sheetId="6" refreshError="1"/>
      <sheetData sheetId="7" refreshError="1"/>
      <sheetData sheetId="8">
        <row r="5">
          <cell r="I5">
            <v>1404.883</v>
          </cell>
        </row>
        <row r="6">
          <cell r="L6">
            <v>16611.525000000001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2:J42"/>
  <sheetViews>
    <sheetView topLeftCell="A7" zoomScaleNormal="100" workbookViewId="0">
      <selection activeCell="J36" sqref="J36"/>
    </sheetView>
  </sheetViews>
  <sheetFormatPr defaultColWidth="11.42578125" defaultRowHeight="14.45"/>
  <cols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8" max="8" width="12.85546875" bestFit="1" customWidth="1"/>
    <col min="9" max="9" width="12.85546875" customWidth="1"/>
  </cols>
  <sheetData>
    <row r="2" spans="2:10">
      <c r="B2" s="466" t="s">
        <v>0</v>
      </c>
      <c r="C2" s="466"/>
      <c r="D2" s="466"/>
      <c r="E2" s="466"/>
      <c r="F2" s="466"/>
      <c r="G2" s="466"/>
      <c r="H2" s="466"/>
      <c r="I2" s="466"/>
      <c r="J2" s="466"/>
    </row>
    <row r="3" spans="2:10">
      <c r="B3" s="466"/>
      <c r="C3" s="466"/>
      <c r="D3" s="466"/>
      <c r="E3" s="466"/>
      <c r="F3" s="466"/>
      <c r="G3" s="466"/>
      <c r="H3" s="466"/>
      <c r="I3" s="466"/>
      <c r="J3" s="466"/>
    </row>
    <row r="4" spans="2:10">
      <c r="B4" s="169"/>
      <c r="C4" s="468">
        <v>45657</v>
      </c>
      <c r="D4" s="468"/>
      <c r="E4" s="468"/>
      <c r="F4" s="468"/>
      <c r="G4" s="468"/>
      <c r="H4" s="468"/>
      <c r="I4" s="468"/>
      <c r="J4" s="468"/>
    </row>
    <row r="5" spans="2:10">
      <c r="B5" s="169"/>
      <c r="C5" s="469" t="s">
        <v>1</v>
      </c>
      <c r="D5" s="469"/>
      <c r="E5" s="469"/>
      <c r="F5" s="469"/>
      <c r="G5" s="469"/>
      <c r="H5" s="469"/>
      <c r="I5" s="469"/>
      <c r="J5" s="469"/>
    </row>
    <row r="7" spans="2:10">
      <c r="B7" s="168"/>
      <c r="C7" s="168"/>
      <c r="D7" s="168"/>
      <c r="E7" s="168"/>
      <c r="F7" s="168"/>
      <c r="G7" s="168"/>
      <c r="H7" s="168"/>
      <c r="I7" s="168"/>
      <c r="J7" s="168"/>
    </row>
    <row r="8" spans="2:10">
      <c r="B8" s="389" t="s">
        <v>2</v>
      </c>
      <c r="C8" s="389" t="s">
        <v>3</v>
      </c>
      <c r="D8" s="389" t="s">
        <v>4</v>
      </c>
      <c r="E8" s="389" t="s">
        <v>5</v>
      </c>
      <c r="F8" s="389" t="s">
        <v>6</v>
      </c>
      <c r="G8" s="389" t="s">
        <v>7</v>
      </c>
      <c r="H8" s="389" t="s">
        <v>8</v>
      </c>
      <c r="I8" s="389" t="s">
        <v>9</v>
      </c>
      <c r="J8" s="389" t="s">
        <v>10</v>
      </c>
    </row>
    <row r="9" spans="2:10" ht="15" customHeight="1">
      <c r="B9" s="471" t="s">
        <v>11</v>
      </c>
      <c r="C9" s="471" t="s">
        <v>12</v>
      </c>
      <c r="D9" s="390" t="s">
        <v>13</v>
      </c>
      <c r="E9" s="391">
        <f>'Artesanal Anchoveta XV-IV'!N7</f>
        <v>68101</v>
      </c>
      <c r="F9" s="171">
        <f>'Artesanal Anchoveta XV-IV'!O7</f>
        <v>6335</v>
      </c>
      <c r="G9" s="392">
        <f>'Artesanal Anchoveta XV-IV'!P7</f>
        <v>74436</v>
      </c>
      <c r="H9" s="392">
        <f>'Artesanal Anchoveta XV-IV'!I7</f>
        <v>69907.733999999997</v>
      </c>
      <c r="I9" s="392">
        <f>'Artesanal Anchoveta XV-IV'!R7</f>
        <v>4528.2660000000033</v>
      </c>
      <c r="J9" s="167">
        <f>'Artesanal Anchoveta XV-IV'!S7</f>
        <v>0.93916564565532801</v>
      </c>
    </row>
    <row r="10" spans="2:10" ht="15" customHeight="1">
      <c r="B10" s="471"/>
      <c r="C10" s="471"/>
      <c r="D10" s="390" t="s">
        <v>14</v>
      </c>
      <c r="E10" s="391" t="s">
        <v>15</v>
      </c>
      <c r="F10" s="393" t="s">
        <v>15</v>
      </c>
      <c r="G10" s="391">
        <f>'Cesiones ind y colec'!R8</f>
        <v>0</v>
      </c>
      <c r="H10" s="392">
        <f>'Cesiones ind y colec'!S8</f>
        <v>0</v>
      </c>
      <c r="I10" s="392">
        <f>'Cesiones ind y colec'!T8</f>
        <v>0</v>
      </c>
      <c r="J10" s="167">
        <f>'Cesiones ind y colec'!U8</f>
        <v>0</v>
      </c>
    </row>
    <row r="11" spans="2:10">
      <c r="B11" s="471"/>
      <c r="C11" s="471"/>
      <c r="D11" s="390" t="s">
        <v>16</v>
      </c>
      <c r="E11" s="391">
        <f>+'Artesanal Anchoveta XV-IV'!N8</f>
        <v>25718</v>
      </c>
      <c r="F11" s="171">
        <f>+'Artesanal Anchoveta XV-IV'!O8</f>
        <v>0</v>
      </c>
      <c r="G11" s="392">
        <f>+'Artesanal Anchoveta XV-IV'!P8</f>
        <v>25718</v>
      </c>
      <c r="H11" s="392">
        <f>+'Artesanal Anchoveta XV-IV'!Q8</f>
        <v>0.2</v>
      </c>
      <c r="I11" s="392">
        <f t="shared" ref="I11:I24" si="0">+G11-H11</f>
        <v>25717.8</v>
      </c>
      <c r="J11" s="167">
        <f>+H11/G11</f>
        <v>7.7766544832413093E-6</v>
      </c>
    </row>
    <row r="12" spans="2:10">
      <c r="B12" s="471"/>
      <c r="C12" s="471"/>
      <c r="D12" s="394" t="s">
        <v>17</v>
      </c>
      <c r="E12" s="392" t="s">
        <v>15</v>
      </c>
      <c r="F12" s="171" t="s">
        <v>15</v>
      </c>
      <c r="G12" s="392">
        <f>'Cesiones ind y colec'!R9</f>
        <v>0</v>
      </c>
      <c r="H12" s="392">
        <f>'Cesiones ind y colec'!S9</f>
        <v>0</v>
      </c>
      <c r="I12" s="392">
        <f>'Cesiones ind y colec'!T9</f>
        <v>0</v>
      </c>
      <c r="J12" s="167">
        <f>'Cesiones ind y colec'!U9</f>
        <v>0</v>
      </c>
    </row>
    <row r="13" spans="2:10">
      <c r="B13" s="471"/>
      <c r="C13" s="471"/>
      <c r="D13" s="394" t="s">
        <v>18</v>
      </c>
      <c r="E13" s="392">
        <f>+'Artesanal Anchoveta XV-IV'!N10</f>
        <v>16436</v>
      </c>
      <c r="F13" s="171">
        <f>+'Artesanal Anchoveta XV-IV'!O10</f>
        <v>0</v>
      </c>
      <c r="G13" s="392">
        <f>'Artesanal Anchoveta XV-IV'!H10</f>
        <v>16436</v>
      </c>
      <c r="H13" s="392">
        <f>+'Artesanal Anchoveta XV-IV'!Q10</f>
        <v>0</v>
      </c>
      <c r="I13" s="392">
        <f t="shared" si="0"/>
        <v>16436</v>
      </c>
      <c r="J13" s="167">
        <f t="shared" ref="J13:J24" si="1">+H13/G13</f>
        <v>0</v>
      </c>
    </row>
    <row r="14" spans="2:10">
      <c r="B14" s="471"/>
      <c r="C14" s="471"/>
      <c r="D14" s="394" t="s">
        <v>19</v>
      </c>
      <c r="E14" s="392" t="s">
        <v>15</v>
      </c>
      <c r="F14" s="171" t="s">
        <v>15</v>
      </c>
      <c r="G14" s="392">
        <f>'Cesiones ind y colec'!R10</f>
        <v>0</v>
      </c>
      <c r="H14" s="392">
        <f>'Cesiones ind y colec'!S10</f>
        <v>0</v>
      </c>
      <c r="I14" s="392">
        <f>'Cesiones ind y colec'!T10</f>
        <v>0</v>
      </c>
      <c r="J14" s="167">
        <f>'Cesiones ind y colec'!U10</f>
        <v>0</v>
      </c>
    </row>
    <row r="15" spans="2:10" ht="15" customHeight="1">
      <c r="B15" s="471"/>
      <c r="C15" s="471"/>
      <c r="D15" s="394" t="s">
        <v>20</v>
      </c>
      <c r="E15" s="395">
        <f>'Artesanal Anchoveta XV-IV'!N11+'Artesanal Anchoveta XV-IV'!N12+'Artesanal Anchoveta XV-IV'!F13+'Artesanal Anchoveta XV-IV'!N14</f>
        <v>7044</v>
      </c>
      <c r="F15" s="171">
        <f>+'Artesanal Anchoveta XV-IV'!O11+'Artesanal Anchoveta XV-IV'!O14</f>
        <v>0</v>
      </c>
      <c r="G15" s="392">
        <f>+'Artesanal Anchoveta XV-IV'!P11+'Artesanal Anchoveta XV-IV'!P12+'Artesanal Anchoveta XV-IV'!P14</f>
        <v>7005.2030000000004</v>
      </c>
      <c r="H15" s="392">
        <f>+'Artesanal Anchoveta XV-IV'!Q11+'Artesanal Anchoveta XV-IV'!Q12+'Artesanal Anchoveta XV-IV'!Q14</f>
        <v>6.3E-2</v>
      </c>
      <c r="I15" s="392">
        <f t="shared" si="0"/>
        <v>7005.14</v>
      </c>
      <c r="J15" s="167">
        <f t="shared" si="1"/>
        <v>8.9933153971412383E-6</v>
      </c>
    </row>
    <row r="16" spans="2:10" ht="15" customHeight="1">
      <c r="B16" s="471"/>
      <c r="C16" s="471"/>
      <c r="D16" s="394" t="s">
        <v>21</v>
      </c>
      <c r="E16" s="392" t="s">
        <v>15</v>
      </c>
      <c r="F16" s="171" t="s">
        <v>15</v>
      </c>
      <c r="G16" s="392">
        <f>'Cesiones ind y colec'!R11</f>
        <v>0</v>
      </c>
      <c r="H16" s="392">
        <f>'Cesiones ind y colec'!S11</f>
        <v>0</v>
      </c>
      <c r="I16" s="392">
        <f>'Cesiones ind y colec'!T11</f>
        <v>0</v>
      </c>
      <c r="J16" s="167">
        <f>'Cesiones ind y colec'!U11</f>
        <v>0</v>
      </c>
    </row>
    <row r="17" spans="2:10">
      <c r="B17" s="471"/>
      <c r="C17" s="471"/>
      <c r="D17" s="394" t="s">
        <v>22</v>
      </c>
      <c r="E17" s="396">
        <f>+'Artesanal Anchoveta XV-IV'!F9</f>
        <v>1000</v>
      </c>
      <c r="F17" s="392">
        <f>+'Artesanal Anchoveta XV-IV'!G9</f>
        <v>0</v>
      </c>
      <c r="G17" s="392">
        <f>+'Artesanal Anchoveta XV-IV'!H9</f>
        <v>1000</v>
      </c>
      <c r="H17" s="392">
        <f>+'Artesanal Anchoveta XV-IV'!I9</f>
        <v>0</v>
      </c>
      <c r="I17" s="392">
        <f t="shared" si="0"/>
        <v>1000</v>
      </c>
      <c r="J17" s="167">
        <f t="shared" si="1"/>
        <v>0</v>
      </c>
    </row>
    <row r="18" spans="2:10">
      <c r="B18" s="471"/>
      <c r="C18" s="471"/>
      <c r="D18" s="394" t="s">
        <v>23</v>
      </c>
      <c r="E18" s="392">
        <f>+'Artesanal Anchoveta XV-IV'!F15</f>
        <v>500</v>
      </c>
      <c r="F18" s="392">
        <f>+'Artesanal Anchoveta XV-IV'!G15</f>
        <v>0</v>
      </c>
      <c r="G18" s="392">
        <f>+'Artesanal Anchoveta XV-IV'!H15</f>
        <v>500</v>
      </c>
      <c r="H18" s="392">
        <f>+'Artesanal Anchoveta XV-IV'!I15</f>
        <v>0</v>
      </c>
      <c r="I18" s="392">
        <f t="shared" si="0"/>
        <v>500</v>
      </c>
      <c r="J18" s="167">
        <f t="shared" si="1"/>
        <v>0</v>
      </c>
    </row>
    <row r="19" spans="2:10" ht="15" customHeight="1">
      <c r="B19" s="471"/>
      <c r="C19" s="471" t="s">
        <v>24</v>
      </c>
      <c r="D19" s="397" t="s">
        <v>13</v>
      </c>
      <c r="E19" s="398">
        <f>+'Artesanal S.española XV-IV'!M7</f>
        <v>1323</v>
      </c>
      <c r="F19" s="171">
        <f>+'Artesanal S.española XV-IV'!N7</f>
        <v>0</v>
      </c>
      <c r="G19" s="392">
        <f>+'Artesanal S.española XV-IV'!O7</f>
        <v>1323</v>
      </c>
      <c r="H19" s="392">
        <f>+'Artesanal S.española XV-IV'!P7</f>
        <v>1231.1400000000001</v>
      </c>
      <c r="I19" s="392">
        <f t="shared" si="0"/>
        <v>91.8599999999999</v>
      </c>
      <c r="J19" s="167">
        <f t="shared" si="1"/>
        <v>0.93056689342403631</v>
      </c>
    </row>
    <row r="20" spans="2:10">
      <c r="B20" s="471"/>
      <c r="C20" s="471"/>
      <c r="D20" s="394" t="s">
        <v>16</v>
      </c>
      <c r="E20" s="392">
        <f>+'Artesanal S.española XV-IV'!M8</f>
        <v>5007</v>
      </c>
      <c r="F20" s="171">
        <f>+'Artesanal S.española XV-IV'!N8</f>
        <v>0</v>
      </c>
      <c r="G20" s="392">
        <f>+'Artesanal S.española XV-IV'!O8</f>
        <v>5007</v>
      </c>
      <c r="H20" s="392">
        <f>+'Artesanal S.española XV-IV'!P8</f>
        <v>4992.4210000000003</v>
      </c>
      <c r="I20" s="392">
        <f t="shared" si="0"/>
        <v>14.578999999999724</v>
      </c>
      <c r="J20" s="167">
        <f t="shared" si="1"/>
        <v>0.99708827641302178</v>
      </c>
    </row>
    <row r="21" spans="2:10">
      <c r="B21" s="471"/>
      <c r="C21" s="471"/>
      <c r="D21" s="394" t="s">
        <v>18</v>
      </c>
      <c r="E21" s="392">
        <f>+'Artesanal S.española XV-IV'!M10</f>
        <v>1215</v>
      </c>
      <c r="F21" s="171">
        <f>+'Artesanal S.española XV-IV'!N10</f>
        <v>0</v>
      </c>
      <c r="G21" s="392">
        <f>+'Artesanal S.española XV-IV'!O10</f>
        <v>1215</v>
      </c>
      <c r="H21" s="392">
        <f>+'Artesanal S.española XV-IV'!P10</f>
        <v>1072</v>
      </c>
      <c r="I21" s="392">
        <f t="shared" si="0"/>
        <v>143</v>
      </c>
      <c r="J21" s="167">
        <f t="shared" si="1"/>
        <v>0.8823045267489712</v>
      </c>
    </row>
    <row r="22" spans="2:10">
      <c r="B22" s="471"/>
      <c r="C22" s="471"/>
      <c r="D22" s="394" t="s">
        <v>20</v>
      </c>
      <c r="E22" s="392">
        <f>+'Artesanal S.española XV-IV'!M11</f>
        <v>1215</v>
      </c>
      <c r="F22" s="171">
        <f>+'Artesanal S.española XV-IV'!N11</f>
        <v>0</v>
      </c>
      <c r="G22" s="392">
        <f>+'Artesanal S.española XV-IV'!O11</f>
        <v>1215</v>
      </c>
      <c r="H22" s="392">
        <f>+'Artesanal S.española XV-IV'!P11</f>
        <v>730.76300000000003</v>
      </c>
      <c r="I22" s="392">
        <f t="shared" si="0"/>
        <v>484.23699999999997</v>
      </c>
      <c r="J22" s="167">
        <f t="shared" si="1"/>
        <v>0.60145102880658441</v>
      </c>
    </row>
    <row r="23" spans="2:10">
      <c r="B23" s="471"/>
      <c r="C23" s="471"/>
      <c r="D23" s="397" t="s">
        <v>22</v>
      </c>
      <c r="E23" s="398">
        <f>'Artesanal S.española XV-IV'!F9</f>
        <v>700</v>
      </c>
      <c r="F23" s="392">
        <f>+'Artesanal S.española XV-IV'!G9</f>
        <v>0</v>
      </c>
      <c r="G23" s="392">
        <f>+'Artesanal S.española XV-IV'!H9</f>
        <v>700</v>
      </c>
      <c r="H23" s="392">
        <f>+'Artesanal S.española XV-IV'!I9</f>
        <v>0</v>
      </c>
      <c r="I23" s="392">
        <f t="shared" si="0"/>
        <v>700</v>
      </c>
      <c r="J23" s="167">
        <f t="shared" si="1"/>
        <v>0</v>
      </c>
    </row>
    <row r="24" spans="2:10">
      <c r="B24" s="471"/>
      <c r="C24" s="471"/>
      <c r="D24" s="394" t="s">
        <v>23</v>
      </c>
      <c r="E24" s="392">
        <f>+'Artesanal S.española XV-IV'!F12</f>
        <v>50</v>
      </c>
      <c r="F24" s="392">
        <f>+'Artesanal S.española XV-IV'!G12</f>
        <v>0</v>
      </c>
      <c r="G24" s="392">
        <f>+'Artesanal S.española XV-IV'!H12</f>
        <v>50</v>
      </c>
      <c r="H24" s="392">
        <f>+'Artesanal S.española XV-IV'!I12</f>
        <v>26.332000000000001</v>
      </c>
      <c r="I24" s="392">
        <f t="shared" si="0"/>
        <v>23.667999999999999</v>
      </c>
      <c r="J24" s="167">
        <f t="shared" si="1"/>
        <v>0.52664</v>
      </c>
    </row>
    <row r="25" spans="2:10" ht="28.5" customHeight="1">
      <c r="B25" s="389" t="s">
        <v>25</v>
      </c>
      <c r="C25" s="474" t="s">
        <v>26</v>
      </c>
      <c r="D25" s="472" t="s">
        <v>27</v>
      </c>
      <c r="E25" s="399">
        <v>137</v>
      </c>
      <c r="F25" s="400">
        <v>0</v>
      </c>
      <c r="G25" s="399">
        <f t="shared" ref="G25:G28" si="2">+E25+F25</f>
        <v>137</v>
      </c>
      <c r="H25" s="399">
        <f>'P. Investigación'!H26+'P. Investigación'!H33</f>
        <v>0</v>
      </c>
      <c r="I25" s="399">
        <f>+G25-H25</f>
        <v>137</v>
      </c>
      <c r="J25" s="376">
        <f>+H25/G25</f>
        <v>0</v>
      </c>
    </row>
    <row r="26" spans="2:10">
      <c r="B26" s="389" t="s">
        <v>28</v>
      </c>
      <c r="C26" s="475"/>
      <c r="D26" s="472"/>
      <c r="E26" s="399">
        <v>6335</v>
      </c>
      <c r="F26" s="400">
        <v>-6335</v>
      </c>
      <c r="G26" s="399">
        <f>+E26+F26</f>
        <v>0</v>
      </c>
      <c r="H26" s="399">
        <v>0</v>
      </c>
      <c r="I26" s="399">
        <v>0</v>
      </c>
      <c r="J26" s="376">
        <v>0</v>
      </c>
    </row>
    <row r="27" spans="2:10">
      <c r="B27" s="389" t="s">
        <v>25</v>
      </c>
      <c r="C27" s="401" t="s">
        <v>26</v>
      </c>
      <c r="D27" s="473" t="s">
        <v>29</v>
      </c>
      <c r="E27" s="399">
        <v>78</v>
      </c>
      <c r="F27" s="400">
        <v>0</v>
      </c>
      <c r="G27" s="399">
        <f t="shared" si="2"/>
        <v>78</v>
      </c>
      <c r="H27" s="399">
        <f>+'P. Investigación'!H19+'P. Investigación'!H42</f>
        <v>0</v>
      </c>
      <c r="I27" s="399">
        <f>+G27-H27</f>
        <v>78</v>
      </c>
      <c r="J27" s="376">
        <f>+H27/G27</f>
        <v>0</v>
      </c>
    </row>
    <row r="28" spans="2:10">
      <c r="B28" s="389" t="s">
        <v>25</v>
      </c>
      <c r="C28" s="401" t="s">
        <v>24</v>
      </c>
      <c r="D28" s="473"/>
      <c r="E28" s="399">
        <v>0</v>
      </c>
      <c r="F28" s="400">
        <v>0</v>
      </c>
      <c r="G28" s="399">
        <f t="shared" si="2"/>
        <v>0</v>
      </c>
      <c r="H28" s="399">
        <v>0</v>
      </c>
      <c r="I28" s="399">
        <v>0</v>
      </c>
      <c r="J28" s="376">
        <v>0</v>
      </c>
    </row>
    <row r="29" spans="2:10">
      <c r="B29" s="470" t="s">
        <v>30</v>
      </c>
      <c r="C29" s="467" t="s">
        <v>26</v>
      </c>
      <c r="D29" s="122" t="s">
        <v>27</v>
      </c>
      <c r="E29" s="402">
        <f>Industrial!E17</f>
        <v>532208.89500000002</v>
      </c>
      <c r="F29" s="403">
        <f>+Industrial!L17</f>
        <v>-145139.568</v>
      </c>
      <c r="G29" s="404">
        <f>+Industrial!M17</f>
        <v>387069.32699999999</v>
      </c>
      <c r="H29" s="404">
        <f>+Industrial!N17</f>
        <v>3525.66</v>
      </c>
      <c r="I29" s="404">
        <f>+G29-H29</f>
        <v>383543.66700000002</v>
      </c>
      <c r="J29" s="405">
        <f>+H29/G29</f>
        <v>9.1086008476202497E-3</v>
      </c>
    </row>
    <row r="30" spans="2:10">
      <c r="B30" s="470"/>
      <c r="C30" s="467"/>
      <c r="D30" s="122" t="s">
        <v>29</v>
      </c>
      <c r="E30" s="404">
        <f>+Industrial!K35</f>
        <v>23979.99984</v>
      </c>
      <c r="F30" s="403">
        <f>+Industrial!L35</f>
        <v>-3000</v>
      </c>
      <c r="G30" s="404">
        <f>+Industrial!M35</f>
        <v>20979.99984</v>
      </c>
      <c r="H30" s="404">
        <f>+Industrial!N35</f>
        <v>0</v>
      </c>
      <c r="I30" s="404">
        <f>+G30-H30</f>
        <v>20979.99984</v>
      </c>
      <c r="J30" s="405">
        <f>+H30/G30</f>
        <v>0</v>
      </c>
    </row>
    <row r="31" spans="2:10">
      <c r="B31" s="470"/>
      <c r="C31" s="467" t="s">
        <v>31</v>
      </c>
      <c r="D31" s="122" t="s">
        <v>27</v>
      </c>
      <c r="E31" s="398">
        <f>Industrial!E39</f>
        <v>2970</v>
      </c>
      <c r="F31" s="406">
        <f>+Industrial!L39</f>
        <v>-2100</v>
      </c>
      <c r="G31" s="398">
        <f>+Industrial!M39</f>
        <v>870.00000000000011</v>
      </c>
      <c r="H31" s="398">
        <f>+Industrial!N39</f>
        <v>0</v>
      </c>
      <c r="I31" s="398">
        <f>+G31-H31</f>
        <v>870.00000000000011</v>
      </c>
      <c r="J31" s="407">
        <f>+H31/G31</f>
        <v>0</v>
      </c>
    </row>
    <row r="32" spans="2:10">
      <c r="B32" s="470"/>
      <c r="C32" s="467"/>
      <c r="D32" s="122" t="s">
        <v>29</v>
      </c>
      <c r="E32" s="404">
        <f>+Industrial!K52</f>
        <v>2479.9996639999999</v>
      </c>
      <c r="F32" s="403">
        <f>+Industrial!L52</f>
        <v>-1270</v>
      </c>
      <c r="G32" s="404">
        <f>+Industrial!M52</f>
        <v>1207.0222640000002</v>
      </c>
      <c r="H32" s="404">
        <f>+Industrial!N52</f>
        <v>0</v>
      </c>
      <c r="I32" s="404">
        <f>+G32-H32</f>
        <v>1207.0222640000002</v>
      </c>
      <c r="J32" s="405">
        <f>+H32/G32</f>
        <v>0</v>
      </c>
    </row>
    <row r="33" spans="2:10">
      <c r="B33" s="463" t="s">
        <v>32</v>
      </c>
      <c r="C33" s="408" t="s">
        <v>12</v>
      </c>
      <c r="D33" s="464" t="s">
        <v>33</v>
      </c>
      <c r="E33" s="399">
        <v>0</v>
      </c>
      <c r="F33" s="400">
        <f>'Cesiones ind y colec'!R5</f>
        <v>148139.56800000003</v>
      </c>
      <c r="G33" s="399">
        <f>'Cesiones ind y colec'!R5</f>
        <v>148139.56800000003</v>
      </c>
      <c r="H33" s="399">
        <f>'Cesiones ind y colec'!S5</f>
        <v>81997.307000000001</v>
      </c>
      <c r="I33" s="399">
        <f>'Cesiones ind y colec'!T5</f>
        <v>66142.261000000028</v>
      </c>
      <c r="J33" s="376">
        <f>'Cesiones ind y colec'!U5</f>
        <v>0.55351387955984843</v>
      </c>
    </row>
    <row r="34" spans="2:10">
      <c r="B34" s="463"/>
      <c r="C34" s="408" t="s">
        <v>24</v>
      </c>
      <c r="D34" s="465"/>
      <c r="E34" s="399">
        <v>0</v>
      </c>
      <c r="F34" s="400">
        <f>'Cesiones ind y colec'!R6</f>
        <v>3370</v>
      </c>
      <c r="G34" s="399">
        <f>'Cesiones ind y colec'!R6</f>
        <v>3370</v>
      </c>
      <c r="H34" s="399">
        <f>'Cesiones ind y colec'!R6</f>
        <v>3370</v>
      </c>
      <c r="I34" s="399">
        <f>'Cesiones ind y colec'!T6</f>
        <v>1851.4739999999995</v>
      </c>
      <c r="J34" s="376">
        <f>'Cesiones ind y colec'!U6</f>
        <v>0.45060118694362034</v>
      </c>
    </row>
    <row r="35" spans="2:10" ht="15.6">
      <c r="B35" s="462" t="s">
        <v>34</v>
      </c>
      <c r="C35" s="462"/>
      <c r="D35" s="462"/>
      <c r="E35" s="385">
        <f>SUM(E9:E34)</f>
        <v>696497.89450399997</v>
      </c>
      <c r="F35" s="386">
        <f>SUM(F9:F34)</f>
        <v>2.9103830456733704E-11</v>
      </c>
      <c r="G35" s="388">
        <f t="shared" ref="G35" si="3">SUM(G9:G34)</f>
        <v>696456.12010399997</v>
      </c>
      <c r="H35" s="386">
        <f>SUM(H9:H34)</f>
        <v>166853.62</v>
      </c>
      <c r="I35" s="386">
        <f>SUM(I9:I34)</f>
        <v>531453.97410400014</v>
      </c>
      <c r="J35" s="387">
        <f>H35/G35</f>
        <v>0.2395752082343453</v>
      </c>
    </row>
    <row r="36" spans="2:10" ht="15.6">
      <c r="E36" s="109"/>
      <c r="F36" s="109"/>
      <c r="I36" s="331">
        <f>G35-H35</f>
        <v>529602.50010399998</v>
      </c>
    </row>
    <row r="37" spans="2:10">
      <c r="H37" s="378"/>
    </row>
    <row r="39" spans="2:10">
      <c r="H39" s="378"/>
    </row>
    <row r="42" spans="2:10">
      <c r="H42" s="378"/>
    </row>
  </sheetData>
  <mergeCells count="15">
    <mergeCell ref="B35:D35"/>
    <mergeCell ref="B33:B34"/>
    <mergeCell ref="D33:D34"/>
    <mergeCell ref="B2:J3"/>
    <mergeCell ref="C31:C32"/>
    <mergeCell ref="C4:J4"/>
    <mergeCell ref="C5:J5"/>
    <mergeCell ref="B29:B32"/>
    <mergeCell ref="B9:B24"/>
    <mergeCell ref="D25:D26"/>
    <mergeCell ref="D27:D28"/>
    <mergeCell ref="C9:C18"/>
    <mergeCell ref="C19:C24"/>
    <mergeCell ref="C29:C30"/>
    <mergeCell ref="C25:C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Q66"/>
  <sheetViews>
    <sheetView zoomScale="90" zoomScaleNormal="90" workbookViewId="0">
      <selection activeCell="A42" sqref="A42:XFD42"/>
    </sheetView>
  </sheetViews>
  <sheetFormatPr defaultColWidth="11.42578125" defaultRowHeight="14.45"/>
  <cols>
    <col min="1" max="2" width="19" bestFit="1" customWidth="1"/>
    <col min="4" max="4" width="17.85546875" bestFit="1" customWidth="1"/>
    <col min="5" max="5" width="29.5703125" bestFit="1" customWidth="1"/>
    <col min="14" max="14" width="11.42578125" style="30"/>
  </cols>
  <sheetData>
    <row r="1" spans="1:17">
      <c r="A1" s="457" t="s">
        <v>379</v>
      </c>
      <c r="B1" s="457" t="s">
        <v>380</v>
      </c>
      <c r="C1" s="457" t="s">
        <v>381</v>
      </c>
      <c r="D1" s="457" t="s">
        <v>382</v>
      </c>
      <c r="E1" s="458" t="s">
        <v>383</v>
      </c>
      <c r="F1" s="457" t="s">
        <v>384</v>
      </c>
      <c r="G1" s="457" t="s">
        <v>385</v>
      </c>
      <c r="H1" s="457" t="s">
        <v>386</v>
      </c>
      <c r="I1" s="457" t="s">
        <v>387</v>
      </c>
      <c r="J1" s="457" t="s">
        <v>388</v>
      </c>
      <c r="K1" s="457" t="s">
        <v>389</v>
      </c>
      <c r="L1" s="457" t="s">
        <v>390</v>
      </c>
      <c r="M1" s="459" t="s">
        <v>391</v>
      </c>
      <c r="N1" s="460" t="s">
        <v>392</v>
      </c>
      <c r="O1" s="461" t="s">
        <v>393</v>
      </c>
      <c r="P1" s="140" t="s">
        <v>394</v>
      </c>
      <c r="Q1" s="140" t="s">
        <v>395</v>
      </c>
    </row>
    <row r="2" spans="1:17">
      <c r="A2" t="s">
        <v>396</v>
      </c>
      <c r="B2" t="s">
        <v>396</v>
      </c>
      <c r="C2" t="s">
        <v>172</v>
      </c>
      <c r="D2" t="s">
        <v>397</v>
      </c>
      <c r="E2" t="str">
        <f>+Industrial!C11</f>
        <v>ARICA SEAFOOD PRODUCER S.A.</v>
      </c>
      <c r="F2" s="30">
        <v>45292</v>
      </c>
      <c r="G2" s="30">
        <v>45657</v>
      </c>
      <c r="H2">
        <f>+Industrial!E11</f>
        <v>4687.0050000000001</v>
      </c>
      <c r="I2">
        <f>+Industrial!F11</f>
        <v>-5080.9989999999998</v>
      </c>
      <c r="J2">
        <f>+Industrial!G11</f>
        <v>-393.99399999999969</v>
      </c>
      <c r="K2">
        <f>+Industrial!H11</f>
        <v>0</v>
      </c>
      <c r="L2">
        <f>+Industrial!I11</f>
        <v>-393.99399999999969</v>
      </c>
      <c r="M2" s="5">
        <f>+Industrial!J11</f>
        <v>0</v>
      </c>
      <c r="N2" s="39" t="s">
        <v>15</v>
      </c>
      <c r="O2" s="30">
        <f>+Resumen!C$4</f>
        <v>45657</v>
      </c>
      <c r="P2">
        <v>2024</v>
      </c>
    </row>
    <row r="3" spans="1:17">
      <c r="A3" t="s">
        <v>396</v>
      </c>
      <c r="B3" t="s">
        <v>396</v>
      </c>
      <c r="C3" t="s">
        <v>172</v>
      </c>
      <c r="D3" t="s">
        <v>397</v>
      </c>
      <c r="E3" t="str">
        <f>+Industrial!C12</f>
        <v>CAMANCHACA S.A</v>
      </c>
      <c r="F3" s="30">
        <v>45292</v>
      </c>
      <c r="G3" s="30">
        <v>45657</v>
      </c>
      <c r="H3">
        <f>+Industrial!E12</f>
        <v>128674.246</v>
      </c>
      <c r="I3">
        <f>+Industrial!F12</f>
        <v>-11000</v>
      </c>
      <c r="J3">
        <f>+Industrial!G12</f>
        <v>117674.246</v>
      </c>
      <c r="K3">
        <f>+Industrial!H12</f>
        <v>525.21400000000006</v>
      </c>
      <c r="L3">
        <f>+Industrial!I12</f>
        <v>117149.03199999999</v>
      </c>
      <c r="M3" s="5">
        <f>+Industrial!J12</f>
        <v>4.4632875744111426E-3</v>
      </c>
      <c r="N3" s="39" t="s">
        <v>15</v>
      </c>
      <c r="O3" s="30">
        <f>+Resumen!C$4</f>
        <v>45657</v>
      </c>
      <c r="P3">
        <v>2024</v>
      </c>
    </row>
    <row r="4" spans="1:17">
      <c r="A4" t="s">
        <v>396</v>
      </c>
      <c r="B4" t="s">
        <v>396</v>
      </c>
      <c r="C4" t="s">
        <v>172</v>
      </c>
      <c r="D4" t="s">
        <v>397</v>
      </c>
      <c r="E4" t="str">
        <f>+Industrial!C13</f>
        <v>CORPESCA S.A</v>
      </c>
      <c r="F4" s="30">
        <v>45292</v>
      </c>
      <c r="G4" s="30">
        <v>45657</v>
      </c>
      <c r="H4">
        <f>+Industrial!E13</f>
        <v>379422.01500000001</v>
      </c>
      <c r="I4">
        <f>+Industrial!F13</f>
        <v>-108000</v>
      </c>
      <c r="J4">
        <f>+Industrial!G13</f>
        <v>271422.01500000001</v>
      </c>
      <c r="K4">
        <f>+Industrial!H13</f>
        <v>3000.4459999999999</v>
      </c>
      <c r="L4">
        <f>+Industrial!I13</f>
        <v>268421.56900000002</v>
      </c>
      <c r="M4" s="5">
        <f>+Industrial!J13</f>
        <v>1.105454176220746E-2</v>
      </c>
      <c r="N4" s="39" t="s">
        <v>15</v>
      </c>
      <c r="O4" s="30">
        <f>+Resumen!C$4</f>
        <v>45657</v>
      </c>
      <c r="P4">
        <v>2024</v>
      </c>
    </row>
    <row r="5" spans="1:17">
      <c r="A5" t="s">
        <v>396</v>
      </c>
      <c r="B5" t="s">
        <v>396</v>
      </c>
      <c r="C5" t="s">
        <v>172</v>
      </c>
      <c r="D5" t="s">
        <v>397</v>
      </c>
      <c r="E5" t="str">
        <f>+Industrial!C14</f>
        <v>DEL NORTE SpA SIND. PESQ.</v>
      </c>
      <c r="F5" s="30">
        <v>45292</v>
      </c>
      <c r="G5" s="30">
        <v>45657</v>
      </c>
      <c r="H5">
        <f>+Industrial!E14</f>
        <v>16498.478999999999</v>
      </c>
      <c r="I5">
        <f>+Industrial!F14</f>
        <v>-17885.36</v>
      </c>
      <c r="J5">
        <f>+Industrial!G14</f>
        <v>-1386.8810000000012</v>
      </c>
      <c r="K5">
        <f>+Industrial!H14</f>
        <v>0</v>
      </c>
      <c r="L5">
        <f>+Industrial!I14</f>
        <v>-1386.8810000000012</v>
      </c>
      <c r="M5" s="5">
        <f>+Industrial!J14</f>
        <v>0</v>
      </c>
      <c r="N5" s="39" t="s">
        <v>15</v>
      </c>
      <c r="O5" s="30">
        <f>+Resumen!C$4</f>
        <v>45657</v>
      </c>
      <c r="P5">
        <v>2024</v>
      </c>
    </row>
    <row r="6" spans="1:17">
      <c r="A6" t="s">
        <v>396</v>
      </c>
      <c r="B6" t="s">
        <v>396</v>
      </c>
      <c r="C6" t="s">
        <v>172</v>
      </c>
      <c r="D6" t="s">
        <v>397</v>
      </c>
      <c r="E6" t="str">
        <f>+Industrial!C15</f>
        <v>DECASUR SPA</v>
      </c>
      <c r="F6" s="30">
        <v>45292</v>
      </c>
      <c r="G6" s="30">
        <v>45657</v>
      </c>
      <c r="H6">
        <f>+Industrial!E15</f>
        <v>0</v>
      </c>
      <c r="I6">
        <f>+Industrial!F15</f>
        <v>0</v>
      </c>
      <c r="J6">
        <f>+Industrial!G15</f>
        <v>0</v>
      </c>
      <c r="K6">
        <f>+Industrial!H15</f>
        <v>0</v>
      </c>
      <c r="L6">
        <f>+Industrial!I15</f>
        <v>0</v>
      </c>
      <c r="M6" s="5" t="e">
        <f>+Industrial!J15</f>
        <v>#DIV/0!</v>
      </c>
      <c r="N6" s="39" t="s">
        <v>15</v>
      </c>
      <c r="O6" s="30">
        <f>+Resumen!C$4</f>
        <v>45657</v>
      </c>
      <c r="P6">
        <v>2024</v>
      </c>
    </row>
    <row r="7" spans="1:17">
      <c r="A7" t="s">
        <v>396</v>
      </c>
      <c r="B7" t="s">
        <v>396</v>
      </c>
      <c r="C7" t="s">
        <v>172</v>
      </c>
      <c r="D7" t="s">
        <v>397</v>
      </c>
      <c r="E7" t="str">
        <f>+Industrial!C16</f>
        <v>ESPACIO PESQUERO SpA.</v>
      </c>
      <c r="F7" s="30">
        <v>45292</v>
      </c>
      <c r="G7" s="30">
        <v>45657</v>
      </c>
      <c r="H7">
        <f>+Industrial!E16</f>
        <v>2927.15</v>
      </c>
      <c r="I7">
        <f>+Industrial!F16</f>
        <v>-3173.2089999999998</v>
      </c>
      <c r="J7">
        <f>+Industrial!G16</f>
        <v>-246.05899999999974</v>
      </c>
      <c r="K7">
        <f>+Industrial!H16</f>
        <v>0</v>
      </c>
      <c r="L7">
        <f>+Industrial!I16</f>
        <v>-246.05899999999974</v>
      </c>
      <c r="M7" s="5">
        <f>+Industrial!J16</f>
        <v>0</v>
      </c>
      <c r="N7" s="39" t="s">
        <v>15</v>
      </c>
      <c r="O7" s="30">
        <f>+Resumen!C$4</f>
        <v>45657</v>
      </c>
      <c r="P7">
        <v>2024</v>
      </c>
    </row>
    <row r="8" spans="1:17" s="70" customFormat="1">
      <c r="A8" s="70" t="s">
        <v>396</v>
      </c>
      <c r="B8" s="70" t="s">
        <v>396</v>
      </c>
      <c r="C8" s="70" t="s">
        <v>172</v>
      </c>
      <c r="D8" s="70" t="s">
        <v>397</v>
      </c>
      <c r="E8" s="70" t="s">
        <v>398</v>
      </c>
      <c r="F8" s="73">
        <v>45292</v>
      </c>
      <c r="G8" s="73">
        <v>45657</v>
      </c>
      <c r="H8" s="74">
        <f>+Industrial!K17</f>
        <v>532208.89500000002</v>
      </c>
      <c r="I8" s="70">
        <f>+Industrial!L17</f>
        <v>-145139.568</v>
      </c>
      <c r="J8" s="70">
        <f>+Industrial!M17</f>
        <v>387069.32699999999</v>
      </c>
      <c r="K8" s="70">
        <f>+Industrial!N17</f>
        <v>3525.66</v>
      </c>
      <c r="L8" s="70">
        <f>+Industrial!O17</f>
        <v>383543.66700000002</v>
      </c>
      <c r="M8" s="71">
        <f>+Industrial!P17</f>
        <v>9.1086008476202497E-3</v>
      </c>
      <c r="N8" s="72" t="s">
        <v>15</v>
      </c>
      <c r="O8" s="73">
        <f>+Resumen!C$4</f>
        <v>45657</v>
      </c>
      <c r="P8">
        <v>2024</v>
      </c>
    </row>
    <row r="9" spans="1:17">
      <c r="A9" t="s">
        <v>396</v>
      </c>
      <c r="B9" t="s">
        <v>396</v>
      </c>
      <c r="C9" t="s">
        <v>293</v>
      </c>
      <c r="D9" t="s">
        <v>397</v>
      </c>
      <c r="E9" t="str">
        <f>+Industrial!C18</f>
        <v>ABASTECIMIENTO DEL PACIFICO S.A.</v>
      </c>
      <c r="F9" s="30">
        <v>45292</v>
      </c>
      <c r="G9" s="30">
        <v>45657</v>
      </c>
      <c r="H9">
        <f>+Industrial!E18</f>
        <v>251.79</v>
      </c>
      <c r="I9">
        <f>+Industrial!F18</f>
        <v>0</v>
      </c>
      <c r="J9">
        <f>+Industrial!G18</f>
        <v>251.79</v>
      </c>
      <c r="K9">
        <f>+Industrial!H18</f>
        <v>0</v>
      </c>
      <c r="L9">
        <f>+Industrial!I18</f>
        <v>251.79</v>
      </c>
      <c r="M9" s="5">
        <f>+Industrial!J18</f>
        <v>0</v>
      </c>
      <c r="N9" s="39" t="s">
        <v>15</v>
      </c>
      <c r="O9" s="30">
        <f>+Resumen!C$4</f>
        <v>45657</v>
      </c>
      <c r="P9">
        <v>2024</v>
      </c>
    </row>
    <row r="10" spans="1:17">
      <c r="A10" t="s">
        <v>396</v>
      </c>
      <c r="B10" t="s">
        <v>396</v>
      </c>
      <c r="C10" t="s">
        <v>293</v>
      </c>
      <c r="D10" t="s">
        <v>397</v>
      </c>
      <c r="E10" t="str">
        <f>+Industrial!C19</f>
        <v xml:space="preserve">ALIMENTOS MARINOS S.A.          </v>
      </c>
      <c r="F10" s="30">
        <v>45292</v>
      </c>
      <c r="G10" s="30">
        <v>45657</v>
      </c>
      <c r="H10">
        <f>+Industrial!E19</f>
        <v>1342.8130000000001</v>
      </c>
      <c r="I10">
        <f>+Industrial!F19</f>
        <v>0</v>
      </c>
      <c r="J10">
        <f>+Industrial!G19</f>
        <v>1342.8130000000001</v>
      </c>
      <c r="K10">
        <f>+Industrial!H19</f>
        <v>0</v>
      </c>
      <c r="L10">
        <f>+Industrial!I19</f>
        <v>1342.8130000000001</v>
      </c>
      <c r="M10" s="68">
        <f>+Industrial!J19</f>
        <v>0</v>
      </c>
      <c r="N10" s="39" t="s">
        <v>15</v>
      </c>
      <c r="O10" s="30">
        <f>+Resumen!C$4</f>
        <v>45657</v>
      </c>
      <c r="P10">
        <v>2024</v>
      </c>
    </row>
    <row r="11" spans="1:17">
      <c r="A11" t="s">
        <v>396</v>
      </c>
      <c r="B11" t="s">
        <v>396</v>
      </c>
      <c r="C11" t="s">
        <v>293</v>
      </c>
      <c r="D11" t="s">
        <v>397</v>
      </c>
      <c r="E11" t="str">
        <f>+Industrial!C20</f>
        <v>ATILIO REYES BARRERA</v>
      </c>
      <c r="F11" s="30">
        <v>45292</v>
      </c>
      <c r="G11" s="30">
        <v>45657</v>
      </c>
      <c r="H11">
        <f>+Industrial!E20</f>
        <v>179.85</v>
      </c>
      <c r="I11">
        <f>+Industrial!F20</f>
        <v>0</v>
      </c>
      <c r="J11">
        <f>+Industrial!G20</f>
        <v>179.85</v>
      </c>
      <c r="K11">
        <f>+Industrial!H20</f>
        <v>0</v>
      </c>
      <c r="L11">
        <f>+Industrial!I20</f>
        <v>179.85</v>
      </c>
      <c r="M11" s="5">
        <f>+Industrial!J20</f>
        <v>0</v>
      </c>
      <c r="N11" s="39" t="s">
        <v>15</v>
      </c>
      <c r="O11" s="30">
        <f>+Resumen!C$4</f>
        <v>45657</v>
      </c>
      <c r="P11">
        <v>2024</v>
      </c>
    </row>
    <row r="12" spans="1:17">
      <c r="A12" t="s">
        <v>396</v>
      </c>
      <c r="B12" t="s">
        <v>396</v>
      </c>
      <c r="C12" t="s">
        <v>293</v>
      </c>
      <c r="D12" t="s">
        <v>397</v>
      </c>
      <c r="E12" t="str">
        <f>+Industrial!C21</f>
        <v xml:space="preserve">BAHIA CALDERA S.A. PESQ.          </v>
      </c>
      <c r="F12" s="30">
        <v>45292</v>
      </c>
      <c r="G12" s="30">
        <v>45657</v>
      </c>
      <c r="H12">
        <f>+Industrial!E21</f>
        <v>10490.727000000001</v>
      </c>
      <c r="I12">
        <f>+Industrial!F21</f>
        <v>0</v>
      </c>
      <c r="J12">
        <f>+Industrial!G21</f>
        <v>10490.727000000001</v>
      </c>
      <c r="K12">
        <f>+Industrial!H21</f>
        <v>0</v>
      </c>
      <c r="L12">
        <f>+Industrial!I21</f>
        <v>10490.727000000001</v>
      </c>
      <c r="M12" s="5">
        <f>+Industrial!J21</f>
        <v>0</v>
      </c>
      <c r="N12" s="39" t="s">
        <v>15</v>
      </c>
      <c r="O12" s="30">
        <f>+Resumen!C$4</f>
        <v>45657</v>
      </c>
      <c r="P12">
        <v>2024</v>
      </c>
    </row>
    <row r="13" spans="1:17">
      <c r="A13" t="s">
        <v>396</v>
      </c>
      <c r="B13" t="s">
        <v>396</v>
      </c>
      <c r="C13" t="s">
        <v>293</v>
      </c>
      <c r="D13" t="s">
        <v>397</v>
      </c>
      <c r="E13" t="str">
        <f>+Industrial!C22</f>
        <v xml:space="preserve">BLUMAR S.A.                                              </v>
      </c>
      <c r="F13" s="30">
        <v>45292</v>
      </c>
      <c r="G13" s="30">
        <v>45657</v>
      </c>
      <c r="H13">
        <f>+Industrial!E22</f>
        <v>77.460195999999996</v>
      </c>
      <c r="I13">
        <f>+Industrial!F22</f>
        <v>0</v>
      </c>
      <c r="J13">
        <f>+Industrial!G22</f>
        <v>77.460195999999996</v>
      </c>
      <c r="K13">
        <f>+Industrial!H22</f>
        <v>0</v>
      </c>
      <c r="L13">
        <f>+Industrial!I22</f>
        <v>77.460195999999996</v>
      </c>
      <c r="M13" s="5">
        <f>+Industrial!J22</f>
        <v>0</v>
      </c>
      <c r="N13" s="39" t="s">
        <v>15</v>
      </c>
      <c r="O13" s="30">
        <f>+Resumen!C$4</f>
        <v>45657</v>
      </c>
      <c r="P13">
        <v>2024</v>
      </c>
    </row>
    <row r="14" spans="1:17">
      <c r="A14" t="s">
        <v>396</v>
      </c>
      <c r="B14" t="s">
        <v>396</v>
      </c>
      <c r="C14" t="s">
        <v>293</v>
      </c>
      <c r="D14" t="s">
        <v>397</v>
      </c>
      <c r="E14" t="str">
        <f>+Industrial!C23</f>
        <v xml:space="preserve">CAMANCHACA PESCA SUR S.A.  </v>
      </c>
      <c r="F14" s="30">
        <v>45292</v>
      </c>
      <c r="G14" s="30">
        <v>45657</v>
      </c>
      <c r="H14">
        <f>+Industrial!E23</f>
        <v>649.05700000000002</v>
      </c>
      <c r="I14">
        <f>+Industrial!F23</f>
        <v>0</v>
      </c>
      <c r="J14">
        <f>+Industrial!G23</f>
        <v>649.05700000000002</v>
      </c>
      <c r="K14">
        <f>+Industrial!H23</f>
        <v>0</v>
      </c>
      <c r="L14">
        <f>+Industrial!I23</f>
        <v>649.05700000000002</v>
      </c>
      <c r="M14" s="5">
        <f>+Industrial!J23</f>
        <v>0</v>
      </c>
      <c r="N14" s="39" t="s">
        <v>15</v>
      </c>
      <c r="O14" s="30">
        <f>+Resumen!C$4</f>
        <v>45657</v>
      </c>
      <c r="P14">
        <v>2024</v>
      </c>
    </row>
    <row r="15" spans="1:17">
      <c r="A15" t="s">
        <v>396</v>
      </c>
      <c r="B15" t="s">
        <v>396</v>
      </c>
      <c r="C15" t="s">
        <v>293</v>
      </c>
      <c r="D15" t="s">
        <v>397</v>
      </c>
      <c r="E15" t="str">
        <f>+Industrial!C24</f>
        <v xml:space="preserve">CAMANCHACA S.A. CIA. PESQ    </v>
      </c>
      <c r="F15" s="30">
        <v>45292</v>
      </c>
      <c r="G15" s="30">
        <v>45657</v>
      </c>
      <c r="H15">
        <f>+Industrial!E24</f>
        <v>18.54853</v>
      </c>
      <c r="I15">
        <f>+Industrial!F24</f>
        <v>0</v>
      </c>
      <c r="J15">
        <f>+Industrial!G24</f>
        <v>18.54853</v>
      </c>
      <c r="K15">
        <f>+Industrial!H24</f>
        <v>0</v>
      </c>
      <c r="L15">
        <f>+Industrial!I24</f>
        <v>18.54853</v>
      </c>
      <c r="M15" s="5">
        <f>+Industrial!J24</f>
        <v>0</v>
      </c>
      <c r="N15" s="39" t="s">
        <v>15</v>
      </c>
      <c r="O15" s="30">
        <f>+Resumen!C$4</f>
        <v>45657</v>
      </c>
      <c r="P15">
        <v>2024</v>
      </c>
    </row>
    <row r="16" spans="1:17">
      <c r="A16" t="s">
        <v>396</v>
      </c>
      <c r="B16" t="s">
        <v>396</v>
      </c>
      <c r="C16" t="s">
        <v>293</v>
      </c>
      <c r="D16" t="s">
        <v>397</v>
      </c>
      <c r="E16" t="str">
        <f>+Industrial!C25</f>
        <v>ERIC ARACENA REYNUABA</v>
      </c>
      <c r="F16" s="30">
        <v>45292</v>
      </c>
      <c r="G16" s="30">
        <v>45657</v>
      </c>
      <c r="H16">
        <f>+Industrial!E25</f>
        <v>95.92</v>
      </c>
      <c r="I16">
        <f>+Industrial!F25</f>
        <v>0</v>
      </c>
      <c r="J16">
        <f>+Industrial!G25</f>
        <v>95.92</v>
      </c>
      <c r="K16">
        <f>+Industrial!H25</f>
        <v>0</v>
      </c>
      <c r="L16">
        <f>+Industrial!I25</f>
        <v>95.92</v>
      </c>
      <c r="M16" s="5">
        <f>+Industrial!J25</f>
        <v>0</v>
      </c>
      <c r="N16" s="39" t="s">
        <v>15</v>
      </c>
      <c r="O16" s="30">
        <f>+Resumen!C$4</f>
        <v>45657</v>
      </c>
      <c r="P16">
        <v>2024</v>
      </c>
    </row>
    <row r="17" spans="1:16">
      <c r="A17" t="s">
        <v>396</v>
      </c>
      <c r="B17" t="s">
        <v>396</v>
      </c>
      <c r="C17" t="s">
        <v>293</v>
      </c>
      <c r="D17" t="s">
        <v>397</v>
      </c>
      <c r="E17" t="str">
        <f>+Industrial!C26</f>
        <v>FOODCORP CHILE S.A.</v>
      </c>
      <c r="F17" s="30">
        <v>45292</v>
      </c>
      <c r="G17" s="30">
        <v>45657</v>
      </c>
      <c r="H17">
        <f>+Industrial!E26</f>
        <v>59.95</v>
      </c>
      <c r="I17">
        <f>+Industrial!F26</f>
        <v>0</v>
      </c>
      <c r="J17">
        <f>+Industrial!G26</f>
        <v>59.95</v>
      </c>
      <c r="K17">
        <f>+Industrial!H26</f>
        <v>0</v>
      </c>
      <c r="L17">
        <f>+Industrial!I26</f>
        <v>59.95</v>
      </c>
      <c r="M17" s="5">
        <f>+Industrial!J26</f>
        <v>0</v>
      </c>
      <c r="N17" s="39" t="s">
        <v>15</v>
      </c>
      <c r="O17" s="30">
        <f>+Resumen!C$4</f>
        <v>45657</v>
      </c>
      <c r="P17">
        <v>2024</v>
      </c>
    </row>
    <row r="18" spans="1:16">
      <c r="A18" t="s">
        <v>396</v>
      </c>
      <c r="B18" t="s">
        <v>396</v>
      </c>
      <c r="C18" t="s">
        <v>293</v>
      </c>
      <c r="D18" t="s">
        <v>397</v>
      </c>
      <c r="E18" t="str">
        <f>+Industrial!C27</f>
        <v>GIULLIANO REYNUABA SALAS</v>
      </c>
      <c r="F18" s="30">
        <v>45292</v>
      </c>
      <c r="G18" s="30">
        <v>45657</v>
      </c>
      <c r="H18">
        <f>+Industrial!E27</f>
        <v>95.92</v>
      </c>
      <c r="I18">
        <f>+Industrial!F27</f>
        <v>0</v>
      </c>
      <c r="J18">
        <f>+Industrial!G27</f>
        <v>95.92</v>
      </c>
      <c r="K18">
        <f>+Industrial!H27</f>
        <v>0</v>
      </c>
      <c r="L18">
        <f>+Industrial!I27</f>
        <v>95.92</v>
      </c>
      <c r="M18" s="5">
        <f>+Industrial!J27</f>
        <v>0</v>
      </c>
      <c r="N18" s="39" t="s">
        <v>15</v>
      </c>
      <c r="O18" s="30">
        <f>+Resumen!C$4</f>
        <v>45657</v>
      </c>
      <c r="P18">
        <v>2024</v>
      </c>
    </row>
    <row r="19" spans="1:16">
      <c r="A19" t="s">
        <v>396</v>
      </c>
      <c r="B19" t="s">
        <v>396</v>
      </c>
      <c r="C19" t="s">
        <v>293</v>
      </c>
      <c r="D19" t="s">
        <v>397</v>
      </c>
      <c r="E19" t="str">
        <f>+Industrial!C28</f>
        <v xml:space="preserve">LANDES S.A. SOC. PESQ.                           </v>
      </c>
      <c r="F19" s="30">
        <v>45292</v>
      </c>
      <c r="G19" s="30">
        <v>45657</v>
      </c>
      <c r="H19">
        <f>+Industrial!E28</f>
        <v>2.2397320000000001</v>
      </c>
      <c r="I19">
        <f>+Industrial!F28</f>
        <v>-0.307</v>
      </c>
      <c r="J19">
        <f>+Industrial!G28</f>
        <v>1.9327320000000001</v>
      </c>
      <c r="K19">
        <f>+Industrial!H28</f>
        <v>0</v>
      </c>
      <c r="L19">
        <f>+Industrial!I28</f>
        <v>1.9327320000000001</v>
      </c>
      <c r="M19" s="5">
        <f>+Industrial!J28</f>
        <v>0</v>
      </c>
      <c r="N19" s="39" t="s">
        <v>15</v>
      </c>
      <c r="O19" s="30">
        <f>+Resumen!C$4</f>
        <v>45657</v>
      </c>
      <c r="P19">
        <v>2024</v>
      </c>
    </row>
    <row r="20" spans="1:16">
      <c r="A20" t="s">
        <v>396</v>
      </c>
      <c r="B20" t="s">
        <v>396</v>
      </c>
      <c r="C20" t="s">
        <v>293</v>
      </c>
      <c r="D20" t="s">
        <v>397</v>
      </c>
      <c r="E20" t="str">
        <f>+Industrial!C29</f>
        <v xml:space="preserve">ORIZON S.A                                                   </v>
      </c>
      <c r="F20" s="30">
        <v>45292</v>
      </c>
      <c r="G20" s="30">
        <v>45657</v>
      </c>
      <c r="H20">
        <f>+Industrial!E29</f>
        <v>10207.06302</v>
      </c>
      <c r="I20">
        <f>+Industrial!F29</f>
        <v>-3000</v>
      </c>
      <c r="J20">
        <f>+Industrial!G29</f>
        <v>7207.0630199999996</v>
      </c>
      <c r="K20">
        <f>+Industrial!H29</f>
        <v>0</v>
      </c>
      <c r="L20">
        <f>+Industrial!I29</f>
        <v>7207.0630199999996</v>
      </c>
      <c r="M20" s="5">
        <f>+Industrial!J29</f>
        <v>0</v>
      </c>
      <c r="N20" s="39" t="s">
        <v>15</v>
      </c>
      <c r="O20" s="30">
        <f>+Resumen!C$4</f>
        <v>45657</v>
      </c>
      <c r="P20">
        <v>2024</v>
      </c>
    </row>
    <row r="21" spans="1:16">
      <c r="A21" t="s">
        <v>396</v>
      </c>
      <c r="B21" t="s">
        <v>396</v>
      </c>
      <c r="C21" t="s">
        <v>293</v>
      </c>
      <c r="D21" t="s">
        <v>397</v>
      </c>
      <c r="E21" t="str">
        <f>Industrial!C30</f>
        <v>THOR FISHERIES SPA</v>
      </c>
      <c r="F21" s="30">
        <v>45292</v>
      </c>
      <c r="G21" s="30">
        <v>45657</v>
      </c>
      <c r="H21">
        <f>Industrial!E30</f>
        <v>0</v>
      </c>
      <c r="I21">
        <f>Industrial!F30</f>
        <v>0.307</v>
      </c>
      <c r="J21">
        <f>Industrial!G30</f>
        <v>0.307</v>
      </c>
      <c r="K21">
        <f>Industrial!H30</f>
        <v>0</v>
      </c>
      <c r="L21">
        <f>Industrial!I30</f>
        <v>0.307</v>
      </c>
      <c r="M21" s="68">
        <f>Industrial!J30</f>
        <v>0</v>
      </c>
      <c r="N21" s="39" t="s">
        <v>15</v>
      </c>
      <c r="O21" s="30">
        <f>+Resumen!C$4</f>
        <v>45657</v>
      </c>
      <c r="P21">
        <v>2024</v>
      </c>
    </row>
    <row r="22" spans="1:16">
      <c r="A22" t="s">
        <v>396</v>
      </c>
      <c r="B22" t="s">
        <v>396</v>
      </c>
      <c r="C22" t="s">
        <v>293</v>
      </c>
      <c r="D22" t="s">
        <v>397</v>
      </c>
      <c r="E22" t="str">
        <f>+Industrial!C31</f>
        <v>PROCESOS TECNOLOGICOS DEL BIO BIO SpA</v>
      </c>
      <c r="F22" s="30">
        <v>45292</v>
      </c>
      <c r="G22" s="30">
        <v>45657</v>
      </c>
      <c r="H22">
        <f>+Industrial!E31</f>
        <v>275.77</v>
      </c>
      <c r="I22">
        <f>+Industrial!F31</f>
        <v>0</v>
      </c>
      <c r="J22">
        <f>+Industrial!G31</f>
        <v>275.77</v>
      </c>
      <c r="K22">
        <f>+Industrial!H31</f>
        <v>0</v>
      </c>
      <c r="L22">
        <f>+Industrial!I31</f>
        <v>275.77</v>
      </c>
      <c r="M22" s="5">
        <f>+Industrial!J31</f>
        <v>0</v>
      </c>
      <c r="N22" s="39" t="s">
        <v>15</v>
      </c>
      <c r="O22" s="30">
        <f>+Resumen!C$4</f>
        <v>45657</v>
      </c>
      <c r="P22">
        <v>2024</v>
      </c>
    </row>
    <row r="23" spans="1:16">
      <c r="A23" t="s">
        <v>396</v>
      </c>
      <c r="B23" t="s">
        <v>396</v>
      </c>
      <c r="C23" t="s">
        <v>293</v>
      </c>
      <c r="D23" t="s">
        <v>397</v>
      </c>
      <c r="E23" t="str">
        <f>+Industrial!C32</f>
        <v>BURITA INVERSIONES</v>
      </c>
      <c r="F23" s="30">
        <v>45292</v>
      </c>
      <c r="G23" s="30">
        <v>45657</v>
      </c>
      <c r="H23">
        <f>+Industrial!E32</f>
        <v>0</v>
      </c>
      <c r="I23">
        <f>+Industrial!F32</f>
        <v>0</v>
      </c>
      <c r="J23">
        <f>+Industrial!G32</f>
        <v>0</v>
      </c>
      <c r="K23">
        <f>+Industrial!H32</f>
        <v>0</v>
      </c>
      <c r="L23">
        <f>+Industrial!I32</f>
        <v>0</v>
      </c>
      <c r="M23" s="5" t="e">
        <f>+Industrial!J32</f>
        <v>#DIV/0!</v>
      </c>
      <c r="N23" s="39" t="s">
        <v>15</v>
      </c>
      <c r="O23" s="30">
        <f>+Resumen!C$4</f>
        <v>45657</v>
      </c>
      <c r="P23">
        <v>2025</v>
      </c>
    </row>
    <row r="24" spans="1:16">
      <c r="A24" t="s">
        <v>396</v>
      </c>
      <c r="B24" t="s">
        <v>396</v>
      </c>
      <c r="C24" t="s">
        <v>293</v>
      </c>
      <c r="D24" t="s">
        <v>397</v>
      </c>
      <c r="E24" t="str">
        <f>+Industrial!C33</f>
        <v>INVERSIONES PESQUERA SPA</v>
      </c>
      <c r="F24" s="30">
        <v>45292</v>
      </c>
      <c r="G24" s="30">
        <v>45657</v>
      </c>
      <c r="H24">
        <f>+Industrial!E33</f>
        <v>0</v>
      </c>
      <c r="I24">
        <f>+Industrial!F33</f>
        <v>0</v>
      </c>
      <c r="J24">
        <f>+Industrial!G33</f>
        <v>0</v>
      </c>
      <c r="K24">
        <f>+Industrial!H33</f>
        <v>0</v>
      </c>
      <c r="L24">
        <f>+Industrial!I33</f>
        <v>0</v>
      </c>
      <c r="M24" s="5" t="e">
        <f>+Industrial!J33</f>
        <v>#DIV/0!</v>
      </c>
      <c r="N24" s="39" t="s">
        <v>15</v>
      </c>
      <c r="O24" s="30">
        <f>+Resumen!C$4</f>
        <v>45657</v>
      </c>
      <c r="P24">
        <v>2026</v>
      </c>
    </row>
    <row r="25" spans="1:16">
      <c r="A25" t="s">
        <v>396</v>
      </c>
      <c r="B25" t="s">
        <v>396</v>
      </c>
      <c r="C25" t="s">
        <v>293</v>
      </c>
      <c r="D25" t="s">
        <v>397</v>
      </c>
      <c r="E25" t="str">
        <f>+Industrial!C34</f>
        <v>SIPESUR SPA</v>
      </c>
      <c r="F25" s="30">
        <v>45292</v>
      </c>
      <c r="G25" s="30">
        <v>45657</v>
      </c>
      <c r="H25">
        <f>+Industrial!E34</f>
        <v>232.89136199999999</v>
      </c>
      <c r="I25">
        <f>+Industrial!F34</f>
        <v>0</v>
      </c>
      <c r="J25">
        <f>+Industrial!G34</f>
        <v>232.89136199999999</v>
      </c>
      <c r="K25">
        <f>+Industrial!H34</f>
        <v>0</v>
      </c>
      <c r="L25">
        <f>+Industrial!I34</f>
        <v>232.89136199999999</v>
      </c>
      <c r="M25" s="5">
        <f>+Industrial!J34</f>
        <v>0</v>
      </c>
      <c r="N25" s="39" t="s">
        <v>15</v>
      </c>
      <c r="O25" s="30">
        <f>+Resumen!C$4</f>
        <v>45657</v>
      </c>
      <c r="P25">
        <v>2024</v>
      </c>
    </row>
    <row r="26" spans="1:16" s="70" customFormat="1">
      <c r="A26" s="70" t="s">
        <v>396</v>
      </c>
      <c r="B26" s="70" t="s">
        <v>396</v>
      </c>
      <c r="C26" s="70" t="s">
        <v>293</v>
      </c>
      <c r="D26" s="70" t="s">
        <v>397</v>
      </c>
      <c r="E26" s="70" t="s">
        <v>398</v>
      </c>
      <c r="F26" s="73">
        <v>45292</v>
      </c>
      <c r="G26" s="73">
        <v>45657</v>
      </c>
      <c r="H26" s="70">
        <f>+Industrial!K35</f>
        <v>23979.99984</v>
      </c>
      <c r="I26" s="70">
        <f>+Industrial!L35</f>
        <v>-3000</v>
      </c>
      <c r="J26" s="70">
        <f>+Industrial!M35</f>
        <v>20979.99984</v>
      </c>
      <c r="K26" s="70">
        <f>+Industrial!N35</f>
        <v>0</v>
      </c>
      <c r="L26" s="70">
        <f>+Industrial!O35</f>
        <v>20979.99984</v>
      </c>
      <c r="M26" s="71">
        <f>+Industrial!P35</f>
        <v>0</v>
      </c>
      <c r="N26" s="72" t="s">
        <v>15</v>
      </c>
      <c r="O26" s="73">
        <f>+Resumen!C$4</f>
        <v>45657</v>
      </c>
      <c r="P26">
        <v>2024</v>
      </c>
    </row>
    <row r="27" spans="1:16">
      <c r="A27" t="s">
        <v>399</v>
      </c>
      <c r="B27" t="s">
        <v>399</v>
      </c>
      <c r="C27" t="s">
        <v>172</v>
      </c>
      <c r="D27" t="s">
        <v>397</v>
      </c>
      <c r="E27" t="str">
        <f>+Industrial!C36</f>
        <v xml:space="preserve">ARICA SEAFOOD PRODUCER S.A.  </v>
      </c>
      <c r="F27" s="30">
        <v>45292</v>
      </c>
      <c r="G27" s="30">
        <v>45657</v>
      </c>
      <c r="H27">
        <f>+Industrial!E36</f>
        <v>9.7617960000000004</v>
      </c>
      <c r="I27">
        <f>+Industrial!F36</f>
        <v>0</v>
      </c>
      <c r="J27">
        <f>+Industrial!G36</f>
        <v>9.7617960000000004</v>
      </c>
      <c r="K27">
        <f>+Industrial!H36</f>
        <v>0</v>
      </c>
      <c r="L27">
        <f>+Industrial!I36</f>
        <v>9.7617960000000004</v>
      </c>
      <c r="M27" s="5">
        <f>+Industrial!J36</f>
        <v>0</v>
      </c>
      <c r="N27" s="39" t="s">
        <v>15</v>
      </c>
      <c r="O27" s="30">
        <f>+Resumen!C$4</f>
        <v>45657</v>
      </c>
      <c r="P27">
        <v>2024</v>
      </c>
    </row>
    <row r="28" spans="1:16">
      <c r="A28" t="s">
        <v>399</v>
      </c>
      <c r="B28" t="s">
        <v>399</v>
      </c>
      <c r="C28" t="s">
        <v>172</v>
      </c>
      <c r="D28" t="s">
        <v>397</v>
      </c>
      <c r="E28" t="str">
        <f>+Industrial!C37</f>
        <v xml:space="preserve">CAMANCHACA S.A. CIA. PESQ      </v>
      </c>
      <c r="F28" s="30">
        <v>45292</v>
      </c>
      <c r="G28" s="30">
        <v>45657</v>
      </c>
      <c r="H28">
        <f>+Industrial!E37</f>
        <v>626.17638599999998</v>
      </c>
      <c r="I28">
        <f>+Industrial!F37</f>
        <v>-500</v>
      </c>
      <c r="J28">
        <f>+Industrial!G37</f>
        <v>126.17638599999998</v>
      </c>
      <c r="K28">
        <f>+Industrial!H37</f>
        <v>0</v>
      </c>
      <c r="L28">
        <f>+Industrial!I37</f>
        <v>126.17638599999998</v>
      </c>
      <c r="M28" s="5">
        <f>+Industrial!J37</f>
        <v>0</v>
      </c>
      <c r="N28" s="39" t="s">
        <v>15</v>
      </c>
      <c r="O28" s="30">
        <f>+Resumen!C$4</f>
        <v>45657</v>
      </c>
      <c r="P28">
        <v>2024</v>
      </c>
    </row>
    <row r="29" spans="1:16">
      <c r="A29" t="s">
        <v>399</v>
      </c>
      <c r="B29" t="s">
        <v>399</v>
      </c>
      <c r="C29" t="s">
        <v>172</v>
      </c>
      <c r="D29" t="s">
        <v>397</v>
      </c>
      <c r="E29" t="str">
        <f>+Industrial!C38</f>
        <v xml:space="preserve">CORPESCA S.A.                             </v>
      </c>
      <c r="F29" s="30">
        <v>45292</v>
      </c>
      <c r="G29" s="30">
        <v>45657</v>
      </c>
      <c r="H29">
        <f>+Industrial!E38</f>
        <v>2334.0618180000001</v>
      </c>
      <c r="I29">
        <f>+Industrial!F38</f>
        <v>-1600</v>
      </c>
      <c r="J29">
        <f>+Industrial!G38</f>
        <v>734.06181800000013</v>
      </c>
      <c r="K29">
        <f>+Industrial!H38</f>
        <v>0</v>
      </c>
      <c r="L29">
        <f>+Industrial!I38</f>
        <v>734.06181800000013</v>
      </c>
      <c r="M29" s="5">
        <f>+Industrial!J38</f>
        <v>0</v>
      </c>
      <c r="N29" s="39" t="s">
        <v>15</v>
      </c>
      <c r="O29" s="30">
        <f>+Resumen!C$4</f>
        <v>45657</v>
      </c>
      <c r="P29">
        <v>2024</v>
      </c>
    </row>
    <row r="30" spans="1:16" s="70" customFormat="1">
      <c r="A30" s="70" t="s">
        <v>399</v>
      </c>
      <c r="B30" s="70" t="s">
        <v>399</v>
      </c>
      <c r="C30" s="70" t="s">
        <v>172</v>
      </c>
      <c r="D30" s="70" t="s">
        <v>397</v>
      </c>
      <c r="E30" s="70" t="s">
        <v>398</v>
      </c>
      <c r="F30" s="73">
        <v>45292</v>
      </c>
      <c r="G30" s="73">
        <v>45657</v>
      </c>
      <c r="H30" s="75">
        <f>Industrial!E39</f>
        <v>2970</v>
      </c>
      <c r="I30" s="70">
        <f>+Industrial!L39</f>
        <v>-2100</v>
      </c>
      <c r="J30" s="70">
        <f>+Industrial!M39</f>
        <v>870.00000000000011</v>
      </c>
      <c r="K30" s="70">
        <f>+Industrial!N39</f>
        <v>0</v>
      </c>
      <c r="L30" s="70">
        <f>+Industrial!O39</f>
        <v>870.00000000000011</v>
      </c>
      <c r="M30" s="71">
        <f>+Industrial!P39</f>
        <v>0</v>
      </c>
      <c r="N30" s="72" t="s">
        <v>15</v>
      </c>
      <c r="O30" s="73">
        <f>+Resumen!C$4</f>
        <v>45657</v>
      </c>
      <c r="P30">
        <v>2024</v>
      </c>
    </row>
    <row r="31" spans="1:16">
      <c r="A31" t="s">
        <v>399</v>
      </c>
      <c r="B31" t="s">
        <v>399</v>
      </c>
      <c r="C31" t="s">
        <v>293</v>
      </c>
      <c r="D31" t="s">
        <v>397</v>
      </c>
      <c r="E31" t="str">
        <f>+Industrial!C40</f>
        <v xml:space="preserve">ALIMENTOS MARINOS S.A.          </v>
      </c>
      <c r="F31" s="30">
        <v>45292</v>
      </c>
      <c r="G31" s="30">
        <v>45657</v>
      </c>
      <c r="H31">
        <f>+Industrial!E40</f>
        <v>338.84636799999998</v>
      </c>
      <c r="I31">
        <f>+Industrial!F40</f>
        <v>0</v>
      </c>
      <c r="J31">
        <f>+Industrial!G40</f>
        <v>338.84636799999998</v>
      </c>
      <c r="K31">
        <f>+Industrial!H40</f>
        <v>0</v>
      </c>
      <c r="L31">
        <f>+Industrial!I40</f>
        <v>338.84636799999998</v>
      </c>
      <c r="M31" s="5">
        <f>+Industrial!J40</f>
        <v>0</v>
      </c>
      <c r="N31" s="39" t="s">
        <v>15</v>
      </c>
      <c r="O31" s="30">
        <f>+Resumen!C$4</f>
        <v>45657</v>
      </c>
      <c r="P31">
        <v>2024</v>
      </c>
    </row>
    <row r="32" spans="1:16">
      <c r="A32" t="s">
        <v>399</v>
      </c>
      <c r="B32" t="s">
        <v>399</v>
      </c>
      <c r="C32" t="s">
        <v>293</v>
      </c>
      <c r="D32" t="s">
        <v>397</v>
      </c>
      <c r="E32" t="str">
        <f>+Industrial!C41</f>
        <v xml:space="preserve">BAHIA CALDERA S.A. PESQ.          </v>
      </c>
      <c r="F32" s="30">
        <v>45292</v>
      </c>
      <c r="G32" s="30">
        <v>45657</v>
      </c>
      <c r="H32">
        <f>+Industrial!E41</f>
        <v>1475.2805760000001</v>
      </c>
      <c r="I32">
        <f>+Industrial!F41</f>
        <v>-890</v>
      </c>
      <c r="J32">
        <f>+Industrial!G41</f>
        <v>585.28057600000011</v>
      </c>
      <c r="K32">
        <f>+Industrial!H41</f>
        <v>0</v>
      </c>
      <c r="L32">
        <f>+Industrial!I41</f>
        <v>585.28057600000011</v>
      </c>
      <c r="M32" s="5">
        <f>+Industrial!J41</f>
        <v>0</v>
      </c>
      <c r="N32" s="39" t="s">
        <v>15</v>
      </c>
      <c r="O32" s="30">
        <f>+Resumen!C$4</f>
        <v>45657</v>
      </c>
      <c r="P32">
        <v>2024</v>
      </c>
    </row>
    <row r="33" spans="1:16">
      <c r="A33" t="s">
        <v>399</v>
      </c>
      <c r="B33" t="s">
        <v>399</v>
      </c>
      <c r="C33" t="s">
        <v>293</v>
      </c>
      <c r="D33" t="s">
        <v>397</v>
      </c>
      <c r="E33" t="str">
        <f>+Industrial!C42</f>
        <v>FOODCORP CHILE S.A.</v>
      </c>
      <c r="F33" s="30">
        <v>45292</v>
      </c>
      <c r="G33" s="30">
        <v>45657</v>
      </c>
      <c r="H33">
        <f>+Industrial!E42</f>
        <v>0.248</v>
      </c>
      <c r="I33">
        <f>+Industrial!F42</f>
        <v>0</v>
      </c>
      <c r="J33">
        <f>+Industrial!G42</f>
        <v>0.248</v>
      </c>
      <c r="K33">
        <f>+Industrial!H42</f>
        <v>0</v>
      </c>
      <c r="L33">
        <f>+Industrial!I42</f>
        <v>0.248</v>
      </c>
      <c r="M33" s="5">
        <f>+Industrial!J42</f>
        <v>0</v>
      </c>
      <c r="N33" s="39" t="s">
        <v>15</v>
      </c>
      <c r="O33" s="30">
        <f>+Resumen!C$4</f>
        <v>45657</v>
      </c>
      <c r="P33">
        <v>2024</v>
      </c>
    </row>
    <row r="34" spans="1:16">
      <c r="A34" t="s">
        <v>399</v>
      </c>
      <c r="B34" t="s">
        <v>399</v>
      </c>
      <c r="C34" t="s">
        <v>293</v>
      </c>
      <c r="D34" t="s">
        <v>397</v>
      </c>
      <c r="E34" t="str">
        <f>+Industrial!C43</f>
        <v>BLUMAR S.A.</v>
      </c>
      <c r="F34" s="30">
        <v>45292</v>
      </c>
      <c r="G34" s="30">
        <v>45657</v>
      </c>
      <c r="H34">
        <f>+Industrial!E43</f>
        <v>9.4993920000000003</v>
      </c>
      <c r="I34">
        <f>+Industrial!F43</f>
        <v>0</v>
      </c>
      <c r="J34">
        <f>+Industrial!G43</f>
        <v>9.4993920000000003</v>
      </c>
      <c r="K34">
        <f>+Industrial!H43</f>
        <v>0</v>
      </c>
      <c r="L34">
        <f>+Industrial!I43</f>
        <v>9.4993920000000003</v>
      </c>
      <c r="M34" s="5">
        <f>+Industrial!J43</f>
        <v>0</v>
      </c>
      <c r="N34" s="39" t="s">
        <v>15</v>
      </c>
      <c r="O34" s="30">
        <f>+Resumen!C$4</f>
        <v>45657</v>
      </c>
      <c r="P34">
        <v>2024</v>
      </c>
    </row>
    <row r="35" spans="1:16">
      <c r="A35" t="s">
        <v>399</v>
      </c>
      <c r="B35" t="s">
        <v>399</v>
      </c>
      <c r="C35" t="s">
        <v>293</v>
      </c>
      <c r="D35" t="s">
        <v>397</v>
      </c>
      <c r="E35" t="str">
        <f>+Industrial!C44</f>
        <v>CAMANCHACA S.A.</v>
      </c>
      <c r="F35" s="30">
        <v>45292</v>
      </c>
      <c r="G35" s="30">
        <v>45657</v>
      </c>
      <c r="H35">
        <f>+Industrial!E44</f>
        <v>15.024800000000001</v>
      </c>
      <c r="I35">
        <f>+Industrial!F44</f>
        <v>0</v>
      </c>
      <c r="J35">
        <f>+Industrial!G44</f>
        <v>15.024800000000001</v>
      </c>
      <c r="K35">
        <f>+Industrial!H44</f>
        <v>0</v>
      </c>
      <c r="L35">
        <f>+Industrial!I44</f>
        <v>15.024800000000001</v>
      </c>
      <c r="M35" s="5">
        <f>+Industrial!J44</f>
        <v>0</v>
      </c>
      <c r="N35" s="39" t="s">
        <v>15</v>
      </c>
      <c r="O35" s="30">
        <f>+Resumen!C$4</f>
        <v>45657</v>
      </c>
      <c r="P35">
        <v>2024</v>
      </c>
    </row>
    <row r="36" spans="1:16">
      <c r="A36" t="s">
        <v>399</v>
      </c>
      <c r="B36" t="s">
        <v>399</v>
      </c>
      <c r="C36" t="s">
        <v>293</v>
      </c>
      <c r="D36" t="s">
        <v>397</v>
      </c>
      <c r="E36" t="str">
        <f>+Industrial!C45</f>
        <v>INVERSIONES PESQUERA SPA</v>
      </c>
      <c r="F36" s="30">
        <v>45292</v>
      </c>
      <c r="G36" s="30">
        <v>45657</v>
      </c>
      <c r="H36">
        <f>+Industrial!E45</f>
        <v>4.9219999999999997</v>
      </c>
      <c r="I36">
        <f>+Industrial!F45</f>
        <v>-1.9445999999999999</v>
      </c>
      <c r="J36">
        <f>+Industrial!G45</f>
        <v>2.9773999999999998</v>
      </c>
      <c r="K36">
        <f>+Industrial!H45</f>
        <v>0</v>
      </c>
      <c r="L36">
        <f>+Industrial!I45</f>
        <v>2.9773999999999998</v>
      </c>
      <c r="M36" s="5">
        <f>+Industrial!J45</f>
        <v>0</v>
      </c>
      <c r="N36" s="39" t="s">
        <v>15</v>
      </c>
      <c r="O36" s="30">
        <f>+Resumen!C$4</f>
        <v>45657</v>
      </c>
      <c r="P36">
        <v>2025</v>
      </c>
    </row>
    <row r="37" spans="1:16">
      <c r="A37" t="s">
        <v>399</v>
      </c>
      <c r="B37" t="s">
        <v>399</v>
      </c>
      <c r="C37" t="s">
        <v>293</v>
      </c>
      <c r="D37" t="s">
        <v>397</v>
      </c>
      <c r="E37" t="str">
        <f>+Industrial!C46</f>
        <v>SIPESUR SPA</v>
      </c>
      <c r="F37" s="30">
        <v>45292</v>
      </c>
      <c r="G37" s="30">
        <v>45657</v>
      </c>
      <c r="H37">
        <f>+Industrial!E46</f>
        <v>0</v>
      </c>
      <c r="I37">
        <f>+Industrial!F46</f>
        <v>1.9445999999999999</v>
      </c>
      <c r="J37">
        <f>+Industrial!G46</f>
        <v>1.9445999999999999</v>
      </c>
      <c r="K37">
        <f>+Industrial!H46</f>
        <v>0</v>
      </c>
      <c r="L37">
        <f>+Industrial!I46</f>
        <v>1.9445999999999999</v>
      </c>
      <c r="M37" s="5">
        <f>+Industrial!J46</f>
        <v>0</v>
      </c>
      <c r="N37" s="39" t="s">
        <v>15</v>
      </c>
      <c r="O37" s="30">
        <f>+Resumen!C$4</f>
        <v>45657</v>
      </c>
      <c r="P37">
        <v>2024</v>
      </c>
    </row>
    <row r="38" spans="1:16">
      <c r="A38" t="s">
        <v>399</v>
      </c>
      <c r="B38" t="s">
        <v>399</v>
      </c>
      <c r="C38" t="s">
        <v>293</v>
      </c>
      <c r="D38" t="s">
        <v>397</v>
      </c>
      <c r="E38" t="str">
        <f>+Industrial!C47</f>
        <v>ORIZON S.A.</v>
      </c>
      <c r="F38" s="30">
        <v>45292</v>
      </c>
      <c r="G38" s="30">
        <v>45657</v>
      </c>
      <c r="H38">
        <f>+Industrial!E47</f>
        <v>633.27668000000006</v>
      </c>
      <c r="I38">
        <f>+Industrial!F47</f>
        <v>-380</v>
      </c>
      <c r="J38">
        <f>+Industrial!G47</f>
        <v>253.27668000000006</v>
      </c>
      <c r="K38">
        <f>+Industrial!H47</f>
        <v>0</v>
      </c>
      <c r="L38">
        <f>+Industrial!I47</f>
        <v>253.27668000000006</v>
      </c>
      <c r="M38" s="5">
        <f>+Industrial!J47</f>
        <v>0</v>
      </c>
      <c r="N38" s="39" t="s">
        <v>15</v>
      </c>
      <c r="O38" s="30">
        <f>+Resumen!C$4</f>
        <v>45657</v>
      </c>
      <c r="P38">
        <v>2024</v>
      </c>
    </row>
    <row r="39" spans="1:16">
      <c r="A39" t="s">
        <v>399</v>
      </c>
      <c r="B39" t="s">
        <v>399</v>
      </c>
      <c r="C39" t="s">
        <v>293</v>
      </c>
      <c r="D39" t="s">
        <v>397</v>
      </c>
      <c r="E39" t="str">
        <f>+Industrial!C48</f>
        <v>CAMANCHACA PESCA SUR S.A.</v>
      </c>
      <c r="F39" s="30">
        <v>45292</v>
      </c>
      <c r="G39" s="30">
        <v>45657</v>
      </c>
      <c r="H39">
        <f>+Industrial!E48</f>
        <v>0</v>
      </c>
      <c r="I39">
        <f>+Industrial!F48</f>
        <v>0</v>
      </c>
      <c r="J39">
        <f>+Industrial!G48</f>
        <v>0</v>
      </c>
      <c r="K39">
        <f>+Industrial!H48</f>
        <v>0</v>
      </c>
      <c r="L39">
        <f>+Industrial!I48</f>
        <v>0</v>
      </c>
      <c r="M39" s="5" t="e">
        <f>+Industrial!J48</f>
        <v>#DIV/0!</v>
      </c>
      <c r="N39" s="39" t="s">
        <v>15</v>
      </c>
      <c r="O39" s="30">
        <f>+Resumen!C$4</f>
        <v>45657</v>
      </c>
      <c r="P39">
        <v>2024</v>
      </c>
    </row>
    <row r="40" spans="1:16">
      <c r="A40" t="s">
        <v>399</v>
      </c>
      <c r="B40" t="s">
        <v>399</v>
      </c>
      <c r="C40" t="s">
        <v>293</v>
      </c>
      <c r="D40" t="s">
        <v>397</v>
      </c>
      <c r="E40" t="str">
        <f>+Industrial!C49</f>
        <v>THOR FISHERIES SPA</v>
      </c>
      <c r="F40" s="30">
        <v>45292</v>
      </c>
      <c r="G40" s="30">
        <v>45657</v>
      </c>
      <c r="H40">
        <f>+Industrial!E49</f>
        <v>0</v>
      </c>
      <c r="I40">
        <f>+Industrial!F49</f>
        <v>0.13500000000000001</v>
      </c>
      <c r="J40">
        <f>+Industrial!G49</f>
        <v>0.13500000000000001</v>
      </c>
      <c r="K40">
        <f>+Industrial!H49</f>
        <v>0</v>
      </c>
      <c r="L40">
        <f>+Industrial!I49</f>
        <v>0.13500000000000001</v>
      </c>
      <c r="M40" s="5">
        <f>+Industrial!J49</f>
        <v>0</v>
      </c>
      <c r="N40" s="39" t="s">
        <v>15</v>
      </c>
      <c r="O40" s="30">
        <f>+Resumen!C$4</f>
        <v>45657</v>
      </c>
      <c r="P40">
        <v>2024</v>
      </c>
    </row>
    <row r="41" spans="1:16">
      <c r="A41" t="s">
        <v>399</v>
      </c>
      <c r="B41" t="s">
        <v>399</v>
      </c>
      <c r="C41" t="s">
        <v>293</v>
      </c>
      <c r="D41" t="s">
        <v>397</v>
      </c>
      <c r="E41" t="str">
        <f>+Industrial!C50</f>
        <v>BURITA INVERSIONES</v>
      </c>
      <c r="F41" s="30">
        <v>45292</v>
      </c>
      <c r="G41" s="30">
        <v>45657</v>
      </c>
      <c r="H41">
        <f>+Industrial!E50</f>
        <v>0</v>
      </c>
      <c r="I41">
        <f>+Industrial!F50</f>
        <v>0</v>
      </c>
      <c r="J41">
        <f>+Industrial!G50</f>
        <v>0</v>
      </c>
      <c r="K41">
        <f>+Industrial!H50</f>
        <v>0</v>
      </c>
      <c r="L41">
        <f>+Industrial!I50</f>
        <v>0</v>
      </c>
      <c r="M41" s="5" t="e">
        <f>+Industrial!J50</f>
        <v>#DIV/0!</v>
      </c>
      <c r="N41" s="39" t="s">
        <v>15</v>
      </c>
      <c r="O41" s="30">
        <f>+Resumen!C$4</f>
        <v>45657</v>
      </c>
      <c r="P41">
        <v>2025</v>
      </c>
    </row>
    <row r="42" spans="1:16">
      <c r="A42" t="s">
        <v>399</v>
      </c>
      <c r="B42" t="s">
        <v>399</v>
      </c>
      <c r="C42" t="s">
        <v>293</v>
      </c>
      <c r="D42" t="s">
        <v>397</v>
      </c>
      <c r="E42" t="str">
        <f>+Industrial!C51</f>
        <v>LANDES S.A. SOC. PESQ.</v>
      </c>
      <c r="F42" s="30">
        <v>45292</v>
      </c>
      <c r="G42" s="30">
        <v>45657</v>
      </c>
      <c r="H42">
        <f>+Industrial!E51</f>
        <v>2.9018480000000002</v>
      </c>
      <c r="I42">
        <f>+Industrial!F51</f>
        <v>-0.13500000000000001</v>
      </c>
      <c r="J42">
        <f>+Industrial!G51</f>
        <v>2.7668480000000004</v>
      </c>
      <c r="K42">
        <f>+Industrial!H51</f>
        <v>0</v>
      </c>
      <c r="L42">
        <f>+Industrial!I51</f>
        <v>2.7668480000000004</v>
      </c>
      <c r="M42" s="5">
        <f>+Industrial!J51</f>
        <v>0</v>
      </c>
      <c r="N42" s="39" t="s">
        <v>15</v>
      </c>
      <c r="O42" s="30">
        <f>+Resumen!C$4</f>
        <v>45657</v>
      </c>
      <c r="P42">
        <v>2024</v>
      </c>
    </row>
    <row r="43" spans="1:16" s="70" customFormat="1">
      <c r="A43" s="70" t="s">
        <v>399</v>
      </c>
      <c r="B43" s="70" t="s">
        <v>399</v>
      </c>
      <c r="C43" s="70" t="s">
        <v>293</v>
      </c>
      <c r="D43" s="70" t="s">
        <v>397</v>
      </c>
      <c r="E43" s="70" t="s">
        <v>398</v>
      </c>
      <c r="F43" s="73">
        <v>45292</v>
      </c>
      <c r="G43" s="73">
        <v>45657</v>
      </c>
      <c r="H43" s="70">
        <f>+Industrial!K52</f>
        <v>2479.9996639999999</v>
      </c>
      <c r="I43" s="70">
        <f>+Industrial!L52</f>
        <v>-1270</v>
      </c>
      <c r="J43" s="70">
        <f>+Industrial!M52</f>
        <v>1207.0222640000002</v>
      </c>
      <c r="K43" s="70">
        <f>+Industrial!N52</f>
        <v>0</v>
      </c>
      <c r="L43" s="70">
        <f>+Industrial!O52</f>
        <v>1207.0222640000002</v>
      </c>
      <c r="M43" s="80">
        <f>+Industrial!P52</f>
        <v>0</v>
      </c>
      <c r="N43" s="81" t="s">
        <v>15</v>
      </c>
      <c r="O43" s="73">
        <f>+Resumen!C$4</f>
        <v>45657</v>
      </c>
      <c r="P43">
        <v>2024</v>
      </c>
    </row>
    <row r="44" spans="1:16" ht="16.5" customHeight="1">
      <c r="A44" t="s">
        <v>396</v>
      </c>
      <c r="B44" t="s">
        <v>396</v>
      </c>
      <c r="C44" t="s">
        <v>128</v>
      </c>
      <c r="D44" t="s">
        <v>400</v>
      </c>
      <c r="E44" t="str">
        <f>+'Artesanal Anchoveta XV-IV'!D7</f>
        <v>MACROZONA XV - I</v>
      </c>
      <c r="F44" s="30">
        <v>45292</v>
      </c>
      <c r="G44" s="30">
        <v>45657</v>
      </c>
      <c r="H44">
        <f>+'Artesanal Anchoveta XV-IV'!F7</f>
        <v>68101</v>
      </c>
      <c r="I44">
        <f>+'Artesanal Anchoveta XV-IV'!G7</f>
        <v>6335</v>
      </c>
      <c r="J44">
        <f>+'Artesanal Anchoveta XV-IV'!H7</f>
        <v>74436</v>
      </c>
      <c r="K44">
        <f>+'Artesanal Anchoveta XV-IV'!I7</f>
        <v>69907.733999999997</v>
      </c>
      <c r="L44">
        <f>+'Artesanal Anchoveta XV-IV'!K7</f>
        <v>4528.2660000000033</v>
      </c>
      <c r="M44" s="5">
        <f>+'Artesanal Anchoveta XV-IV'!L7</f>
        <v>0.93916564565532801</v>
      </c>
      <c r="N44" s="39" t="s">
        <v>15</v>
      </c>
      <c r="O44" s="30">
        <f>+Resumen!C$4</f>
        <v>45657</v>
      </c>
      <c r="P44">
        <v>2024</v>
      </c>
    </row>
    <row r="45" spans="1:16" s="70" customFormat="1">
      <c r="A45" s="70" t="s">
        <v>396</v>
      </c>
      <c r="B45" s="70" t="s">
        <v>396</v>
      </c>
      <c r="C45" s="70" t="s">
        <v>128</v>
      </c>
      <c r="D45" s="70" t="s">
        <v>400</v>
      </c>
      <c r="E45" s="70" t="s">
        <v>401</v>
      </c>
      <c r="F45" s="73">
        <v>45292</v>
      </c>
      <c r="G45" s="73">
        <v>45657</v>
      </c>
      <c r="H45" s="70">
        <f>Resumen!E9</f>
        <v>68101</v>
      </c>
      <c r="I45" s="70">
        <f>Resumen!F9</f>
        <v>6335</v>
      </c>
      <c r="J45" s="70">
        <f>Resumen!G9</f>
        <v>74436</v>
      </c>
      <c r="K45" s="70">
        <f>Resumen!H9</f>
        <v>69907.733999999997</v>
      </c>
      <c r="L45" s="70">
        <f>Resumen!I9</f>
        <v>4528.2660000000033</v>
      </c>
      <c r="M45" s="80">
        <f>Resumen!J9</f>
        <v>0.93916564565532801</v>
      </c>
      <c r="N45" s="81" t="s">
        <v>15</v>
      </c>
      <c r="O45" s="73">
        <f>+Resumen!C$4</f>
        <v>45657</v>
      </c>
      <c r="P45">
        <v>2024</v>
      </c>
    </row>
    <row r="46" spans="1:16">
      <c r="A46" t="s">
        <v>396</v>
      </c>
      <c r="B46" t="s">
        <v>396</v>
      </c>
      <c r="C46" t="s">
        <v>16</v>
      </c>
      <c r="D46" t="s">
        <v>400</v>
      </c>
      <c r="E46" t="str">
        <f>+'Artesanal Anchoveta XV-IV'!D8</f>
        <v>REGIÓN II</v>
      </c>
      <c r="F46" s="30">
        <v>45292</v>
      </c>
      <c r="G46" s="30">
        <v>45657</v>
      </c>
      <c r="H46">
        <f>+'Artesanal Anchoveta XV-IV'!F8</f>
        <v>25718</v>
      </c>
      <c r="I46">
        <f>+'Artesanal Anchoveta XV-IV'!G8</f>
        <v>0</v>
      </c>
      <c r="J46">
        <f>+'Artesanal Anchoveta XV-IV'!H8</f>
        <v>25718</v>
      </c>
      <c r="K46">
        <f>+'Artesanal Anchoveta XV-IV'!I8</f>
        <v>0.2</v>
      </c>
      <c r="L46">
        <f>+'Artesanal Anchoveta XV-IV'!K8</f>
        <v>25717.8</v>
      </c>
      <c r="M46" s="5">
        <f>+'Artesanal Anchoveta XV-IV'!L8</f>
        <v>7.7766544832413093E-6</v>
      </c>
      <c r="N46" s="39" t="str">
        <f>'Artesanal Anchoveta XV-IV'!M8</f>
        <v>-</v>
      </c>
      <c r="O46" s="30">
        <f>+Resumen!C$4</f>
        <v>45657</v>
      </c>
      <c r="P46">
        <v>2024</v>
      </c>
    </row>
    <row r="47" spans="1:16" s="70" customFormat="1">
      <c r="A47" s="70" t="s">
        <v>396</v>
      </c>
      <c r="B47" s="70" t="s">
        <v>396</v>
      </c>
      <c r="C47" s="70" t="s">
        <v>16</v>
      </c>
      <c r="D47" s="70" t="s">
        <v>400</v>
      </c>
      <c r="E47" s="70" t="s">
        <v>402</v>
      </c>
      <c r="F47" s="73">
        <v>45292</v>
      </c>
      <c r="G47" s="73">
        <v>45657</v>
      </c>
      <c r="H47" s="70">
        <f>+'Artesanal Anchoveta XV-IV'!N8</f>
        <v>25718</v>
      </c>
      <c r="I47" s="70">
        <f>+'Artesanal Anchoveta XV-IV'!O8</f>
        <v>0</v>
      </c>
      <c r="J47" s="70">
        <f>+'Artesanal Anchoveta XV-IV'!P8</f>
        <v>25718</v>
      </c>
      <c r="K47" s="70">
        <f>+'Artesanal Anchoveta XV-IV'!Q8</f>
        <v>0.2</v>
      </c>
      <c r="L47" s="70">
        <f>+'Artesanal Anchoveta XV-IV'!R8</f>
        <v>25717.8</v>
      </c>
      <c r="M47" s="80">
        <f>+'Artesanal Anchoveta XV-IV'!S8</f>
        <v>7.7766544832413093E-6</v>
      </c>
      <c r="N47" s="81" t="s">
        <v>15</v>
      </c>
      <c r="O47" s="73">
        <f>+Resumen!C$4</f>
        <v>45657</v>
      </c>
      <c r="P47">
        <v>2024</v>
      </c>
    </row>
    <row r="48" spans="1:16" s="70" customFormat="1">
      <c r="A48" s="70" t="s">
        <v>396</v>
      </c>
      <c r="B48" s="70" t="s">
        <v>396</v>
      </c>
      <c r="C48" s="70" t="s">
        <v>27</v>
      </c>
      <c r="D48" s="70" t="s">
        <v>400</v>
      </c>
      <c r="E48" s="70" t="s">
        <v>403</v>
      </c>
      <c r="F48" s="73">
        <v>45292</v>
      </c>
      <c r="G48" s="73">
        <v>45657</v>
      </c>
      <c r="H48" s="70">
        <f>+'Artesanal Anchoveta XV-IV'!F9</f>
        <v>1000</v>
      </c>
      <c r="I48" s="70">
        <f>+'Artesanal Anchoveta XV-IV'!G9</f>
        <v>0</v>
      </c>
      <c r="J48" s="70">
        <f>+'Artesanal Anchoveta XV-IV'!H9</f>
        <v>1000</v>
      </c>
      <c r="K48" s="70">
        <f>+'Artesanal Anchoveta XV-IV'!I9</f>
        <v>0</v>
      </c>
      <c r="L48" s="70">
        <f>+'Artesanal Anchoveta XV-IV'!K9</f>
        <v>1000</v>
      </c>
      <c r="M48" s="80">
        <f>+'Artesanal Anchoveta XV-IV'!L9</f>
        <v>0</v>
      </c>
      <c r="N48" s="81" t="str">
        <f>'Artesanal Anchoveta XV-IV'!M9</f>
        <v>-</v>
      </c>
      <c r="O48" s="73">
        <f>+Resumen!C$4</f>
        <v>45657</v>
      </c>
      <c r="P48">
        <v>2024</v>
      </c>
    </row>
    <row r="49" spans="1:16">
      <c r="A49" t="s">
        <v>396</v>
      </c>
      <c r="B49" t="s">
        <v>396</v>
      </c>
      <c r="C49" t="s">
        <v>18</v>
      </c>
      <c r="D49" t="s">
        <v>400</v>
      </c>
      <c r="E49" t="str">
        <f>+'Artesanal Anchoveta XV-IV'!D10</f>
        <v>REGIÓN III</v>
      </c>
      <c r="F49" s="30">
        <v>45292</v>
      </c>
      <c r="G49" s="30">
        <v>45657</v>
      </c>
      <c r="H49">
        <f>+'Artesanal Anchoveta XV-IV'!F10</f>
        <v>16436</v>
      </c>
      <c r="I49">
        <f>+'Artesanal Anchoveta XV-IV'!G10</f>
        <v>0</v>
      </c>
      <c r="J49">
        <f>+'Artesanal Anchoveta XV-IV'!H10</f>
        <v>16436</v>
      </c>
      <c r="K49">
        <f>+'Artesanal Anchoveta XV-IV'!I10</f>
        <v>0</v>
      </c>
      <c r="L49">
        <f>+'Artesanal Anchoveta XV-IV'!K10</f>
        <v>16436</v>
      </c>
      <c r="M49" s="5">
        <f>+'Artesanal Anchoveta XV-IV'!L10</f>
        <v>0</v>
      </c>
      <c r="N49" s="39" t="s">
        <v>15</v>
      </c>
      <c r="O49" s="30">
        <f>+Resumen!C$4</f>
        <v>45657</v>
      </c>
      <c r="P49">
        <v>2024</v>
      </c>
    </row>
    <row r="50" spans="1:16" s="70" customFormat="1">
      <c r="A50" s="70" t="s">
        <v>396</v>
      </c>
      <c r="B50" s="70" t="s">
        <v>396</v>
      </c>
      <c r="C50" s="70" t="s">
        <v>18</v>
      </c>
      <c r="D50" s="70" t="s">
        <v>400</v>
      </c>
      <c r="E50" s="70" t="s">
        <v>402</v>
      </c>
      <c r="F50" s="73">
        <v>45292</v>
      </c>
      <c r="G50" s="73">
        <v>45657</v>
      </c>
      <c r="H50" s="70">
        <f>+'Artesanal Anchoveta XV-IV'!N10</f>
        <v>16436</v>
      </c>
      <c r="I50" s="70">
        <f>+'Artesanal Anchoveta XV-IV'!O10</f>
        <v>0</v>
      </c>
      <c r="J50" s="70">
        <f>+'Artesanal Anchoveta XV-IV'!P10</f>
        <v>16436</v>
      </c>
      <c r="K50" s="70">
        <f>+'Artesanal Anchoveta XV-IV'!Q10</f>
        <v>0</v>
      </c>
      <c r="L50" s="70">
        <f>+'Artesanal Anchoveta XV-IV'!R10</f>
        <v>16436</v>
      </c>
      <c r="M50" s="80">
        <f>+'Artesanal Anchoveta XV-IV'!S10</f>
        <v>0</v>
      </c>
      <c r="N50" s="81" t="s">
        <v>15</v>
      </c>
      <c r="O50" s="73">
        <f>+Resumen!C$4</f>
        <v>45657</v>
      </c>
      <c r="P50">
        <v>2024</v>
      </c>
    </row>
    <row r="51" spans="1:16">
      <c r="A51" t="s">
        <v>396</v>
      </c>
      <c r="B51" t="s">
        <v>396</v>
      </c>
      <c r="C51" t="s">
        <v>20</v>
      </c>
      <c r="D51" t="s">
        <v>404</v>
      </c>
      <c r="E51" t="str">
        <f>+'Artesanal Anchoveta XV-IV'!D11</f>
        <v>AG de Coquimbo RAG 55-4</v>
      </c>
      <c r="F51" s="30">
        <v>45292</v>
      </c>
      <c r="G51" s="30">
        <v>45657</v>
      </c>
      <c r="H51">
        <f>+'Artesanal Anchoveta XV-IV'!F11</f>
        <v>229.542</v>
      </c>
      <c r="I51">
        <f>+'Artesanal Anchoveta XV-IV'!G11</f>
        <v>0</v>
      </c>
      <c r="J51">
        <f>+'Artesanal Anchoveta XV-IV'!H11</f>
        <v>229.542</v>
      </c>
      <c r="K51">
        <f>+'Artesanal Anchoveta XV-IV'!I11</f>
        <v>0</v>
      </c>
      <c r="L51">
        <f>+'Artesanal Anchoveta XV-IV'!K11</f>
        <v>229.542</v>
      </c>
      <c r="M51" s="5">
        <f>+'Artesanal Anchoveta XV-IV'!L11</f>
        <v>0</v>
      </c>
      <c r="N51" s="39" t="s">
        <v>15</v>
      </c>
      <c r="O51" s="30">
        <f>+Resumen!C$4</f>
        <v>45657</v>
      </c>
      <c r="P51">
        <v>2024</v>
      </c>
    </row>
    <row r="52" spans="1:16">
      <c r="A52" t="s">
        <v>396</v>
      </c>
      <c r="B52" t="s">
        <v>396</v>
      </c>
      <c r="C52" t="s">
        <v>20</v>
      </c>
      <c r="D52" t="s">
        <v>404</v>
      </c>
      <c r="E52" t="str">
        <f>+'Artesanal Anchoveta XV-IV'!D12</f>
        <v>CERCOPESCA Rol 4276</v>
      </c>
      <c r="F52" s="30">
        <v>45292</v>
      </c>
      <c r="G52" s="30">
        <v>45657</v>
      </c>
      <c r="H52">
        <f>+'Artesanal Anchoveta XV-IV'!F12</f>
        <v>6239.5969999999998</v>
      </c>
      <c r="I52">
        <f>+'Artesanal Anchoveta XV-IV'!G12</f>
        <v>0</v>
      </c>
      <c r="J52">
        <f>+'Artesanal Anchoveta XV-IV'!H12</f>
        <v>6239.5969999999998</v>
      </c>
      <c r="K52">
        <f>+'Artesanal Anchoveta XV-IV'!I12</f>
        <v>6.3E-2</v>
      </c>
      <c r="L52">
        <f>+'Artesanal Anchoveta XV-IV'!K12</f>
        <v>6239.5339999999997</v>
      </c>
      <c r="M52" s="5">
        <f>+'Artesanal Anchoveta XV-IV'!L12</f>
        <v>1.0096805931536925E-5</v>
      </c>
      <c r="N52" s="39" t="s">
        <v>15</v>
      </c>
      <c r="O52" s="30">
        <f>+Resumen!C$4</f>
        <v>45657</v>
      </c>
      <c r="P52">
        <v>2024</v>
      </c>
    </row>
    <row r="53" spans="1:16">
      <c r="A53" t="s">
        <v>396</v>
      </c>
      <c r="B53" t="s">
        <v>396</v>
      </c>
      <c r="C53" t="s">
        <v>20</v>
      </c>
      <c r="D53" t="s">
        <v>404</v>
      </c>
      <c r="E53" t="str">
        <f>+'Artesanal Anchoveta XV-IV'!D13</f>
        <v>STI de Coquimbo RSU 04.04.0472</v>
      </c>
      <c r="F53" s="30">
        <v>45292</v>
      </c>
      <c r="G53" s="30">
        <v>45657</v>
      </c>
      <c r="H53">
        <f>+'Artesanal Anchoveta XV-IV'!F13</f>
        <v>38.796999999999997</v>
      </c>
      <c r="I53">
        <f>+'Artesanal Anchoveta XV-IV'!G13</f>
        <v>0</v>
      </c>
      <c r="J53">
        <f>+'Artesanal Anchoveta XV-IV'!H13</f>
        <v>38.796999999999997</v>
      </c>
      <c r="K53">
        <f>+'Artesanal Anchoveta XV-IV'!I13</f>
        <v>0</v>
      </c>
      <c r="L53">
        <f>+'Artesanal Anchoveta XV-IV'!K13</f>
        <v>38.796999999999997</v>
      </c>
      <c r="M53" s="5">
        <f>+'Artesanal Anchoveta XV-IV'!L13</f>
        <v>0</v>
      </c>
      <c r="N53" s="39"/>
      <c r="O53" s="30">
        <f>+Resumen!C$4</f>
        <v>45657</v>
      </c>
      <c r="P53">
        <v>2024</v>
      </c>
    </row>
    <row r="54" spans="1:16">
      <c r="A54" t="s">
        <v>396</v>
      </c>
      <c r="B54" t="s">
        <v>396</v>
      </c>
      <c r="C54" t="s">
        <v>20</v>
      </c>
      <c r="D54" t="s">
        <v>404</v>
      </c>
      <c r="E54" t="str">
        <f>'Artesanal Anchoveta XV-IV'!D14</f>
        <v>CUOTA RESIDUAL</v>
      </c>
      <c r="F54" s="30">
        <v>45292</v>
      </c>
      <c r="G54" s="30">
        <v>45657</v>
      </c>
      <c r="H54">
        <f>'Artesanal Anchoveta XV-IV'!F14</f>
        <v>536.06399999999996</v>
      </c>
      <c r="I54">
        <f>'Artesanal Anchoveta XV-IV'!G14</f>
        <v>0</v>
      </c>
      <c r="J54">
        <f>+'Artesanal Anchoveta XV-IV'!H14</f>
        <v>536.06399999999996</v>
      </c>
      <c r="K54">
        <f>+'Artesanal Anchoveta XV-IV'!I14</f>
        <v>0</v>
      </c>
      <c r="L54">
        <f>+'Artesanal Anchoveta XV-IV'!K14</f>
        <v>536.06399999999996</v>
      </c>
      <c r="M54" s="5">
        <f>+'Artesanal Anchoveta XV-IV'!L14</f>
        <v>0</v>
      </c>
      <c r="N54" s="39" t="s">
        <v>15</v>
      </c>
      <c r="O54" s="30">
        <f>+Resumen!C$4</f>
        <v>45657</v>
      </c>
      <c r="P54">
        <v>2024</v>
      </c>
    </row>
    <row r="55" spans="1:16">
      <c r="A55" t="s">
        <v>396</v>
      </c>
      <c r="B55" t="s">
        <v>396</v>
      </c>
      <c r="C55" t="s">
        <v>20</v>
      </c>
      <c r="D55" t="s">
        <v>404</v>
      </c>
      <c r="E55" t="s">
        <v>405</v>
      </c>
      <c r="F55" s="30">
        <v>45292</v>
      </c>
      <c r="G55" s="30">
        <v>45657</v>
      </c>
      <c r="H55">
        <f>'Artesanal Anchoveta XV-IV'!F15</f>
        <v>500</v>
      </c>
      <c r="I55">
        <f>'Artesanal Anchoveta XV-IV'!G15</f>
        <v>0</v>
      </c>
      <c r="J55">
        <f>+'Artesanal Anchoveta XV-IV'!H15</f>
        <v>500</v>
      </c>
      <c r="K55">
        <f>+'Artesanal Anchoveta XV-IV'!I15</f>
        <v>0</v>
      </c>
      <c r="L55">
        <f>+'Artesanal Anchoveta XV-IV'!K15</f>
        <v>500</v>
      </c>
      <c r="M55" s="68">
        <f>+'Artesanal Anchoveta XV-IV'!L15</f>
        <v>0</v>
      </c>
      <c r="N55" s="69" t="s">
        <v>15</v>
      </c>
      <c r="O55" s="30">
        <f>+Resumen!C$4</f>
        <v>45657</v>
      </c>
      <c r="P55">
        <v>2024</v>
      </c>
    </row>
    <row r="56" spans="1:16" s="70" customFormat="1">
      <c r="A56" s="70" t="s">
        <v>396</v>
      </c>
      <c r="B56" s="70" t="s">
        <v>396</v>
      </c>
      <c r="C56" s="70" t="s">
        <v>20</v>
      </c>
      <c r="D56" s="70" t="s">
        <v>404</v>
      </c>
      <c r="E56" s="70" t="s">
        <v>402</v>
      </c>
      <c r="F56" s="73">
        <v>45292</v>
      </c>
      <c r="G56" s="73">
        <v>45657</v>
      </c>
      <c r="H56" s="70">
        <f>+Resumen!E15</f>
        <v>7044</v>
      </c>
      <c r="I56" s="70">
        <f>+Resumen!F15</f>
        <v>0</v>
      </c>
      <c r="J56" s="70">
        <f>+Resumen!G15</f>
        <v>7005.2030000000004</v>
      </c>
      <c r="K56" s="70">
        <f>+Resumen!H15</f>
        <v>6.3E-2</v>
      </c>
      <c r="L56" s="70">
        <f>+Resumen!I15</f>
        <v>7005.14</v>
      </c>
      <c r="M56" s="80">
        <f>+Resumen!J15</f>
        <v>8.9933153971412383E-6</v>
      </c>
      <c r="N56" s="81" t="s">
        <v>15</v>
      </c>
      <c r="O56" s="73">
        <f>+Resumen!C$4</f>
        <v>45657</v>
      </c>
      <c r="P56">
        <v>2024</v>
      </c>
    </row>
    <row r="57" spans="1:16">
      <c r="A57" t="s">
        <v>399</v>
      </c>
      <c r="B57" t="s">
        <v>399</v>
      </c>
      <c r="C57" t="s">
        <v>128</v>
      </c>
      <c r="D57" t="s">
        <v>406</v>
      </c>
      <c r="E57" t="str">
        <f>+'Artesanal S.española XV-IV'!D7</f>
        <v>MACROZONA XV - I</v>
      </c>
      <c r="F57" s="30">
        <v>45292</v>
      </c>
      <c r="G57" s="30">
        <v>45657</v>
      </c>
      <c r="H57">
        <f>+'Artesanal S.española XV-IV'!F7</f>
        <v>1323</v>
      </c>
      <c r="I57">
        <f>+'Artesanal S.española XV-IV'!G7</f>
        <v>0</v>
      </c>
      <c r="J57">
        <f>+'Artesanal S.española XV-IV'!H7</f>
        <v>1323</v>
      </c>
      <c r="K57">
        <f>+'Artesanal S.española XV-IV'!I7</f>
        <v>1231.1400000000001</v>
      </c>
      <c r="L57">
        <f>+'Artesanal S.española XV-IV'!J7</f>
        <v>91.8599999999999</v>
      </c>
      <c r="M57" s="5">
        <f>+'Artesanal S.española XV-IV'!K7</f>
        <v>0.93056689342403631</v>
      </c>
      <c r="N57" s="39" t="s">
        <v>15</v>
      </c>
      <c r="O57" s="30">
        <f>+Resumen!C$4</f>
        <v>45657</v>
      </c>
      <c r="P57">
        <v>2024</v>
      </c>
    </row>
    <row r="58" spans="1:16" s="70" customFormat="1">
      <c r="A58" s="70" t="s">
        <v>399</v>
      </c>
      <c r="B58" s="70" t="s">
        <v>399</v>
      </c>
      <c r="C58" s="70" t="s">
        <v>128</v>
      </c>
      <c r="D58" s="70" t="s">
        <v>406</v>
      </c>
      <c r="E58" s="70" t="s">
        <v>401</v>
      </c>
      <c r="F58" s="73">
        <v>45292</v>
      </c>
      <c r="G58" s="73">
        <v>45657</v>
      </c>
      <c r="H58" s="70">
        <f>+'Artesanal S.española XV-IV'!M7</f>
        <v>1323</v>
      </c>
      <c r="I58" s="70">
        <f>+'Artesanal S.española XV-IV'!N7</f>
        <v>0</v>
      </c>
      <c r="J58" s="70">
        <f>+'Artesanal S.española XV-IV'!O7</f>
        <v>1323</v>
      </c>
      <c r="K58" s="70">
        <f>+'Artesanal S.española XV-IV'!P7</f>
        <v>1231.1400000000001</v>
      </c>
      <c r="L58" s="70">
        <f>+'Artesanal S.española XV-IV'!Q7</f>
        <v>91.8599999999999</v>
      </c>
      <c r="M58" s="80">
        <f>+'Artesanal S.española XV-IV'!R7</f>
        <v>0.93056689342403631</v>
      </c>
      <c r="N58" s="81" t="s">
        <v>15</v>
      </c>
      <c r="O58" s="73">
        <f>+Resumen!C$4</f>
        <v>45657</v>
      </c>
      <c r="P58">
        <v>2024</v>
      </c>
    </row>
    <row r="59" spans="1:16">
      <c r="A59" t="s">
        <v>399</v>
      </c>
      <c r="B59" t="s">
        <v>399</v>
      </c>
      <c r="C59" t="s">
        <v>16</v>
      </c>
      <c r="D59" t="s">
        <v>400</v>
      </c>
      <c r="E59" t="str">
        <f>+'Artesanal S.española XV-IV'!D8</f>
        <v>REGIÓN II</v>
      </c>
      <c r="F59" s="30">
        <v>45292</v>
      </c>
      <c r="G59" s="30">
        <v>45657</v>
      </c>
      <c r="H59">
        <f>+'Artesanal S.española XV-IV'!F8</f>
        <v>5007</v>
      </c>
      <c r="I59">
        <f>+'Artesanal S.española XV-IV'!G8</f>
        <v>0</v>
      </c>
      <c r="J59">
        <f>+'Artesanal S.española XV-IV'!H8</f>
        <v>5007</v>
      </c>
      <c r="K59">
        <f>+'Artesanal S.española XV-IV'!I8</f>
        <v>4992.4210000000003</v>
      </c>
      <c r="L59">
        <f>+'Artesanal S.española XV-IV'!J8</f>
        <v>14.578999999999724</v>
      </c>
      <c r="M59" s="68">
        <f>+'Artesanal S.española XV-IV'!K8</f>
        <v>0.99708827641302178</v>
      </c>
      <c r="N59" s="69">
        <f>'Artesanal S.española XV-IV'!L8</f>
        <v>45425</v>
      </c>
      <c r="O59" s="30">
        <f>+Resumen!C$4</f>
        <v>45657</v>
      </c>
      <c r="P59">
        <v>2024</v>
      </c>
    </row>
    <row r="60" spans="1:16" s="70" customFormat="1">
      <c r="A60" s="70" t="s">
        <v>399</v>
      </c>
      <c r="B60" s="70" t="s">
        <v>399</v>
      </c>
      <c r="C60" s="70" t="s">
        <v>16</v>
      </c>
      <c r="D60" s="70" t="s">
        <v>400</v>
      </c>
      <c r="E60" s="70" t="s">
        <v>401</v>
      </c>
      <c r="F60" s="73">
        <v>45292</v>
      </c>
      <c r="G60" s="73">
        <v>45657</v>
      </c>
      <c r="H60" s="70">
        <f>+'Artesanal S.española XV-IV'!M8</f>
        <v>5007</v>
      </c>
      <c r="I60" s="70">
        <f>+'Artesanal S.española XV-IV'!N8</f>
        <v>0</v>
      </c>
      <c r="J60" s="70">
        <f>+'Artesanal S.española XV-IV'!O8</f>
        <v>5007</v>
      </c>
      <c r="K60" s="70">
        <f>+'Artesanal S.española XV-IV'!P8</f>
        <v>4992.4210000000003</v>
      </c>
      <c r="L60" s="70">
        <f>+'Artesanal S.española XV-IV'!Q8</f>
        <v>14.578999999999724</v>
      </c>
      <c r="M60" s="80">
        <f>+'Artesanal S.española XV-IV'!R8</f>
        <v>0.99708827641302178</v>
      </c>
      <c r="N60" s="81" t="s">
        <v>15</v>
      </c>
      <c r="O60" s="73">
        <f>+Resumen!C$4</f>
        <v>45657</v>
      </c>
      <c r="P60">
        <v>2024</v>
      </c>
    </row>
    <row r="61" spans="1:16" s="70" customFormat="1">
      <c r="A61" s="70" t="s">
        <v>399</v>
      </c>
      <c r="B61" s="70" t="s">
        <v>399</v>
      </c>
      <c r="C61" s="70" t="s">
        <v>27</v>
      </c>
      <c r="D61" s="70" t="s">
        <v>400</v>
      </c>
      <c r="E61" s="70" t="s">
        <v>403</v>
      </c>
      <c r="F61" s="30">
        <v>45292</v>
      </c>
      <c r="G61" s="30">
        <v>45657</v>
      </c>
      <c r="H61">
        <f>+'Artesanal S.española XV-IV'!F9</f>
        <v>700</v>
      </c>
      <c r="I61">
        <f>+'Artesanal S.española XV-IV'!G9</f>
        <v>0</v>
      </c>
      <c r="J61">
        <f>+'Artesanal S.española XV-IV'!H9</f>
        <v>700</v>
      </c>
      <c r="K61">
        <f>+'Artesanal S.española XV-IV'!I9</f>
        <v>0</v>
      </c>
      <c r="L61">
        <f>+'Artesanal S.española XV-IV'!J9</f>
        <v>700</v>
      </c>
      <c r="M61" s="68">
        <f>+'Artesanal S.española XV-IV'!K9</f>
        <v>0</v>
      </c>
      <c r="N61" s="69" t="s">
        <v>15</v>
      </c>
      <c r="O61" s="30">
        <f>+Resumen!C$4</f>
        <v>45657</v>
      </c>
      <c r="P61">
        <v>2024</v>
      </c>
    </row>
    <row r="62" spans="1:16">
      <c r="A62" t="s">
        <v>399</v>
      </c>
      <c r="B62" t="s">
        <v>399</v>
      </c>
      <c r="C62" t="s">
        <v>18</v>
      </c>
      <c r="D62" t="s">
        <v>400</v>
      </c>
      <c r="E62" t="str">
        <f>+'Artesanal S.española XV-IV'!D10</f>
        <v>REGIÓN III</v>
      </c>
      <c r="F62" s="30">
        <v>45292</v>
      </c>
      <c r="G62" s="30">
        <v>45657</v>
      </c>
      <c r="H62">
        <f>+'Artesanal S.española XV-IV'!F10</f>
        <v>1215</v>
      </c>
      <c r="I62">
        <f>+'Artesanal S.española XV-IV'!G10</f>
        <v>0</v>
      </c>
      <c r="J62">
        <f>+'Artesanal S.española XV-IV'!H10</f>
        <v>1215</v>
      </c>
      <c r="K62">
        <f>+'Artesanal S.española XV-IV'!I10</f>
        <v>1072</v>
      </c>
      <c r="L62">
        <f>+'Artesanal S.española XV-IV'!J10</f>
        <v>143</v>
      </c>
      <c r="M62" s="68">
        <f>+'Artesanal S.española XV-IV'!K9</f>
        <v>0</v>
      </c>
      <c r="N62" s="69" t="s">
        <v>15</v>
      </c>
      <c r="O62" s="30">
        <f>+Resumen!C$4</f>
        <v>45657</v>
      </c>
      <c r="P62">
        <v>2024</v>
      </c>
    </row>
    <row r="63" spans="1:16" s="70" customFormat="1">
      <c r="A63" s="70" t="s">
        <v>399</v>
      </c>
      <c r="B63" s="70" t="s">
        <v>399</v>
      </c>
      <c r="C63" s="70" t="s">
        <v>18</v>
      </c>
      <c r="D63" s="70" t="s">
        <v>400</v>
      </c>
      <c r="E63" s="70" t="s">
        <v>401</v>
      </c>
      <c r="F63" s="73">
        <v>45292</v>
      </c>
      <c r="G63" s="73">
        <v>45657</v>
      </c>
      <c r="H63" s="70">
        <f>+'Artesanal S.española XV-IV'!M10</f>
        <v>1215</v>
      </c>
      <c r="I63" s="70">
        <f>+'Artesanal S.española XV-IV'!N10</f>
        <v>0</v>
      </c>
      <c r="J63" s="70">
        <f>+'Artesanal S.española XV-IV'!O10</f>
        <v>1215</v>
      </c>
      <c r="K63" s="70">
        <f>+'Artesanal S.española XV-IV'!P10</f>
        <v>1072</v>
      </c>
      <c r="L63" s="70">
        <f>+'Artesanal S.española XV-IV'!Q10</f>
        <v>143</v>
      </c>
      <c r="M63" s="80">
        <f>+'Artesanal S.española XV-IV'!R9</f>
        <v>0</v>
      </c>
      <c r="N63" s="81" t="s">
        <v>15</v>
      </c>
      <c r="O63" s="73">
        <f>+Resumen!C$4</f>
        <v>45657</v>
      </c>
      <c r="P63">
        <v>2024</v>
      </c>
    </row>
    <row r="64" spans="1:16">
      <c r="A64" t="s">
        <v>399</v>
      </c>
      <c r="B64" t="s">
        <v>399</v>
      </c>
      <c r="C64" t="s">
        <v>20</v>
      </c>
      <c r="D64" t="s">
        <v>400</v>
      </c>
      <c r="E64" t="str">
        <f>+'Artesanal S.española XV-IV'!D11</f>
        <v>REGIÓN IV</v>
      </c>
      <c r="F64" s="30">
        <v>45292</v>
      </c>
      <c r="G64" s="30">
        <v>45657</v>
      </c>
      <c r="H64">
        <f>+'Artesanal S.española XV-IV'!F11</f>
        <v>1215</v>
      </c>
      <c r="I64">
        <f>+'Artesanal S.española XV-IV'!G11</f>
        <v>0</v>
      </c>
      <c r="J64">
        <f>+'Artesanal S.española XV-IV'!H11</f>
        <v>1215</v>
      </c>
      <c r="K64">
        <f>+'Artesanal S.española XV-IV'!I11</f>
        <v>730.76300000000003</v>
      </c>
      <c r="L64">
        <f>+'Artesanal S.española XV-IV'!J11</f>
        <v>484.23699999999997</v>
      </c>
      <c r="M64" s="68">
        <f>+'Artesanal S.española XV-IV'!K11</f>
        <v>0.60145102880658441</v>
      </c>
      <c r="N64" s="69" t="s">
        <v>15</v>
      </c>
      <c r="O64" s="30">
        <f>+Resumen!C$4</f>
        <v>45657</v>
      </c>
      <c r="P64">
        <v>2024</v>
      </c>
    </row>
    <row r="65" spans="1:16">
      <c r="A65" t="s">
        <v>399</v>
      </c>
      <c r="B65" t="s">
        <v>399</v>
      </c>
      <c r="C65" t="s">
        <v>20</v>
      </c>
      <c r="D65" t="s">
        <v>400</v>
      </c>
      <c r="E65" t="s">
        <v>405</v>
      </c>
      <c r="F65" s="30">
        <v>45292</v>
      </c>
      <c r="G65" s="30">
        <v>45657</v>
      </c>
      <c r="H65">
        <f>+'Artesanal S.española XV-IV'!F12</f>
        <v>50</v>
      </c>
      <c r="I65">
        <f>+'Artesanal S.española XV-IV'!G12</f>
        <v>0</v>
      </c>
      <c r="J65">
        <f>+'Artesanal S.española XV-IV'!H12</f>
        <v>50</v>
      </c>
      <c r="K65">
        <f>+'Artesanal S.española XV-IV'!I12</f>
        <v>26.332000000000001</v>
      </c>
      <c r="L65">
        <f>+'Artesanal S.española XV-IV'!J12</f>
        <v>23.667999999999999</v>
      </c>
      <c r="M65" s="68">
        <f>+'Artesanal S.española XV-IV'!K12</f>
        <v>0.52664</v>
      </c>
      <c r="N65" s="69" t="s">
        <v>15</v>
      </c>
      <c r="O65" s="30">
        <f>+Resumen!C$4</f>
        <v>45657</v>
      </c>
      <c r="P65">
        <v>2024</v>
      </c>
    </row>
    <row r="66" spans="1:16" s="70" customFormat="1">
      <c r="A66" s="70" t="s">
        <v>399</v>
      </c>
      <c r="B66" s="70" t="s">
        <v>399</v>
      </c>
      <c r="C66" s="70" t="s">
        <v>20</v>
      </c>
      <c r="D66" s="70" t="s">
        <v>400</v>
      </c>
      <c r="E66" s="70" t="s">
        <v>401</v>
      </c>
      <c r="F66" s="73">
        <v>45292</v>
      </c>
      <c r="G66" s="73">
        <v>45657</v>
      </c>
      <c r="H66" s="70">
        <f>+'Artesanal S.española XV-IV'!M11</f>
        <v>1215</v>
      </c>
      <c r="I66" s="70">
        <f>+'Artesanal S.española XV-IV'!N11</f>
        <v>0</v>
      </c>
      <c r="J66" s="70">
        <f>+'Artesanal S.española XV-IV'!O11</f>
        <v>1215</v>
      </c>
      <c r="K66" s="70">
        <f>+'Artesanal S.española XV-IV'!P11</f>
        <v>730.76300000000003</v>
      </c>
      <c r="L66" s="70">
        <f>+'Artesanal S.española XV-IV'!Q11</f>
        <v>484.23699999999997</v>
      </c>
      <c r="M66" s="80">
        <f>+'Artesanal S.española XV-IV'!R11</f>
        <v>0.60145102880658441</v>
      </c>
      <c r="N66" s="81" t="s">
        <v>15</v>
      </c>
      <c r="O66" s="73">
        <f>+Resumen!C$4</f>
        <v>45657</v>
      </c>
      <c r="P66">
        <v>2024</v>
      </c>
    </row>
  </sheetData>
  <autoFilter ref="A1:Q66" xr:uid="{00000000-0009-0000-0000-000008000000}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B2:S36"/>
  <sheetViews>
    <sheetView zoomScale="85" zoomScaleNormal="85" workbookViewId="0">
      <selection activeCell="I12" sqref="I12"/>
    </sheetView>
  </sheetViews>
  <sheetFormatPr defaultColWidth="11.42578125" defaultRowHeight="14.45"/>
  <cols>
    <col min="1" max="1" width="2.85546875" customWidth="1"/>
    <col min="2" max="2" width="22.7109375" customWidth="1"/>
    <col min="3" max="3" width="23.42578125" customWidth="1"/>
    <col min="4" max="4" width="27.7109375" bestFit="1" customWidth="1"/>
    <col min="5" max="5" width="8.85546875" bestFit="1" customWidth="1"/>
    <col min="6" max="6" width="12.28515625" customWidth="1"/>
    <col min="7" max="7" width="12.7109375" bestFit="1" customWidth="1"/>
    <col min="9" max="9" width="20.140625" bestFit="1" customWidth="1"/>
  </cols>
  <sheetData>
    <row r="2" spans="2:19">
      <c r="B2" s="466" t="s">
        <v>35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</row>
    <row r="3" spans="2:19"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</row>
    <row r="4" spans="2:19">
      <c r="B4" s="477">
        <f>+Resumen!C4</f>
        <v>45657</v>
      </c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</row>
    <row r="5" spans="2:19">
      <c r="N5" s="478" t="s">
        <v>36</v>
      </c>
      <c r="O5" s="478"/>
      <c r="P5" s="478"/>
      <c r="Q5" s="478"/>
      <c r="R5" s="478"/>
      <c r="S5" s="478"/>
    </row>
    <row r="6" spans="2:19" ht="28.9">
      <c r="B6" s="409" t="s">
        <v>37</v>
      </c>
      <c r="C6" s="410" t="s">
        <v>38</v>
      </c>
      <c r="D6" s="410" t="s">
        <v>39</v>
      </c>
      <c r="E6" s="410" t="s">
        <v>40</v>
      </c>
      <c r="F6" s="409" t="s">
        <v>41</v>
      </c>
      <c r="G6" s="410" t="s">
        <v>6</v>
      </c>
      <c r="H6" s="409" t="s">
        <v>42</v>
      </c>
      <c r="I6" s="409" t="s">
        <v>43</v>
      </c>
      <c r="J6" s="409" t="s">
        <v>44</v>
      </c>
      <c r="K6" s="409" t="s">
        <v>45</v>
      </c>
      <c r="L6" s="410" t="s">
        <v>46</v>
      </c>
      <c r="M6" s="410" t="s">
        <v>47</v>
      </c>
      <c r="N6" s="322" t="s">
        <v>41</v>
      </c>
      <c r="O6" s="323" t="s">
        <v>6</v>
      </c>
      <c r="P6" s="323" t="s">
        <v>42</v>
      </c>
      <c r="Q6" s="323" t="s">
        <v>8</v>
      </c>
      <c r="R6" s="323" t="s">
        <v>9</v>
      </c>
      <c r="S6" s="323" t="s">
        <v>46</v>
      </c>
    </row>
    <row r="7" spans="2:19">
      <c r="B7" s="479" t="s">
        <v>48</v>
      </c>
      <c r="C7" s="244" t="s">
        <v>49</v>
      </c>
      <c r="D7" s="244" t="s">
        <v>50</v>
      </c>
      <c r="E7" s="244" t="s">
        <v>51</v>
      </c>
      <c r="F7" s="244">
        <v>68101</v>
      </c>
      <c r="G7" s="170">
        <v>6335</v>
      </c>
      <c r="H7" s="170">
        <f t="shared" ref="H7:H15" si="0">+F7+G7</f>
        <v>74436</v>
      </c>
      <c r="I7" s="193">
        <v>69907.733999999997</v>
      </c>
      <c r="J7" s="171"/>
      <c r="K7" s="171">
        <f>+H7-I7</f>
        <v>4528.2660000000033</v>
      </c>
      <c r="L7" s="167">
        <f>+I7/H7</f>
        <v>0.93916564565532801</v>
      </c>
      <c r="M7" s="172"/>
      <c r="N7" s="171">
        <f t="shared" ref="N7:O11" si="1">+F7</f>
        <v>68101</v>
      </c>
      <c r="O7" s="171">
        <f t="shared" si="1"/>
        <v>6335</v>
      </c>
      <c r="P7" s="171">
        <f>+N7+O7</f>
        <v>74436</v>
      </c>
      <c r="Q7" s="171">
        <f t="shared" ref="Q7:Q15" si="2">+I7</f>
        <v>69907.733999999997</v>
      </c>
      <c r="R7" s="171">
        <f t="shared" ref="R7:R15" si="3">+P7-Q7</f>
        <v>4528.2660000000033</v>
      </c>
      <c r="S7" s="167">
        <f t="shared" ref="S7:S15" si="4">+Q7/P7</f>
        <v>0.93916564565532801</v>
      </c>
    </row>
    <row r="8" spans="2:19">
      <c r="B8" s="479"/>
      <c r="C8" s="245" t="s">
        <v>52</v>
      </c>
      <c r="D8" s="246" t="s">
        <v>53</v>
      </c>
      <c r="E8" s="247" t="s">
        <v>51</v>
      </c>
      <c r="F8" s="248">
        <v>25718</v>
      </c>
      <c r="G8" s="171"/>
      <c r="H8" s="171">
        <f t="shared" si="0"/>
        <v>25718</v>
      </c>
      <c r="I8" s="193">
        <v>0.2</v>
      </c>
      <c r="J8" s="125"/>
      <c r="K8" s="171">
        <f t="shared" ref="K8:K15" si="5">+H8-I8</f>
        <v>25717.8</v>
      </c>
      <c r="L8" s="167">
        <f t="shared" ref="L8:L15" si="6">+I8/H8</f>
        <v>7.7766544832413093E-6</v>
      </c>
      <c r="M8" s="172" t="s">
        <v>15</v>
      </c>
      <c r="N8" s="171">
        <f>F8</f>
        <v>25718</v>
      </c>
      <c r="O8" s="171">
        <f t="shared" si="1"/>
        <v>0</v>
      </c>
      <c r="P8" s="171">
        <f>+N8+O8</f>
        <v>25718</v>
      </c>
      <c r="Q8" s="171">
        <f t="shared" si="2"/>
        <v>0.2</v>
      </c>
      <c r="R8" s="171">
        <f t="shared" si="3"/>
        <v>25717.8</v>
      </c>
      <c r="S8" s="167">
        <f t="shared" si="4"/>
        <v>7.7766544832413093E-6</v>
      </c>
    </row>
    <row r="9" spans="2:19">
      <c r="B9" s="479"/>
      <c r="C9" s="245" t="s">
        <v>54</v>
      </c>
      <c r="D9" s="246" t="s">
        <v>27</v>
      </c>
      <c r="E9" s="247" t="s">
        <v>51</v>
      </c>
      <c r="F9" s="248">
        <v>1000</v>
      </c>
      <c r="G9" s="171"/>
      <c r="H9" s="171">
        <f t="shared" si="0"/>
        <v>1000</v>
      </c>
      <c r="I9" s="171"/>
      <c r="J9" s="171"/>
      <c r="K9" s="171">
        <f t="shared" si="5"/>
        <v>1000</v>
      </c>
      <c r="L9" s="167">
        <f t="shared" si="6"/>
        <v>0</v>
      </c>
      <c r="M9" s="172" t="s">
        <v>15</v>
      </c>
      <c r="N9" s="171">
        <f t="shared" si="1"/>
        <v>1000</v>
      </c>
      <c r="O9" s="171">
        <f t="shared" si="1"/>
        <v>0</v>
      </c>
      <c r="P9" s="171">
        <f>+H9</f>
        <v>1000</v>
      </c>
      <c r="Q9" s="171">
        <f t="shared" si="2"/>
        <v>0</v>
      </c>
      <c r="R9" s="171">
        <f t="shared" si="3"/>
        <v>1000</v>
      </c>
      <c r="S9" s="167">
        <f t="shared" si="4"/>
        <v>0</v>
      </c>
    </row>
    <row r="10" spans="2:19">
      <c r="B10" s="476" t="s">
        <v>55</v>
      </c>
      <c r="C10" s="133" t="s">
        <v>56</v>
      </c>
      <c r="D10" s="239" t="s">
        <v>57</v>
      </c>
      <c r="E10" s="240" t="s">
        <v>51</v>
      </c>
      <c r="F10" s="241">
        <v>16436</v>
      </c>
      <c r="G10" s="110"/>
      <c r="H10" s="110">
        <f t="shared" si="0"/>
        <v>16436</v>
      </c>
      <c r="I10" s="111"/>
      <c r="J10" s="111"/>
      <c r="K10" s="110">
        <f t="shared" si="5"/>
        <v>16436</v>
      </c>
      <c r="L10" s="112">
        <f t="shared" si="6"/>
        <v>0</v>
      </c>
      <c r="M10" s="113" t="s">
        <v>15</v>
      </c>
      <c r="N10" s="110">
        <f t="shared" si="1"/>
        <v>16436</v>
      </c>
      <c r="O10" s="110">
        <f t="shared" si="1"/>
        <v>0</v>
      </c>
      <c r="P10" s="110">
        <f>+N10+O10</f>
        <v>16436</v>
      </c>
      <c r="Q10" s="110">
        <f t="shared" si="2"/>
        <v>0</v>
      </c>
      <c r="R10" s="110">
        <f t="shared" si="3"/>
        <v>16436</v>
      </c>
      <c r="S10" s="114">
        <f t="shared" si="4"/>
        <v>0</v>
      </c>
    </row>
    <row r="11" spans="2:19">
      <c r="B11" s="476"/>
      <c r="C11" s="480" t="s">
        <v>58</v>
      </c>
      <c r="D11" s="242" t="s">
        <v>59</v>
      </c>
      <c r="E11" s="240" t="s">
        <v>51</v>
      </c>
      <c r="F11" s="243">
        <v>229.542</v>
      </c>
      <c r="G11" s="110"/>
      <c r="H11" s="110">
        <f>+F11+G11</f>
        <v>229.542</v>
      </c>
      <c r="I11" s="111"/>
      <c r="J11" s="111"/>
      <c r="K11" s="110">
        <f t="shared" si="5"/>
        <v>229.542</v>
      </c>
      <c r="L11" s="112">
        <f t="shared" si="6"/>
        <v>0</v>
      </c>
      <c r="M11" s="113" t="s">
        <v>15</v>
      </c>
      <c r="N11" s="110">
        <f>+F11</f>
        <v>229.542</v>
      </c>
      <c r="O11" s="110">
        <f t="shared" si="1"/>
        <v>0</v>
      </c>
      <c r="P11" s="110">
        <f>+N11+O11</f>
        <v>229.542</v>
      </c>
      <c r="Q11" s="110">
        <f t="shared" si="2"/>
        <v>0</v>
      </c>
      <c r="R11" s="110">
        <f t="shared" si="3"/>
        <v>229.542</v>
      </c>
      <c r="S11" s="114">
        <f t="shared" si="4"/>
        <v>0</v>
      </c>
    </row>
    <row r="12" spans="2:19">
      <c r="B12" s="476"/>
      <c r="C12" s="480"/>
      <c r="D12" s="242" t="s">
        <v>60</v>
      </c>
      <c r="E12" s="240" t="s">
        <v>51</v>
      </c>
      <c r="F12" s="243">
        <v>6239.5969999999998</v>
      </c>
      <c r="G12" s="110"/>
      <c r="H12" s="110">
        <f>+F12+G12</f>
        <v>6239.5969999999998</v>
      </c>
      <c r="I12" s="111">
        <v>6.3E-2</v>
      </c>
      <c r="J12" s="111"/>
      <c r="K12" s="110">
        <f t="shared" ref="K12:K13" si="7">+H12-I12</f>
        <v>6239.5339999999997</v>
      </c>
      <c r="L12" s="112">
        <f t="shared" ref="L12:L13" si="8">+I12/H12</f>
        <v>1.0096805931536925E-5</v>
      </c>
      <c r="M12" s="113" t="s">
        <v>15</v>
      </c>
      <c r="N12" s="110">
        <f>+F12</f>
        <v>6239.5969999999998</v>
      </c>
      <c r="O12" s="110">
        <f t="shared" ref="O12" si="9">+G12</f>
        <v>0</v>
      </c>
      <c r="P12" s="110">
        <f>+N12+O12</f>
        <v>6239.5969999999998</v>
      </c>
      <c r="Q12" s="110">
        <f t="shared" ref="Q12" si="10">+I12</f>
        <v>6.3E-2</v>
      </c>
      <c r="R12" s="110">
        <f t="shared" ref="R12" si="11">+P12-Q12</f>
        <v>6239.5339999999997</v>
      </c>
      <c r="S12" s="114">
        <f t="shared" ref="S12" si="12">+Q12/P12</f>
        <v>1.0096805931536925E-5</v>
      </c>
    </row>
    <row r="13" spans="2:19">
      <c r="B13" s="476"/>
      <c r="C13" s="480"/>
      <c r="D13" s="242" t="s">
        <v>61</v>
      </c>
      <c r="E13" s="240" t="s">
        <v>51</v>
      </c>
      <c r="F13" s="243">
        <v>38.796999999999997</v>
      </c>
      <c r="G13" s="110"/>
      <c r="H13" s="110">
        <f>+F13+G13</f>
        <v>38.796999999999997</v>
      </c>
      <c r="I13" s="111"/>
      <c r="J13" s="111"/>
      <c r="K13" s="110">
        <f t="shared" si="7"/>
        <v>38.796999999999997</v>
      </c>
      <c r="L13" s="112">
        <f t="shared" si="8"/>
        <v>0</v>
      </c>
      <c r="M13" s="113"/>
      <c r="N13" s="110">
        <f>+F13</f>
        <v>38.796999999999997</v>
      </c>
      <c r="O13" s="110">
        <f t="shared" ref="O13" si="13">+G13</f>
        <v>0</v>
      </c>
      <c r="P13" s="110">
        <f>+N13+O13</f>
        <v>38.796999999999997</v>
      </c>
      <c r="Q13" s="110">
        <f t="shared" ref="Q13" si="14">+I13</f>
        <v>0</v>
      </c>
      <c r="R13" s="110">
        <f t="shared" ref="R13" si="15">+P13-Q13</f>
        <v>38.796999999999997</v>
      </c>
      <c r="S13" s="114">
        <f t="shared" ref="S13" si="16">+Q13/P13</f>
        <v>0</v>
      </c>
    </row>
    <row r="14" spans="2:19">
      <c r="B14" s="476"/>
      <c r="C14" s="480"/>
      <c r="D14" s="242" t="s">
        <v>62</v>
      </c>
      <c r="E14" s="240" t="s">
        <v>51</v>
      </c>
      <c r="F14" s="243">
        <v>536.06399999999996</v>
      </c>
      <c r="G14" s="110"/>
      <c r="H14" s="110">
        <f>+F14+G14</f>
        <v>536.06399999999996</v>
      </c>
      <c r="I14" s="111"/>
      <c r="J14" s="111"/>
      <c r="K14" s="110">
        <f>+H14-(I14+J14)</f>
        <v>536.06399999999996</v>
      </c>
      <c r="L14" s="112">
        <f t="shared" si="6"/>
        <v>0</v>
      </c>
      <c r="M14" s="113" t="s">
        <v>15</v>
      </c>
      <c r="N14" s="110">
        <f>+F14</f>
        <v>536.06399999999996</v>
      </c>
      <c r="O14" s="110">
        <f>+G14</f>
        <v>0</v>
      </c>
      <c r="P14" s="110">
        <f>+N14+O14</f>
        <v>536.06399999999996</v>
      </c>
      <c r="Q14" s="110">
        <f t="shared" si="2"/>
        <v>0</v>
      </c>
      <c r="R14" s="110">
        <f t="shared" si="3"/>
        <v>536.06399999999996</v>
      </c>
      <c r="S14" s="114">
        <f t="shared" si="4"/>
        <v>0</v>
      </c>
    </row>
    <row r="15" spans="2:19">
      <c r="B15" s="476"/>
      <c r="C15" s="130" t="s">
        <v>54</v>
      </c>
      <c r="D15" s="239" t="s">
        <v>29</v>
      </c>
      <c r="E15" s="240" t="s">
        <v>51</v>
      </c>
      <c r="F15" s="241">
        <v>500</v>
      </c>
      <c r="G15" s="110"/>
      <c r="H15" s="110">
        <f t="shared" si="0"/>
        <v>500</v>
      </c>
      <c r="I15" s="110"/>
      <c r="J15" s="110"/>
      <c r="K15" s="110">
        <f t="shared" si="5"/>
        <v>500</v>
      </c>
      <c r="L15" s="114">
        <f t="shared" si="6"/>
        <v>0</v>
      </c>
      <c r="M15" s="113" t="s">
        <v>15</v>
      </c>
      <c r="N15" s="110">
        <f>+F15</f>
        <v>500</v>
      </c>
      <c r="O15" s="110">
        <f>+G15</f>
        <v>0</v>
      </c>
      <c r="P15" s="110">
        <f>+H15</f>
        <v>500</v>
      </c>
      <c r="Q15" s="110">
        <f t="shared" si="2"/>
        <v>0</v>
      </c>
      <c r="R15" s="110">
        <f t="shared" si="3"/>
        <v>500</v>
      </c>
      <c r="S15" s="114">
        <f t="shared" si="4"/>
        <v>0</v>
      </c>
    </row>
    <row r="16" spans="2:19">
      <c r="B16" s="1"/>
      <c r="F16" s="37"/>
    </row>
    <row r="19" spans="4:10">
      <c r="D19" s="44"/>
    </row>
    <row r="20" spans="4:10">
      <c r="D20" s="44"/>
    </row>
    <row r="21" spans="4:10">
      <c r="D21" s="44"/>
    </row>
    <row r="22" spans="4:10">
      <c r="D22" s="44"/>
    </row>
    <row r="23" spans="4:10">
      <c r="F23" s="377"/>
      <c r="H23" s="365"/>
    </row>
    <row r="24" spans="4:10">
      <c r="H24" s="365"/>
    </row>
    <row r="25" spans="4:10">
      <c r="F25" s="365"/>
      <c r="H25" s="365"/>
    </row>
    <row r="26" spans="4:10">
      <c r="F26" s="365"/>
      <c r="J26" s="377"/>
    </row>
    <row r="36" spans="9:10">
      <c r="I36" s="70"/>
      <c r="J36" s="75"/>
    </row>
  </sheetData>
  <mergeCells count="6">
    <mergeCell ref="B2:S3"/>
    <mergeCell ref="B10:B15"/>
    <mergeCell ref="B4:S4"/>
    <mergeCell ref="N5:S5"/>
    <mergeCell ref="B7:B9"/>
    <mergeCell ref="C11:C14"/>
  </mergeCells>
  <conditionalFormatting sqref="K7:K15">
    <cfRule type="cellIs" dxfId="9" priority="3" operator="lessThan">
      <formula>0</formula>
    </cfRule>
  </conditionalFormatting>
  <conditionalFormatting sqref="S7:S8 L7:L15 S10:S15">
    <cfRule type="cellIs" dxfId="8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 H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S22"/>
  <sheetViews>
    <sheetView zoomScale="110" zoomScaleNormal="110" workbookViewId="0">
      <selection activeCell="I10" sqref="I10"/>
    </sheetView>
  </sheetViews>
  <sheetFormatPr defaultColWidth="11.42578125" defaultRowHeight="14.45"/>
  <cols>
    <col min="1" max="1" width="3" customWidth="1"/>
    <col min="2" max="2" width="17.140625" customWidth="1"/>
    <col min="3" max="3" width="19.140625" customWidth="1"/>
    <col min="4" max="4" width="18.140625" customWidth="1"/>
    <col min="5" max="5" width="8.85546875" bestFit="1" customWidth="1"/>
    <col min="6" max="6" width="10" bestFit="1" customWidth="1"/>
    <col min="7" max="7" width="12.85546875" bestFit="1" customWidth="1"/>
    <col min="8" max="9" width="10" bestFit="1" customWidth="1"/>
    <col min="10" max="10" width="9.42578125" bestFit="1" customWidth="1"/>
    <col min="13" max="13" width="10" bestFit="1" customWidth="1"/>
    <col min="14" max="14" width="12.85546875" bestFit="1" customWidth="1"/>
    <col min="15" max="15" width="10" bestFit="1" customWidth="1"/>
    <col min="16" max="16" width="9" customWidth="1"/>
    <col min="17" max="17" width="9.42578125" bestFit="1" customWidth="1"/>
    <col min="18" max="18" width="10.85546875" customWidth="1"/>
  </cols>
  <sheetData>
    <row r="2" spans="2:19">
      <c r="B2" s="487" t="s">
        <v>63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</row>
    <row r="3" spans="2:19"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</row>
    <row r="4" spans="2:19">
      <c r="B4" s="477">
        <f>+Resumen!C4</f>
        <v>45657</v>
      </c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</row>
    <row r="5" spans="2:19">
      <c r="M5" s="478" t="s">
        <v>36</v>
      </c>
      <c r="N5" s="478"/>
      <c r="O5" s="478"/>
      <c r="P5" s="478"/>
      <c r="Q5" s="478"/>
      <c r="R5" s="478"/>
    </row>
    <row r="6" spans="2:19" ht="28.9">
      <c r="B6" s="132" t="s">
        <v>37</v>
      </c>
      <c r="C6" s="131" t="s">
        <v>38</v>
      </c>
      <c r="D6" s="131" t="s">
        <v>39</v>
      </c>
      <c r="E6" s="131" t="s">
        <v>40</v>
      </c>
      <c r="F6" s="132" t="s">
        <v>41</v>
      </c>
      <c r="G6" s="131" t="s">
        <v>6</v>
      </c>
      <c r="H6" s="132" t="s">
        <v>42</v>
      </c>
      <c r="I6" s="131" t="s">
        <v>8</v>
      </c>
      <c r="J6" s="131" t="s">
        <v>9</v>
      </c>
      <c r="K6" s="131" t="s">
        <v>46</v>
      </c>
      <c r="L6" s="131" t="s">
        <v>47</v>
      </c>
      <c r="M6" s="322" t="s">
        <v>41</v>
      </c>
      <c r="N6" s="323" t="s">
        <v>6</v>
      </c>
      <c r="O6" s="322" t="s">
        <v>42</v>
      </c>
      <c r="P6" s="323" t="s">
        <v>8</v>
      </c>
      <c r="Q6" s="323" t="s">
        <v>9</v>
      </c>
      <c r="R6" s="322" t="s">
        <v>46</v>
      </c>
    </row>
    <row r="7" spans="2:19" ht="29.45" thickBot="1">
      <c r="B7" s="484" t="s">
        <v>64</v>
      </c>
      <c r="C7" s="411" t="s">
        <v>49</v>
      </c>
      <c r="D7" s="412" t="s">
        <v>50</v>
      </c>
      <c r="E7" s="151" t="s">
        <v>51</v>
      </c>
      <c r="F7" s="127">
        <v>1323</v>
      </c>
      <c r="G7" s="413"/>
      <c r="H7" s="413">
        <f t="shared" ref="H7:H12" si="0">+F7+G7</f>
        <v>1323</v>
      </c>
      <c r="I7" s="194">
        <v>1231.1400000000001</v>
      </c>
      <c r="J7" s="413">
        <f t="shared" ref="J7:J12" si="1">+H7-I7</f>
        <v>91.8599999999999</v>
      </c>
      <c r="K7" s="414">
        <f t="shared" ref="K7:K10" si="2">+I7/H7</f>
        <v>0.93056689342403631</v>
      </c>
      <c r="L7" s="415"/>
      <c r="M7" s="416">
        <f t="shared" ref="M7:N12" si="3">+F7</f>
        <v>1323</v>
      </c>
      <c r="N7" s="416">
        <f t="shared" si="3"/>
        <v>0</v>
      </c>
      <c r="O7" s="416">
        <f>+M7+N7</f>
        <v>1323</v>
      </c>
      <c r="P7" s="416">
        <f t="shared" ref="P7:P12" si="4">+I7</f>
        <v>1231.1400000000001</v>
      </c>
      <c r="Q7" s="416">
        <f t="shared" ref="Q7:Q12" si="5">+O7-P7</f>
        <v>91.8599999999999</v>
      </c>
      <c r="R7" s="375">
        <f t="shared" ref="R7:R12" si="6">+P7/O7</f>
        <v>0.93056689342403631</v>
      </c>
    </row>
    <row r="8" spans="2:19">
      <c r="B8" s="485"/>
      <c r="C8" s="417" t="s">
        <v>52</v>
      </c>
      <c r="D8" s="418" t="s">
        <v>53</v>
      </c>
      <c r="E8" s="419" t="s">
        <v>51</v>
      </c>
      <c r="F8" s="420">
        <v>5007</v>
      </c>
      <c r="G8" s="421"/>
      <c r="H8" s="421">
        <f t="shared" si="0"/>
        <v>5007</v>
      </c>
      <c r="I8" s="165">
        <v>4992.4210000000003</v>
      </c>
      <c r="J8" s="413">
        <f t="shared" si="1"/>
        <v>14.578999999999724</v>
      </c>
      <c r="K8" s="414">
        <f t="shared" si="2"/>
        <v>0.99708827641302178</v>
      </c>
      <c r="L8" s="422">
        <v>45425</v>
      </c>
      <c r="M8" s="416">
        <f t="shared" si="3"/>
        <v>5007</v>
      </c>
      <c r="N8" s="416">
        <f t="shared" si="3"/>
        <v>0</v>
      </c>
      <c r="O8" s="416">
        <f>+M8+N8</f>
        <v>5007</v>
      </c>
      <c r="P8" s="416">
        <f t="shared" si="4"/>
        <v>4992.4210000000003</v>
      </c>
      <c r="Q8" s="416">
        <f t="shared" si="5"/>
        <v>14.578999999999724</v>
      </c>
      <c r="R8" s="375">
        <f t="shared" si="6"/>
        <v>0.99708827641302178</v>
      </c>
    </row>
    <row r="9" spans="2:19">
      <c r="B9" s="486"/>
      <c r="C9" s="107" t="s">
        <v>54</v>
      </c>
      <c r="D9" s="423" t="s">
        <v>27</v>
      </c>
      <c r="E9" s="151" t="s">
        <v>51</v>
      </c>
      <c r="F9" s="424">
        <v>700</v>
      </c>
      <c r="G9" s="413"/>
      <c r="H9" s="413">
        <f t="shared" si="0"/>
        <v>700</v>
      </c>
      <c r="I9" s="425"/>
      <c r="J9" s="413">
        <f t="shared" si="1"/>
        <v>700</v>
      </c>
      <c r="K9" s="414">
        <f>+I9/H9</f>
        <v>0</v>
      </c>
      <c r="L9" s="415"/>
      <c r="M9" s="105">
        <f t="shared" si="3"/>
        <v>700</v>
      </c>
      <c r="N9" s="105">
        <f t="shared" si="3"/>
        <v>0</v>
      </c>
      <c r="O9" s="105">
        <f>+H9</f>
        <v>700</v>
      </c>
      <c r="P9" s="105">
        <f t="shared" si="4"/>
        <v>0</v>
      </c>
      <c r="Q9" s="105">
        <f t="shared" si="5"/>
        <v>700</v>
      </c>
      <c r="R9" s="106">
        <f t="shared" si="6"/>
        <v>0</v>
      </c>
    </row>
    <row r="10" spans="2:19" ht="15" customHeight="1">
      <c r="B10" s="481" t="s">
        <v>65</v>
      </c>
      <c r="C10" s="426" t="s">
        <v>66</v>
      </c>
      <c r="D10" s="427" t="s">
        <v>57</v>
      </c>
      <c r="E10" s="428" t="s">
        <v>51</v>
      </c>
      <c r="F10" s="429">
        <v>1215</v>
      </c>
      <c r="G10" s="430"/>
      <c r="H10" s="431">
        <f t="shared" si="0"/>
        <v>1215</v>
      </c>
      <c r="I10" s="313">
        <v>1072</v>
      </c>
      <c r="J10" s="431">
        <f t="shared" si="1"/>
        <v>143</v>
      </c>
      <c r="K10" s="432">
        <f t="shared" si="2"/>
        <v>0.8823045267489712</v>
      </c>
      <c r="L10" s="433"/>
      <c r="M10" s="434">
        <f t="shared" si="3"/>
        <v>1215</v>
      </c>
      <c r="N10" s="434">
        <f t="shared" si="3"/>
        <v>0</v>
      </c>
      <c r="O10" s="434">
        <f>+M10+N10</f>
        <v>1215</v>
      </c>
      <c r="P10" s="434">
        <f t="shared" si="4"/>
        <v>1072</v>
      </c>
      <c r="Q10" s="434">
        <f t="shared" si="5"/>
        <v>143</v>
      </c>
      <c r="R10" s="435">
        <f t="shared" si="6"/>
        <v>0.8823045267489712</v>
      </c>
      <c r="S10" s="163"/>
    </row>
    <row r="11" spans="2:19">
      <c r="B11" s="482"/>
      <c r="C11" s="436" t="s">
        <v>58</v>
      </c>
      <c r="D11" s="437" t="s">
        <v>67</v>
      </c>
      <c r="E11" s="438" t="s">
        <v>51</v>
      </c>
      <c r="F11" s="439">
        <v>1215</v>
      </c>
      <c r="G11" s="440"/>
      <c r="H11" s="441">
        <f t="shared" si="0"/>
        <v>1215</v>
      </c>
      <c r="I11" s="197">
        <f>'[1]CUOTAS ARTESANALES'!$E$5</f>
        <v>730.76300000000003</v>
      </c>
      <c r="J11" s="441">
        <f t="shared" si="1"/>
        <v>484.23699999999997</v>
      </c>
      <c r="K11" s="432">
        <f>+I11/H11</f>
        <v>0.60145102880658441</v>
      </c>
      <c r="L11" s="433"/>
      <c r="M11" s="434">
        <f t="shared" si="3"/>
        <v>1215</v>
      </c>
      <c r="N11" s="434">
        <f t="shared" si="3"/>
        <v>0</v>
      </c>
      <c r="O11" s="434">
        <f>+M11+N11</f>
        <v>1215</v>
      </c>
      <c r="P11" s="434">
        <f t="shared" si="4"/>
        <v>730.76300000000003</v>
      </c>
      <c r="Q11" s="434">
        <f t="shared" si="5"/>
        <v>484.23699999999997</v>
      </c>
      <c r="R11" s="435">
        <f>+P11/O11</f>
        <v>0.60145102880658441</v>
      </c>
      <c r="S11" s="163"/>
    </row>
    <row r="12" spans="2:19">
      <c r="B12" s="483"/>
      <c r="C12" s="442" t="s">
        <v>54</v>
      </c>
      <c r="D12" s="443" t="s">
        <v>29</v>
      </c>
      <c r="E12" s="444" t="s">
        <v>51</v>
      </c>
      <c r="F12" s="445">
        <v>50</v>
      </c>
      <c r="G12" s="403"/>
      <c r="H12" s="441">
        <f t="shared" si="0"/>
        <v>50</v>
      </c>
      <c r="I12" s="446">
        <f>8.332+18</f>
        <v>26.332000000000001</v>
      </c>
      <c r="J12" s="441">
        <f t="shared" si="1"/>
        <v>23.667999999999999</v>
      </c>
      <c r="K12" s="432">
        <f>+I12/H12</f>
        <v>0.52664</v>
      </c>
      <c r="L12" s="447"/>
      <c r="M12" s="434">
        <f t="shared" si="3"/>
        <v>50</v>
      </c>
      <c r="N12" s="434">
        <f t="shared" si="3"/>
        <v>0</v>
      </c>
      <c r="O12" s="434">
        <f>+M12+N12</f>
        <v>50</v>
      </c>
      <c r="P12" s="434">
        <f t="shared" si="4"/>
        <v>26.332000000000001</v>
      </c>
      <c r="Q12" s="434">
        <f t="shared" si="5"/>
        <v>23.667999999999999</v>
      </c>
      <c r="R12" s="448">
        <f t="shared" si="6"/>
        <v>0.52664</v>
      </c>
      <c r="S12" s="163"/>
    </row>
    <row r="13" spans="2:19">
      <c r="F13" s="38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</row>
    <row r="14" spans="2:19"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</row>
    <row r="20" spans="9:9">
      <c r="I20" s="377"/>
    </row>
    <row r="22" spans="9:9">
      <c r="I22" s="198"/>
    </row>
  </sheetData>
  <mergeCells count="5">
    <mergeCell ref="B10:B12"/>
    <mergeCell ref="B7:B9"/>
    <mergeCell ref="B2:R3"/>
    <mergeCell ref="B4:R4"/>
    <mergeCell ref="M5:R5"/>
  </mergeCells>
  <conditionalFormatting sqref="J7:J12">
    <cfRule type="cellIs" dxfId="7" priority="3" operator="lessThan">
      <formula>0</formula>
    </cfRule>
  </conditionalFormatting>
  <conditionalFormatting sqref="K7:K12">
    <cfRule type="cellIs" dxfId="6" priority="2" operator="greaterThan">
      <formula>0.9</formula>
    </cfRule>
  </conditionalFormatting>
  <conditionalFormatting sqref="R7:R12">
    <cfRule type="cellIs" dxfId="5" priority="1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H8 O9:O12 O8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U199"/>
  <sheetViews>
    <sheetView zoomScale="85" zoomScaleNormal="85" workbookViewId="0">
      <pane ySplit="4" topLeftCell="A5" activePane="bottomLeft" state="frozen"/>
      <selection pane="bottomLeft" activeCell="R99" sqref="R99"/>
      <selection activeCell="K47" sqref="K47:K54"/>
    </sheetView>
  </sheetViews>
  <sheetFormatPr defaultColWidth="11.42578125" defaultRowHeight="14.45"/>
  <cols>
    <col min="1" max="1" width="4.5703125" style="36" customWidth="1"/>
    <col min="2" max="2" width="9.140625" style="36" bestFit="1" customWidth="1"/>
    <col min="3" max="3" width="13.140625" style="36" customWidth="1"/>
    <col min="4" max="5" width="11.42578125" style="36"/>
    <col min="6" max="6" width="27.7109375" style="36" customWidth="1"/>
    <col min="7" max="8" width="11.42578125" style="36"/>
    <col min="9" max="9" width="10.42578125" style="36" bestFit="1" customWidth="1"/>
    <col min="10" max="10" width="11.85546875" style="36" bestFit="1" customWidth="1"/>
    <col min="11" max="11" width="12.7109375" style="36" bestFit="1" customWidth="1"/>
    <col min="12" max="13" width="10" style="36" customWidth="1"/>
    <col min="14" max="14" width="13.42578125" style="36" customWidth="1"/>
    <col min="15" max="15" width="13.5703125" style="36" customWidth="1"/>
    <col min="16" max="16" width="11.42578125" style="36"/>
    <col min="17" max="17" width="17.7109375" style="36" customWidth="1"/>
    <col min="18" max="18" width="24.140625" style="36" bestFit="1" customWidth="1"/>
    <col min="19" max="19" width="13" style="36" bestFit="1" customWidth="1"/>
    <col min="20" max="20" width="15" style="36" bestFit="1" customWidth="1"/>
    <col min="21" max="21" width="16.42578125" style="36" bestFit="1" customWidth="1"/>
    <col min="22" max="16384" width="11.42578125" style="36"/>
  </cols>
  <sheetData>
    <row r="1" spans="2:21" ht="15" thickBot="1"/>
    <row r="2" spans="2:21" ht="15" thickBot="1">
      <c r="H2" s="504" t="s">
        <v>68</v>
      </c>
      <c r="I2" s="505"/>
      <c r="J2" s="505"/>
      <c r="K2" s="505"/>
      <c r="L2" s="508" t="s">
        <v>69</v>
      </c>
      <c r="M2" s="508"/>
      <c r="N2" s="508"/>
      <c r="O2" s="508"/>
    </row>
    <row r="3" spans="2:21" ht="15" thickBot="1">
      <c r="H3" s="43" t="s">
        <v>70</v>
      </c>
      <c r="I3" s="43" t="s">
        <v>71</v>
      </c>
      <c r="J3" s="43" t="s">
        <v>72</v>
      </c>
      <c r="K3" s="115" t="s">
        <v>73</v>
      </c>
      <c r="L3" s="131" t="s">
        <v>70</v>
      </c>
      <c r="M3" s="131" t="s">
        <v>71</v>
      </c>
      <c r="N3" s="131" t="s">
        <v>72</v>
      </c>
      <c r="O3" s="131" t="s">
        <v>73</v>
      </c>
      <c r="Q3" s="509" t="s">
        <v>74</v>
      </c>
      <c r="R3" s="509"/>
      <c r="S3" s="510"/>
      <c r="T3" s="510"/>
      <c r="U3" s="510"/>
    </row>
    <row r="4" spans="2:21" ht="28.9">
      <c r="B4" s="46" t="s">
        <v>75</v>
      </c>
      <c r="C4" s="47" t="s">
        <v>76</v>
      </c>
      <c r="D4" s="48" t="s">
        <v>77</v>
      </c>
      <c r="E4" s="47" t="s">
        <v>78</v>
      </c>
      <c r="F4" s="47" t="s">
        <v>79</v>
      </c>
      <c r="G4" s="47" t="s">
        <v>80</v>
      </c>
      <c r="H4" s="47" t="s">
        <v>12</v>
      </c>
      <c r="I4" s="47" t="s">
        <v>12</v>
      </c>
      <c r="J4" s="47" t="s">
        <v>12</v>
      </c>
      <c r="K4" s="116" t="s">
        <v>12</v>
      </c>
      <c r="L4" s="132" t="s">
        <v>24</v>
      </c>
      <c r="M4" s="132" t="s">
        <v>24</v>
      </c>
      <c r="N4" s="132" t="s">
        <v>24</v>
      </c>
      <c r="O4" s="132" t="s">
        <v>24</v>
      </c>
      <c r="Q4" s="257" t="s">
        <v>70</v>
      </c>
      <c r="R4" s="257" t="s">
        <v>70</v>
      </c>
      <c r="S4" s="257" t="s">
        <v>71</v>
      </c>
      <c r="T4" s="257" t="s">
        <v>72</v>
      </c>
      <c r="U4" s="257" t="s">
        <v>73</v>
      </c>
    </row>
    <row r="5" spans="2:21">
      <c r="B5" s="260" t="s">
        <v>81</v>
      </c>
      <c r="C5" s="261">
        <v>45342</v>
      </c>
      <c r="D5" s="260">
        <v>456</v>
      </c>
      <c r="E5" s="260" t="s">
        <v>82</v>
      </c>
      <c r="F5" s="260" t="s">
        <v>83</v>
      </c>
      <c r="G5" s="260">
        <v>701438</v>
      </c>
      <c r="H5" s="506">
        <v>3173.2089999999998</v>
      </c>
      <c r="I5" s="260"/>
      <c r="J5" s="506">
        <f>H5-(SUM(I5:I15))</f>
        <v>2399.9539999999997</v>
      </c>
      <c r="K5" s="507">
        <f>(SUM(I5:I15))/H5</f>
        <v>0.24368234175561715</v>
      </c>
      <c r="L5" s="260"/>
      <c r="M5" s="260"/>
      <c r="N5" s="260"/>
      <c r="O5" s="260"/>
      <c r="Q5" s="103" t="s">
        <v>84</v>
      </c>
      <c r="R5" s="104">
        <f>H5+H16+H54+H97+H104+H110+H120+H185+H193+H172+H199</f>
        <v>148139.56800000003</v>
      </c>
      <c r="S5" s="380">
        <f>SUM(I5:I276)</f>
        <v>81997.307000000001</v>
      </c>
      <c r="T5" s="104">
        <f>R5-S5</f>
        <v>66142.261000000028</v>
      </c>
      <c r="U5" s="108">
        <f>S5/R5</f>
        <v>0.55351387955984843</v>
      </c>
    </row>
    <row r="6" spans="2:21">
      <c r="B6" s="260" t="s">
        <v>81</v>
      </c>
      <c r="C6" s="261">
        <v>45342</v>
      </c>
      <c r="D6" s="260">
        <v>456</v>
      </c>
      <c r="E6" s="260" t="s">
        <v>82</v>
      </c>
      <c r="F6" s="260" t="s">
        <v>85</v>
      </c>
      <c r="G6" s="260">
        <v>699687</v>
      </c>
      <c r="H6" s="506"/>
      <c r="I6" s="262">
        <v>124.289</v>
      </c>
      <c r="J6" s="506"/>
      <c r="K6" s="507"/>
      <c r="L6" s="260"/>
      <c r="M6" s="260"/>
      <c r="N6" s="260"/>
      <c r="O6" s="260"/>
      <c r="Q6" s="103" t="s">
        <v>86</v>
      </c>
      <c r="R6" s="104">
        <f>SUM(L25:L199)</f>
        <v>3370</v>
      </c>
      <c r="S6" s="104">
        <f>SUM(M25:M268)</f>
        <v>1518.5260000000005</v>
      </c>
      <c r="T6" s="104">
        <f>R6-S6</f>
        <v>1851.4739999999995</v>
      </c>
      <c r="U6" s="108">
        <f>S6/R6</f>
        <v>0.45060118694362034</v>
      </c>
    </row>
    <row r="7" spans="2:21">
      <c r="B7" s="260" t="s">
        <v>81</v>
      </c>
      <c r="C7" s="261">
        <v>45342</v>
      </c>
      <c r="D7" s="260">
        <v>456</v>
      </c>
      <c r="E7" s="260" t="s">
        <v>82</v>
      </c>
      <c r="F7" s="260" t="s">
        <v>87</v>
      </c>
      <c r="G7" s="260">
        <v>967544</v>
      </c>
      <c r="H7" s="506"/>
      <c r="I7" s="260"/>
      <c r="J7" s="506"/>
      <c r="K7" s="507"/>
      <c r="L7" s="260"/>
      <c r="M7" s="260"/>
      <c r="N7" s="260"/>
      <c r="O7" s="260"/>
      <c r="Q7" s="195" t="s">
        <v>34</v>
      </c>
      <c r="R7" s="130">
        <f>R5+R6</f>
        <v>151509.56800000003</v>
      </c>
      <c r="S7" s="130">
        <f t="shared" ref="S7:T7" si="0">S5+S6</f>
        <v>83515.832999999999</v>
      </c>
      <c r="T7" s="130">
        <f t="shared" si="0"/>
        <v>67993.73500000003</v>
      </c>
      <c r="U7" s="238">
        <f>S7/R7</f>
        <v>0.55122481109575849</v>
      </c>
    </row>
    <row r="8" spans="2:21">
      <c r="B8" s="260" t="s">
        <v>81</v>
      </c>
      <c r="C8" s="261">
        <v>45342</v>
      </c>
      <c r="D8" s="260">
        <v>456</v>
      </c>
      <c r="E8" s="260" t="s">
        <v>82</v>
      </c>
      <c r="F8" s="260" t="s">
        <v>88</v>
      </c>
      <c r="G8" s="260">
        <v>968274</v>
      </c>
      <c r="H8" s="506"/>
      <c r="I8" s="260"/>
      <c r="J8" s="506"/>
      <c r="K8" s="507"/>
      <c r="L8" s="260"/>
      <c r="M8" s="260"/>
      <c r="N8" s="260"/>
      <c r="O8" s="260"/>
      <c r="Q8" s="254"/>
      <c r="R8" s="255"/>
      <c r="S8" s="255"/>
      <c r="T8" s="255"/>
      <c r="U8" s="256"/>
    </row>
    <row r="9" spans="2:21">
      <c r="B9" s="260" t="s">
        <v>81</v>
      </c>
      <c r="C9" s="261">
        <v>45342</v>
      </c>
      <c r="D9" s="260">
        <v>456</v>
      </c>
      <c r="E9" s="260" t="s">
        <v>89</v>
      </c>
      <c r="F9" s="260" t="s">
        <v>90</v>
      </c>
      <c r="G9" s="260">
        <v>968447</v>
      </c>
      <c r="H9" s="506"/>
      <c r="I9" s="260"/>
      <c r="J9" s="506"/>
      <c r="K9" s="507"/>
      <c r="L9" s="260"/>
      <c r="M9" s="260"/>
      <c r="N9" s="260"/>
      <c r="O9" s="260"/>
      <c r="Q9" s="57"/>
      <c r="U9" s="166"/>
    </row>
    <row r="10" spans="2:21">
      <c r="B10" s="260" t="s">
        <v>81</v>
      </c>
      <c r="C10" s="261">
        <v>45342</v>
      </c>
      <c r="D10" s="260">
        <v>456</v>
      </c>
      <c r="E10" s="260" t="s">
        <v>89</v>
      </c>
      <c r="F10" s="260" t="s">
        <v>91</v>
      </c>
      <c r="G10" s="260">
        <v>969068</v>
      </c>
      <c r="H10" s="506"/>
      <c r="I10" s="260"/>
      <c r="J10" s="506"/>
      <c r="K10" s="507"/>
      <c r="L10" s="260"/>
      <c r="M10" s="260"/>
      <c r="N10" s="260"/>
      <c r="O10" s="260"/>
      <c r="Q10" s="57"/>
      <c r="U10" s="166"/>
    </row>
    <row r="11" spans="2:21">
      <c r="B11" s="260" t="s">
        <v>81</v>
      </c>
      <c r="C11" s="261">
        <v>45342</v>
      </c>
      <c r="D11" s="260">
        <v>456</v>
      </c>
      <c r="E11" s="260" t="s">
        <v>82</v>
      </c>
      <c r="F11" s="260" t="s">
        <v>92</v>
      </c>
      <c r="G11" s="260">
        <v>699329</v>
      </c>
      <c r="H11" s="506"/>
      <c r="I11" s="260"/>
      <c r="J11" s="506"/>
      <c r="K11" s="507"/>
      <c r="L11" s="260"/>
      <c r="M11" s="260"/>
      <c r="N11" s="260"/>
      <c r="O11" s="260"/>
      <c r="Q11" s="57"/>
      <c r="U11" s="166"/>
    </row>
    <row r="12" spans="2:21">
      <c r="B12" s="260" t="s">
        <v>81</v>
      </c>
      <c r="C12" s="261">
        <v>45342</v>
      </c>
      <c r="D12" s="260">
        <v>456</v>
      </c>
      <c r="E12" s="260" t="s">
        <v>82</v>
      </c>
      <c r="F12" s="260" t="s">
        <v>93</v>
      </c>
      <c r="G12" s="260">
        <v>702709</v>
      </c>
      <c r="H12" s="506"/>
      <c r="I12" s="262">
        <v>434.89000000000004</v>
      </c>
      <c r="J12" s="506"/>
      <c r="K12" s="507"/>
      <c r="L12" s="260"/>
      <c r="M12" s="260"/>
      <c r="N12" s="260"/>
      <c r="O12" s="260"/>
      <c r="Q12" s="57"/>
      <c r="U12" s="166"/>
    </row>
    <row r="13" spans="2:21">
      <c r="B13" s="260" t="s">
        <v>81</v>
      </c>
      <c r="C13" s="261">
        <v>45342</v>
      </c>
      <c r="D13" s="260">
        <v>456</v>
      </c>
      <c r="E13" s="260" t="s">
        <v>82</v>
      </c>
      <c r="F13" s="260" t="s">
        <v>94</v>
      </c>
      <c r="G13" s="260">
        <v>702802</v>
      </c>
      <c r="H13" s="506"/>
      <c r="I13" s="262">
        <v>214.07599999999996</v>
      </c>
      <c r="J13" s="506"/>
      <c r="K13" s="507"/>
      <c r="L13" s="260"/>
      <c r="M13" s="260"/>
      <c r="N13" s="260"/>
      <c r="O13" s="260"/>
      <c r="Q13" s="57"/>
      <c r="U13" s="166"/>
    </row>
    <row r="14" spans="2:21">
      <c r="B14" s="260" t="s">
        <v>81</v>
      </c>
      <c r="C14" s="261">
        <v>45342</v>
      </c>
      <c r="D14" s="260">
        <v>456</v>
      </c>
      <c r="E14" s="260" t="s">
        <v>82</v>
      </c>
      <c r="F14" s="260" t="s">
        <v>95</v>
      </c>
      <c r="G14" s="260">
        <v>703243</v>
      </c>
      <c r="H14" s="506"/>
      <c r="I14" s="262"/>
      <c r="J14" s="506"/>
      <c r="K14" s="507"/>
      <c r="L14" s="260"/>
      <c r="M14" s="260"/>
      <c r="N14" s="260"/>
      <c r="O14" s="260"/>
      <c r="Q14" s="57"/>
      <c r="U14" s="166"/>
    </row>
    <row r="15" spans="2:21">
      <c r="B15" s="260" t="s">
        <v>81</v>
      </c>
      <c r="C15" s="261">
        <v>45342</v>
      </c>
      <c r="D15" s="260">
        <v>456</v>
      </c>
      <c r="E15" s="260" t="s">
        <v>82</v>
      </c>
      <c r="F15" s="260" t="s">
        <v>96</v>
      </c>
      <c r="G15" s="260">
        <v>700798</v>
      </c>
      <c r="H15" s="506"/>
      <c r="I15" s="260"/>
      <c r="J15" s="506"/>
      <c r="K15" s="507"/>
      <c r="L15" s="260"/>
      <c r="M15" s="260"/>
      <c r="N15" s="260"/>
      <c r="O15" s="260"/>
    </row>
    <row r="16" spans="2:21">
      <c r="B16" s="263" t="s">
        <v>81</v>
      </c>
      <c r="C16" s="264">
        <v>45348</v>
      </c>
      <c r="D16" s="263">
        <v>494</v>
      </c>
      <c r="E16" s="263" t="s">
        <v>82</v>
      </c>
      <c r="F16" s="263" t="s">
        <v>83</v>
      </c>
      <c r="G16" s="263">
        <v>701438</v>
      </c>
      <c r="H16" s="516">
        <v>16731.47</v>
      </c>
      <c r="I16" s="265"/>
      <c r="J16" s="516">
        <f>H16-(SUM(I17:I24))</f>
        <v>16589.490000000002</v>
      </c>
      <c r="K16" s="521">
        <f>(SUM(I16:I24))/H16</f>
        <v>8.4858054910895448E-3</v>
      </c>
      <c r="L16" s="263"/>
      <c r="M16" s="263"/>
      <c r="N16" s="263"/>
      <c r="O16" s="263"/>
    </row>
    <row r="17" spans="2:15">
      <c r="B17" s="263" t="s">
        <v>81</v>
      </c>
      <c r="C17" s="264">
        <v>45348</v>
      </c>
      <c r="D17" s="263">
        <v>494</v>
      </c>
      <c r="E17" s="263" t="s">
        <v>82</v>
      </c>
      <c r="F17" s="263" t="s">
        <v>85</v>
      </c>
      <c r="G17" s="263">
        <v>699687</v>
      </c>
      <c r="H17" s="517"/>
      <c r="I17" s="266"/>
      <c r="J17" s="517"/>
      <c r="K17" s="522"/>
      <c r="L17" s="263"/>
      <c r="M17" s="263"/>
      <c r="N17" s="263"/>
      <c r="O17" s="263"/>
    </row>
    <row r="18" spans="2:15">
      <c r="B18" s="263" t="s">
        <v>81</v>
      </c>
      <c r="C18" s="264">
        <v>45348</v>
      </c>
      <c r="D18" s="263">
        <v>494</v>
      </c>
      <c r="E18" s="263" t="s">
        <v>82</v>
      </c>
      <c r="F18" s="263" t="s">
        <v>87</v>
      </c>
      <c r="G18" s="263">
        <v>967544</v>
      </c>
      <c r="H18" s="517"/>
      <c r="I18" s="267"/>
      <c r="J18" s="517"/>
      <c r="K18" s="522"/>
      <c r="L18" s="263"/>
      <c r="M18" s="263"/>
      <c r="N18" s="263"/>
      <c r="O18" s="263"/>
    </row>
    <row r="19" spans="2:15">
      <c r="B19" s="263" t="s">
        <v>81</v>
      </c>
      <c r="C19" s="264">
        <v>45348</v>
      </c>
      <c r="D19" s="263">
        <v>494</v>
      </c>
      <c r="E19" s="263" t="s">
        <v>82</v>
      </c>
      <c r="F19" s="263" t="s">
        <v>97</v>
      </c>
      <c r="G19" s="263">
        <v>968274</v>
      </c>
      <c r="H19" s="517"/>
      <c r="I19" s="266">
        <v>118.85</v>
      </c>
      <c r="J19" s="517"/>
      <c r="K19" s="522"/>
      <c r="L19" s="263"/>
      <c r="M19" s="263"/>
      <c r="N19" s="263"/>
      <c r="O19" s="263"/>
    </row>
    <row r="20" spans="2:15">
      <c r="B20" s="263" t="s">
        <v>81</v>
      </c>
      <c r="C20" s="264">
        <v>45348</v>
      </c>
      <c r="D20" s="263">
        <v>494</v>
      </c>
      <c r="E20" s="263" t="s">
        <v>89</v>
      </c>
      <c r="F20" s="263" t="s">
        <v>90</v>
      </c>
      <c r="G20" s="263">
        <v>968447</v>
      </c>
      <c r="H20" s="517"/>
      <c r="I20" s="266"/>
      <c r="J20" s="517"/>
      <c r="K20" s="522"/>
      <c r="L20" s="263"/>
      <c r="M20" s="263"/>
      <c r="N20" s="263"/>
      <c r="O20" s="263"/>
    </row>
    <row r="21" spans="2:15">
      <c r="B21" s="263" t="s">
        <v>81</v>
      </c>
      <c r="C21" s="264">
        <v>45348</v>
      </c>
      <c r="D21" s="263">
        <v>494</v>
      </c>
      <c r="E21" s="263" t="s">
        <v>89</v>
      </c>
      <c r="F21" s="263" t="s">
        <v>91</v>
      </c>
      <c r="G21" s="263">
        <v>969068</v>
      </c>
      <c r="H21" s="517"/>
      <c r="I21" s="266"/>
      <c r="J21" s="517"/>
      <c r="K21" s="522"/>
      <c r="L21" s="263"/>
      <c r="M21" s="263"/>
      <c r="N21" s="263"/>
      <c r="O21" s="263"/>
    </row>
    <row r="22" spans="2:15">
      <c r="B22" s="263" t="s">
        <v>81</v>
      </c>
      <c r="C22" s="264">
        <v>45348</v>
      </c>
      <c r="D22" s="263">
        <v>494</v>
      </c>
      <c r="E22" s="263" t="s">
        <v>82</v>
      </c>
      <c r="F22" s="263" t="s">
        <v>92</v>
      </c>
      <c r="G22" s="263">
        <v>699329</v>
      </c>
      <c r="H22" s="517"/>
      <c r="I22" s="319"/>
      <c r="J22" s="517"/>
      <c r="K22" s="522"/>
      <c r="L22" s="263"/>
      <c r="M22" s="263"/>
      <c r="N22" s="263"/>
      <c r="O22" s="263"/>
    </row>
    <row r="23" spans="2:15">
      <c r="B23" s="263"/>
      <c r="C23" s="264"/>
      <c r="D23" s="263"/>
      <c r="E23" s="263"/>
      <c r="F23" s="263" t="s">
        <v>98</v>
      </c>
      <c r="G23" s="263"/>
      <c r="H23" s="517"/>
      <c r="I23" s="267">
        <v>23.13</v>
      </c>
      <c r="J23" s="517"/>
      <c r="K23" s="522"/>
      <c r="L23" s="263"/>
      <c r="M23" s="263"/>
      <c r="N23" s="263"/>
      <c r="O23" s="263"/>
    </row>
    <row r="24" spans="2:15">
      <c r="B24" s="263" t="s">
        <v>81</v>
      </c>
      <c r="C24" s="264">
        <v>45348</v>
      </c>
      <c r="D24" s="263">
        <v>494</v>
      </c>
      <c r="E24" s="263" t="s">
        <v>82</v>
      </c>
      <c r="F24" s="263" t="s">
        <v>96</v>
      </c>
      <c r="G24" s="263">
        <v>700798</v>
      </c>
      <c r="H24" s="518"/>
      <c r="I24" s="266"/>
      <c r="J24" s="518"/>
      <c r="K24" s="523"/>
      <c r="L24" s="263"/>
      <c r="M24" s="263"/>
      <c r="N24" s="263"/>
      <c r="O24" s="263"/>
    </row>
    <row r="25" spans="2:15">
      <c r="B25" s="122" t="s">
        <v>81</v>
      </c>
      <c r="C25" s="268">
        <v>45400</v>
      </c>
      <c r="D25" s="122">
        <v>968</v>
      </c>
      <c r="E25" s="122" t="s">
        <v>18</v>
      </c>
      <c r="F25" s="122" t="s">
        <v>99</v>
      </c>
      <c r="G25" s="122">
        <v>969394</v>
      </c>
      <c r="H25" s="515"/>
      <c r="I25" s="122"/>
      <c r="J25" s="122"/>
      <c r="K25" s="269"/>
      <c r="L25" s="515">
        <v>890</v>
      </c>
      <c r="M25" s="122"/>
      <c r="N25" s="524">
        <f>L25-(SUM(M25:M28))</f>
        <v>591.48500000000001</v>
      </c>
      <c r="O25" s="527">
        <f>(SUM(M25:M29)/N25)</f>
        <v>0.57976110974919048</v>
      </c>
    </row>
    <row r="26" spans="2:15">
      <c r="B26" s="122" t="s">
        <v>81</v>
      </c>
      <c r="C26" s="268">
        <v>45400</v>
      </c>
      <c r="D26" s="122">
        <v>968</v>
      </c>
      <c r="E26" s="122" t="s">
        <v>18</v>
      </c>
      <c r="F26" s="122" t="s">
        <v>100</v>
      </c>
      <c r="G26" s="122">
        <v>968796</v>
      </c>
      <c r="H26" s="515"/>
      <c r="I26" s="122"/>
      <c r="J26" s="122"/>
      <c r="K26" s="269"/>
      <c r="L26" s="515"/>
      <c r="M26" s="270">
        <v>10.015000000000001</v>
      </c>
      <c r="N26" s="525"/>
      <c r="O26" s="527"/>
    </row>
    <row r="27" spans="2:15">
      <c r="B27" s="122" t="s">
        <v>81</v>
      </c>
      <c r="C27" s="268">
        <v>45400</v>
      </c>
      <c r="D27" s="122">
        <v>968</v>
      </c>
      <c r="E27" s="122" t="s">
        <v>18</v>
      </c>
      <c r="F27" s="122" t="s">
        <v>101</v>
      </c>
      <c r="G27" s="122">
        <v>701560</v>
      </c>
      <c r="H27" s="515"/>
      <c r="I27" s="122"/>
      <c r="J27" s="122"/>
      <c r="K27" s="269"/>
      <c r="L27" s="515"/>
      <c r="M27" s="270">
        <v>66.844999999999999</v>
      </c>
      <c r="N27" s="525"/>
      <c r="O27" s="527"/>
    </row>
    <row r="28" spans="2:15">
      <c r="B28" s="122" t="s">
        <v>81</v>
      </c>
      <c r="C28" s="268">
        <v>45400</v>
      </c>
      <c r="D28" s="122">
        <v>968</v>
      </c>
      <c r="E28" s="122" t="s">
        <v>18</v>
      </c>
      <c r="F28" s="122" t="s">
        <v>102</v>
      </c>
      <c r="G28" s="122">
        <v>701277</v>
      </c>
      <c r="H28" s="515"/>
      <c r="I28" s="122"/>
      <c r="J28" s="122"/>
      <c r="K28" s="269"/>
      <c r="L28" s="515"/>
      <c r="M28" s="270">
        <v>221.655</v>
      </c>
      <c r="N28" s="525"/>
      <c r="O28" s="527"/>
    </row>
    <row r="29" spans="2:15">
      <c r="B29" s="122" t="s">
        <v>81</v>
      </c>
      <c r="C29" s="268">
        <v>45400</v>
      </c>
      <c r="D29" s="122">
        <v>968</v>
      </c>
      <c r="E29" s="122" t="s">
        <v>18</v>
      </c>
      <c r="F29" s="122" t="s">
        <v>103</v>
      </c>
      <c r="G29" s="122">
        <v>697270</v>
      </c>
      <c r="H29" s="515"/>
      <c r="I29" s="122"/>
      <c r="J29" s="122"/>
      <c r="K29" s="269"/>
      <c r="L29" s="515"/>
      <c r="M29" s="270">
        <v>44.405000000000001</v>
      </c>
      <c r="N29" s="526"/>
      <c r="O29" s="527"/>
    </row>
    <row r="30" spans="2:15">
      <c r="B30" s="271" t="s">
        <v>81</v>
      </c>
      <c r="C30" s="272">
        <v>45400</v>
      </c>
      <c r="D30" s="271">
        <v>973</v>
      </c>
      <c r="E30" s="271" t="s">
        <v>20</v>
      </c>
      <c r="F30" s="271" t="s">
        <v>104</v>
      </c>
      <c r="G30" s="271">
        <v>698764</v>
      </c>
      <c r="H30" s="271"/>
      <c r="I30" s="271"/>
      <c r="J30" s="271"/>
      <c r="K30" s="271"/>
      <c r="L30" s="520">
        <v>380</v>
      </c>
      <c r="M30" s="271"/>
      <c r="N30" s="520">
        <f>L30-(SUM(M30:M53))</f>
        <v>345.61799999999999</v>
      </c>
      <c r="O30" s="519">
        <f>(SUM(M30:M53)/N30)</f>
        <v>9.9479772465554478E-2</v>
      </c>
    </row>
    <row r="31" spans="2:15">
      <c r="B31" s="271" t="s">
        <v>81</v>
      </c>
      <c r="C31" s="272">
        <v>45400</v>
      </c>
      <c r="D31" s="271">
        <v>973</v>
      </c>
      <c r="E31" s="271" t="s">
        <v>20</v>
      </c>
      <c r="F31" s="271" t="s">
        <v>105</v>
      </c>
      <c r="G31" s="271">
        <v>697578</v>
      </c>
      <c r="H31" s="271"/>
      <c r="I31" s="271"/>
      <c r="J31" s="271"/>
      <c r="K31" s="271"/>
      <c r="L31" s="520"/>
      <c r="M31" s="271">
        <v>1.167</v>
      </c>
      <c r="N31" s="520"/>
      <c r="O31" s="519"/>
    </row>
    <row r="32" spans="2:15">
      <c r="B32" s="271" t="s">
        <v>81</v>
      </c>
      <c r="C32" s="272">
        <v>45400</v>
      </c>
      <c r="D32" s="271">
        <v>973</v>
      </c>
      <c r="E32" s="271" t="s">
        <v>20</v>
      </c>
      <c r="F32" s="271" t="s">
        <v>106</v>
      </c>
      <c r="G32" s="271">
        <v>965267</v>
      </c>
      <c r="H32" s="271"/>
      <c r="I32" s="271"/>
      <c r="J32" s="271"/>
      <c r="K32" s="271"/>
      <c r="L32" s="520"/>
      <c r="M32" s="271">
        <v>19.814</v>
      </c>
      <c r="N32" s="520"/>
      <c r="O32" s="519"/>
    </row>
    <row r="33" spans="2:15">
      <c r="B33" s="271" t="s">
        <v>81</v>
      </c>
      <c r="C33" s="272">
        <v>45400</v>
      </c>
      <c r="D33" s="271">
        <v>973</v>
      </c>
      <c r="E33" s="271" t="s">
        <v>20</v>
      </c>
      <c r="F33" s="271" t="s">
        <v>107</v>
      </c>
      <c r="G33" s="271">
        <v>969467</v>
      </c>
      <c r="H33" s="271"/>
      <c r="I33" s="271"/>
      <c r="J33" s="271"/>
      <c r="K33" s="271"/>
      <c r="L33" s="520"/>
      <c r="M33" s="271"/>
      <c r="N33" s="520"/>
      <c r="O33" s="519"/>
    </row>
    <row r="34" spans="2:15">
      <c r="B34" s="271" t="s">
        <v>81</v>
      </c>
      <c r="C34" s="272">
        <v>45400</v>
      </c>
      <c r="D34" s="271">
        <v>973</v>
      </c>
      <c r="E34" s="271" t="s">
        <v>20</v>
      </c>
      <c r="F34" s="271" t="s">
        <v>108</v>
      </c>
      <c r="G34" s="271">
        <v>901588</v>
      </c>
      <c r="H34" s="271"/>
      <c r="I34" s="271"/>
      <c r="J34" s="271"/>
      <c r="K34" s="271"/>
      <c r="L34" s="520"/>
      <c r="M34" s="271"/>
      <c r="N34" s="520"/>
      <c r="O34" s="519"/>
    </row>
    <row r="35" spans="2:15">
      <c r="B35" s="271" t="s">
        <v>81</v>
      </c>
      <c r="C35" s="272">
        <v>45400</v>
      </c>
      <c r="D35" s="271">
        <v>973</v>
      </c>
      <c r="E35" s="271" t="s">
        <v>20</v>
      </c>
      <c r="F35" s="271" t="s">
        <v>109</v>
      </c>
      <c r="G35" s="271">
        <v>966826</v>
      </c>
      <c r="H35" s="271"/>
      <c r="I35" s="271"/>
      <c r="J35" s="271"/>
      <c r="K35" s="271"/>
      <c r="L35" s="520"/>
      <c r="M35" s="271"/>
      <c r="N35" s="520"/>
      <c r="O35" s="519"/>
    </row>
    <row r="36" spans="2:15">
      <c r="B36" s="271" t="s">
        <v>81</v>
      </c>
      <c r="C36" s="272">
        <v>45400</v>
      </c>
      <c r="D36" s="271">
        <v>973</v>
      </c>
      <c r="E36" s="271" t="s">
        <v>20</v>
      </c>
      <c r="F36" s="271" t="s">
        <v>110</v>
      </c>
      <c r="G36" s="271">
        <v>969425</v>
      </c>
      <c r="H36" s="271"/>
      <c r="I36" s="271"/>
      <c r="J36" s="271"/>
      <c r="K36" s="271"/>
      <c r="L36" s="520"/>
      <c r="M36" s="271"/>
      <c r="N36" s="520"/>
      <c r="O36" s="519"/>
    </row>
    <row r="37" spans="2:15">
      <c r="B37" s="271" t="s">
        <v>81</v>
      </c>
      <c r="C37" s="272">
        <v>45400</v>
      </c>
      <c r="D37" s="271">
        <v>973</v>
      </c>
      <c r="E37" s="271" t="s">
        <v>20</v>
      </c>
      <c r="F37" s="271" t="s">
        <v>111</v>
      </c>
      <c r="G37" s="271">
        <v>969501</v>
      </c>
      <c r="H37" s="271"/>
      <c r="I37" s="271"/>
      <c r="J37" s="271"/>
      <c r="K37" s="271"/>
      <c r="L37" s="520"/>
      <c r="M37" s="271"/>
      <c r="N37" s="520"/>
      <c r="O37" s="519"/>
    </row>
    <row r="38" spans="2:15">
      <c r="B38" s="271" t="s">
        <v>81</v>
      </c>
      <c r="C38" s="272">
        <v>45400</v>
      </c>
      <c r="D38" s="271">
        <v>973</v>
      </c>
      <c r="E38" s="271" t="s">
        <v>20</v>
      </c>
      <c r="F38" s="271" t="s">
        <v>112</v>
      </c>
      <c r="G38" s="271">
        <v>956427</v>
      </c>
      <c r="H38" s="271"/>
      <c r="I38" s="271"/>
      <c r="J38" s="271"/>
      <c r="K38" s="271"/>
      <c r="L38" s="520"/>
      <c r="M38" s="271">
        <v>3.173</v>
      </c>
      <c r="N38" s="520"/>
      <c r="O38" s="519"/>
    </row>
    <row r="39" spans="2:15">
      <c r="B39" s="271" t="s">
        <v>81</v>
      </c>
      <c r="C39" s="272">
        <v>45400</v>
      </c>
      <c r="D39" s="271">
        <v>973</v>
      </c>
      <c r="E39" s="271" t="s">
        <v>20</v>
      </c>
      <c r="F39" s="271" t="s">
        <v>113</v>
      </c>
      <c r="G39" s="271">
        <v>950875</v>
      </c>
      <c r="H39" s="271"/>
      <c r="I39" s="271"/>
      <c r="J39" s="271"/>
      <c r="K39" s="271"/>
      <c r="L39" s="520"/>
      <c r="M39" s="271"/>
      <c r="N39" s="520"/>
      <c r="O39" s="519"/>
    </row>
    <row r="40" spans="2:15">
      <c r="B40" s="271" t="s">
        <v>81</v>
      </c>
      <c r="C40" s="272">
        <v>45400</v>
      </c>
      <c r="D40" s="271">
        <v>973</v>
      </c>
      <c r="E40" s="271" t="s">
        <v>20</v>
      </c>
      <c r="F40" s="271" t="s">
        <v>114</v>
      </c>
      <c r="G40" s="271">
        <v>700755</v>
      </c>
      <c r="H40" s="271"/>
      <c r="I40" s="271"/>
      <c r="J40" s="271"/>
      <c r="K40" s="271"/>
      <c r="L40" s="520"/>
      <c r="M40" s="271"/>
      <c r="N40" s="520"/>
      <c r="O40" s="519"/>
    </row>
    <row r="41" spans="2:15">
      <c r="B41" s="271" t="s">
        <v>81</v>
      </c>
      <c r="C41" s="272">
        <v>45400</v>
      </c>
      <c r="D41" s="271">
        <v>973</v>
      </c>
      <c r="E41" s="271" t="s">
        <v>20</v>
      </c>
      <c r="F41" s="271" t="s">
        <v>115</v>
      </c>
      <c r="G41" s="271">
        <v>699979</v>
      </c>
      <c r="H41" s="271"/>
      <c r="I41" s="271"/>
      <c r="J41" s="271"/>
      <c r="K41" s="271"/>
      <c r="L41" s="520"/>
      <c r="M41" s="271"/>
      <c r="N41" s="520"/>
      <c r="O41" s="519"/>
    </row>
    <row r="42" spans="2:15">
      <c r="B42" s="271" t="s">
        <v>81</v>
      </c>
      <c r="C42" s="272">
        <v>45400</v>
      </c>
      <c r="D42" s="271">
        <v>973</v>
      </c>
      <c r="E42" s="271" t="s">
        <v>20</v>
      </c>
      <c r="F42" s="271" t="s">
        <v>116</v>
      </c>
      <c r="G42" s="271">
        <v>964673</v>
      </c>
      <c r="H42" s="271"/>
      <c r="I42" s="271"/>
      <c r="J42" s="271"/>
      <c r="K42" s="271"/>
      <c r="L42" s="520"/>
      <c r="M42" s="271"/>
      <c r="N42" s="520"/>
      <c r="O42" s="519"/>
    </row>
    <row r="43" spans="2:15">
      <c r="B43" s="271" t="s">
        <v>81</v>
      </c>
      <c r="C43" s="272">
        <v>45400</v>
      </c>
      <c r="D43" s="271">
        <v>973</v>
      </c>
      <c r="E43" s="271" t="s">
        <v>20</v>
      </c>
      <c r="F43" s="271" t="s">
        <v>117</v>
      </c>
      <c r="G43" s="271">
        <v>923266</v>
      </c>
      <c r="H43" s="271"/>
      <c r="I43" s="271"/>
      <c r="J43" s="271"/>
      <c r="K43" s="271"/>
      <c r="L43" s="520"/>
      <c r="M43" s="271"/>
      <c r="N43" s="520"/>
      <c r="O43" s="519"/>
    </row>
    <row r="44" spans="2:15">
      <c r="B44" s="271" t="s">
        <v>81</v>
      </c>
      <c r="C44" s="272">
        <v>45400</v>
      </c>
      <c r="D44" s="271">
        <v>973</v>
      </c>
      <c r="E44" s="271" t="s">
        <v>20</v>
      </c>
      <c r="F44" s="271" t="s">
        <v>118</v>
      </c>
      <c r="G44" s="271">
        <v>966707</v>
      </c>
      <c r="H44" s="271"/>
      <c r="I44" s="271"/>
      <c r="J44" s="271"/>
      <c r="K44" s="271"/>
      <c r="L44" s="520"/>
      <c r="M44" s="271"/>
      <c r="N44" s="520"/>
      <c r="O44" s="519"/>
    </row>
    <row r="45" spans="2:15">
      <c r="B45" s="271" t="s">
        <v>81</v>
      </c>
      <c r="C45" s="272">
        <v>45400</v>
      </c>
      <c r="D45" s="271">
        <v>973</v>
      </c>
      <c r="E45" s="271" t="s">
        <v>20</v>
      </c>
      <c r="F45" s="271" t="s">
        <v>119</v>
      </c>
      <c r="G45" s="271">
        <v>957989</v>
      </c>
      <c r="H45" s="271"/>
      <c r="I45" s="271"/>
      <c r="J45" s="271"/>
      <c r="K45" s="271"/>
      <c r="L45" s="520"/>
      <c r="M45" s="271"/>
      <c r="N45" s="520"/>
      <c r="O45" s="519"/>
    </row>
    <row r="46" spans="2:15">
      <c r="B46" s="271" t="s">
        <v>81</v>
      </c>
      <c r="C46" s="272">
        <v>45400</v>
      </c>
      <c r="D46" s="271">
        <v>973</v>
      </c>
      <c r="E46" s="271" t="s">
        <v>20</v>
      </c>
      <c r="F46" s="271" t="s">
        <v>120</v>
      </c>
      <c r="G46" s="271">
        <v>701336</v>
      </c>
      <c r="H46" s="271"/>
      <c r="I46" s="271"/>
      <c r="J46" s="271"/>
      <c r="K46" s="271"/>
      <c r="L46" s="520"/>
      <c r="M46" s="271">
        <v>1.5720000000000001</v>
      </c>
      <c r="N46" s="520"/>
      <c r="O46" s="519"/>
    </row>
    <row r="47" spans="2:15">
      <c r="B47" s="271" t="s">
        <v>81</v>
      </c>
      <c r="C47" s="272">
        <v>45400</v>
      </c>
      <c r="D47" s="271">
        <v>973</v>
      </c>
      <c r="E47" s="271" t="s">
        <v>20</v>
      </c>
      <c r="F47" s="271" t="s">
        <v>121</v>
      </c>
      <c r="G47" s="271">
        <v>700697</v>
      </c>
      <c r="H47" s="271"/>
      <c r="I47" s="271"/>
      <c r="J47" s="271"/>
      <c r="K47" s="271"/>
      <c r="L47" s="520"/>
      <c r="M47" s="271"/>
      <c r="N47" s="520"/>
      <c r="O47" s="519"/>
    </row>
    <row r="48" spans="2:15">
      <c r="B48" s="271" t="s">
        <v>81</v>
      </c>
      <c r="C48" s="272">
        <v>45400</v>
      </c>
      <c r="D48" s="271">
        <v>973</v>
      </c>
      <c r="E48" s="271" t="s">
        <v>20</v>
      </c>
      <c r="F48" s="271" t="s">
        <v>122</v>
      </c>
      <c r="G48" s="271">
        <v>953023</v>
      </c>
      <c r="H48" s="271"/>
      <c r="I48" s="271"/>
      <c r="J48" s="271"/>
      <c r="K48" s="271"/>
      <c r="L48" s="520"/>
      <c r="M48" s="271">
        <v>8.3350000000000009</v>
      </c>
      <c r="N48" s="520"/>
      <c r="O48" s="519"/>
    </row>
    <row r="49" spans="2:15">
      <c r="B49" s="271" t="s">
        <v>81</v>
      </c>
      <c r="C49" s="272">
        <v>45400</v>
      </c>
      <c r="D49" s="271">
        <v>973</v>
      </c>
      <c r="E49" s="271" t="s">
        <v>20</v>
      </c>
      <c r="F49" s="271" t="s">
        <v>123</v>
      </c>
      <c r="G49" s="271">
        <v>36113</v>
      </c>
      <c r="H49" s="271"/>
      <c r="I49" s="271"/>
      <c r="J49" s="271"/>
      <c r="K49" s="271"/>
      <c r="L49" s="520"/>
      <c r="M49" s="271"/>
      <c r="N49" s="520"/>
      <c r="O49" s="519"/>
    </row>
    <row r="50" spans="2:15">
      <c r="B50" s="271" t="s">
        <v>81</v>
      </c>
      <c r="C50" s="272">
        <v>45400</v>
      </c>
      <c r="D50" s="271">
        <v>973</v>
      </c>
      <c r="E50" s="271" t="s">
        <v>20</v>
      </c>
      <c r="F50" s="271" t="s">
        <v>124</v>
      </c>
      <c r="G50" s="271">
        <v>701618</v>
      </c>
      <c r="H50" s="271"/>
      <c r="I50" s="271"/>
      <c r="J50" s="271"/>
      <c r="K50" s="271"/>
      <c r="L50" s="520"/>
      <c r="M50" s="271"/>
      <c r="N50" s="520"/>
      <c r="O50" s="519"/>
    </row>
    <row r="51" spans="2:15">
      <c r="B51" s="271" t="s">
        <v>81</v>
      </c>
      <c r="C51" s="272">
        <v>45400</v>
      </c>
      <c r="D51" s="271">
        <v>973</v>
      </c>
      <c r="E51" s="271" t="s">
        <v>20</v>
      </c>
      <c r="F51" s="271" t="s">
        <v>125</v>
      </c>
      <c r="G51" s="271">
        <v>701450</v>
      </c>
      <c r="H51" s="271"/>
      <c r="I51" s="271"/>
      <c r="J51" s="271"/>
      <c r="K51" s="271"/>
      <c r="L51" s="520"/>
      <c r="M51" s="271"/>
      <c r="N51" s="520"/>
      <c r="O51" s="519"/>
    </row>
    <row r="52" spans="2:15">
      <c r="B52" s="271" t="s">
        <v>81</v>
      </c>
      <c r="C52" s="272">
        <v>45400</v>
      </c>
      <c r="D52" s="271">
        <v>973</v>
      </c>
      <c r="E52" s="271" t="s">
        <v>20</v>
      </c>
      <c r="F52" s="271" t="s">
        <v>126</v>
      </c>
      <c r="G52" s="271">
        <v>700979</v>
      </c>
      <c r="H52" s="271"/>
      <c r="I52" s="271"/>
      <c r="J52" s="271"/>
      <c r="K52" s="271"/>
      <c r="L52" s="520"/>
      <c r="M52" s="271"/>
      <c r="N52" s="520"/>
      <c r="O52" s="519"/>
    </row>
    <row r="53" spans="2:15">
      <c r="B53" s="271" t="s">
        <v>81</v>
      </c>
      <c r="C53" s="272">
        <v>45400</v>
      </c>
      <c r="D53" s="271">
        <v>973</v>
      </c>
      <c r="E53" s="271" t="s">
        <v>20</v>
      </c>
      <c r="F53" s="271" t="s">
        <v>127</v>
      </c>
      <c r="G53" s="271">
        <v>700784</v>
      </c>
      <c r="H53" s="271"/>
      <c r="I53" s="271"/>
      <c r="J53" s="271"/>
      <c r="K53" s="271"/>
      <c r="L53" s="520"/>
      <c r="M53" s="271">
        <v>0.32100000000000001</v>
      </c>
      <c r="N53" s="520"/>
      <c r="O53" s="519"/>
    </row>
    <row r="54" spans="2:15">
      <c r="B54" s="273" t="s">
        <v>81</v>
      </c>
      <c r="C54" s="274">
        <v>45408</v>
      </c>
      <c r="D54" s="273">
        <v>1062</v>
      </c>
      <c r="E54" s="273" t="s">
        <v>128</v>
      </c>
      <c r="F54" s="381" t="s">
        <v>129</v>
      </c>
      <c r="G54" s="382">
        <v>956794</v>
      </c>
      <c r="H54" s="511">
        <v>70000</v>
      </c>
      <c r="I54" s="223">
        <v>2510.27</v>
      </c>
      <c r="J54" s="513">
        <f>H54-(SUM(I54:I96))</f>
        <v>2701.8130000000092</v>
      </c>
      <c r="K54" s="537">
        <f>(SUM(I54:I96))/H54</f>
        <v>0.96140267142857128</v>
      </c>
      <c r="L54" s="273"/>
      <c r="M54" s="273"/>
      <c r="N54" s="273"/>
      <c r="O54" s="273"/>
    </row>
    <row r="55" spans="2:15">
      <c r="B55" s="273" t="s">
        <v>81</v>
      </c>
      <c r="C55" s="274">
        <v>45408</v>
      </c>
      <c r="D55" s="273">
        <v>1062</v>
      </c>
      <c r="E55" s="273" t="s">
        <v>128</v>
      </c>
      <c r="F55" s="381" t="s">
        <v>130</v>
      </c>
      <c r="G55" s="382">
        <v>969768</v>
      </c>
      <c r="H55" s="512"/>
      <c r="I55" s="223">
        <v>2455.1400000000008</v>
      </c>
      <c r="J55" s="514"/>
      <c r="K55" s="538"/>
      <c r="L55" s="273"/>
      <c r="M55" s="273"/>
      <c r="N55" s="273"/>
      <c r="O55" s="273"/>
    </row>
    <row r="56" spans="2:15">
      <c r="B56" s="273" t="s">
        <v>81</v>
      </c>
      <c r="C56" s="274">
        <v>45408</v>
      </c>
      <c r="D56" s="273">
        <v>1062</v>
      </c>
      <c r="E56" s="273" t="s">
        <v>128</v>
      </c>
      <c r="F56" s="381" t="s">
        <v>131</v>
      </c>
      <c r="G56" s="382">
        <v>961261</v>
      </c>
      <c r="H56" s="512"/>
      <c r="I56" s="223">
        <v>2387.5029999999997</v>
      </c>
      <c r="J56" s="514"/>
      <c r="K56" s="538"/>
      <c r="L56" s="273"/>
      <c r="M56" s="273"/>
      <c r="N56" s="273"/>
      <c r="O56" s="273"/>
    </row>
    <row r="57" spans="2:15">
      <c r="B57" s="273" t="s">
        <v>81</v>
      </c>
      <c r="C57" s="274">
        <v>45408</v>
      </c>
      <c r="D57" s="273">
        <v>1062</v>
      </c>
      <c r="E57" s="273" t="s">
        <v>128</v>
      </c>
      <c r="F57" s="381" t="s">
        <v>132</v>
      </c>
      <c r="G57" s="382">
        <v>701585</v>
      </c>
      <c r="H57" s="512"/>
      <c r="I57" s="223">
        <v>2579.0019999999995</v>
      </c>
      <c r="J57" s="514"/>
      <c r="K57" s="538"/>
      <c r="L57" s="273"/>
      <c r="M57" s="273"/>
      <c r="N57" s="273"/>
      <c r="O57" s="273"/>
    </row>
    <row r="58" spans="2:15">
      <c r="B58" s="273" t="s">
        <v>81</v>
      </c>
      <c r="C58" s="274">
        <v>45408</v>
      </c>
      <c r="D58" s="273">
        <v>1062</v>
      </c>
      <c r="E58" s="273" t="s">
        <v>128</v>
      </c>
      <c r="F58" s="381" t="s">
        <v>133</v>
      </c>
      <c r="G58" s="382">
        <v>701311</v>
      </c>
      <c r="H58" s="512"/>
      <c r="I58" s="223">
        <v>1692.8250000000003</v>
      </c>
      <c r="J58" s="514"/>
      <c r="K58" s="538"/>
      <c r="L58" s="273"/>
      <c r="M58" s="273"/>
      <c r="N58" s="273"/>
      <c r="O58" s="273"/>
    </row>
    <row r="59" spans="2:15">
      <c r="B59" s="273" t="s">
        <v>81</v>
      </c>
      <c r="C59" s="274">
        <v>45408</v>
      </c>
      <c r="D59" s="273">
        <v>1062</v>
      </c>
      <c r="E59" s="273" t="s">
        <v>128</v>
      </c>
      <c r="F59" s="381" t="s">
        <v>134</v>
      </c>
      <c r="G59" s="382">
        <v>913564</v>
      </c>
      <c r="H59" s="512"/>
      <c r="I59" s="223">
        <v>646.33500000000004</v>
      </c>
      <c r="J59" s="514"/>
      <c r="K59" s="538"/>
      <c r="L59" s="273"/>
      <c r="M59" s="273"/>
      <c r="N59" s="273"/>
      <c r="O59" s="273"/>
    </row>
    <row r="60" spans="2:15">
      <c r="B60" s="273" t="s">
        <v>81</v>
      </c>
      <c r="C60" s="274">
        <v>45408</v>
      </c>
      <c r="D60" s="273">
        <v>1062</v>
      </c>
      <c r="E60" s="273" t="s">
        <v>128</v>
      </c>
      <c r="F60" s="381" t="s">
        <v>135</v>
      </c>
      <c r="G60" s="383">
        <v>967834</v>
      </c>
      <c r="H60" s="512"/>
      <c r="I60" s="223">
        <v>1322.8200000000004</v>
      </c>
      <c r="J60" s="514"/>
      <c r="K60" s="538"/>
      <c r="L60" s="273"/>
      <c r="M60" s="273"/>
      <c r="N60" s="273"/>
      <c r="O60" s="273"/>
    </row>
    <row r="61" spans="2:15">
      <c r="B61" s="275" t="s">
        <v>81</v>
      </c>
      <c r="C61" s="276">
        <v>45408</v>
      </c>
      <c r="D61" s="275">
        <v>1062</v>
      </c>
      <c r="E61" s="273" t="s">
        <v>128</v>
      </c>
      <c r="F61" s="381" t="s">
        <v>136</v>
      </c>
      <c r="G61" s="383">
        <v>965747</v>
      </c>
      <c r="H61" s="512"/>
      <c r="I61" s="223">
        <v>744.28800000000001</v>
      </c>
      <c r="J61" s="514"/>
      <c r="K61" s="538"/>
      <c r="L61" s="275"/>
      <c r="M61" s="275"/>
      <c r="N61" s="275"/>
      <c r="O61" s="275"/>
    </row>
    <row r="62" spans="2:15">
      <c r="B62" s="273" t="s">
        <v>81</v>
      </c>
      <c r="C62" s="276">
        <v>45408</v>
      </c>
      <c r="D62" s="273">
        <v>1062</v>
      </c>
      <c r="E62" s="273" t="s">
        <v>128</v>
      </c>
      <c r="F62" s="381" t="s">
        <v>137</v>
      </c>
      <c r="G62" s="382">
        <v>701521</v>
      </c>
      <c r="H62" s="512"/>
      <c r="I62" s="223">
        <v>618.44299999999998</v>
      </c>
      <c r="J62" s="514"/>
      <c r="K62" s="538"/>
      <c r="L62" s="273"/>
      <c r="M62" s="273"/>
      <c r="N62" s="273"/>
      <c r="O62" s="273"/>
    </row>
    <row r="63" spans="2:15">
      <c r="B63" s="273" t="s">
        <v>81</v>
      </c>
      <c r="C63" s="276">
        <v>45408</v>
      </c>
      <c r="D63" s="273">
        <v>1062</v>
      </c>
      <c r="E63" s="273" t="s">
        <v>128</v>
      </c>
      <c r="F63" s="381" t="s">
        <v>138</v>
      </c>
      <c r="G63" s="382">
        <v>969720</v>
      </c>
      <c r="H63" s="512"/>
      <c r="I63" s="223">
        <v>1942.72</v>
      </c>
      <c r="J63" s="514"/>
      <c r="K63" s="538"/>
      <c r="L63" s="273"/>
      <c r="M63" s="273"/>
      <c r="N63" s="273"/>
      <c r="O63" s="273"/>
    </row>
    <row r="64" spans="2:15">
      <c r="B64" s="273" t="s">
        <v>81</v>
      </c>
      <c r="C64" s="276">
        <v>45408</v>
      </c>
      <c r="D64" s="273">
        <v>1062</v>
      </c>
      <c r="E64" s="273" t="s">
        <v>128</v>
      </c>
      <c r="F64" s="381" t="s">
        <v>139</v>
      </c>
      <c r="G64" s="382">
        <v>961059</v>
      </c>
      <c r="H64" s="512"/>
      <c r="I64" s="223">
        <v>2361.1610000000001</v>
      </c>
      <c r="J64" s="514"/>
      <c r="K64" s="538"/>
      <c r="L64" s="273"/>
      <c r="M64" s="273"/>
      <c r="N64" s="273"/>
      <c r="O64" s="273"/>
    </row>
    <row r="65" spans="2:15">
      <c r="B65" s="273" t="s">
        <v>81</v>
      </c>
      <c r="C65" s="276">
        <v>45408</v>
      </c>
      <c r="D65" s="273">
        <v>1062</v>
      </c>
      <c r="E65" s="273" t="s">
        <v>128</v>
      </c>
      <c r="F65" s="381" t="s">
        <v>140</v>
      </c>
      <c r="G65" s="382"/>
      <c r="H65" s="512"/>
      <c r="I65" s="223">
        <v>1103.5500000000002</v>
      </c>
      <c r="J65" s="514"/>
      <c r="K65" s="538"/>
      <c r="L65" s="273"/>
      <c r="M65" s="273"/>
      <c r="N65" s="273"/>
      <c r="O65" s="273"/>
    </row>
    <row r="66" spans="2:15">
      <c r="B66" s="273" t="s">
        <v>81</v>
      </c>
      <c r="C66" s="276">
        <v>45408</v>
      </c>
      <c r="D66" s="273">
        <v>1062</v>
      </c>
      <c r="E66" s="273" t="s">
        <v>128</v>
      </c>
      <c r="F66" s="381" t="s">
        <v>141</v>
      </c>
      <c r="G66" s="382">
        <v>700047</v>
      </c>
      <c r="H66" s="512"/>
      <c r="I66" s="223">
        <v>1139.931</v>
      </c>
      <c r="J66" s="514"/>
      <c r="K66" s="538"/>
      <c r="L66" s="273"/>
      <c r="M66" s="273"/>
      <c r="N66" s="273"/>
      <c r="O66" s="273"/>
    </row>
    <row r="67" spans="2:15">
      <c r="B67" s="273" t="s">
        <v>81</v>
      </c>
      <c r="C67" s="276">
        <v>45408</v>
      </c>
      <c r="D67" s="273">
        <v>1062</v>
      </c>
      <c r="E67" s="273" t="s">
        <v>128</v>
      </c>
      <c r="F67" s="381" t="s">
        <v>142</v>
      </c>
      <c r="G67" s="382">
        <v>963544</v>
      </c>
      <c r="H67" s="512"/>
      <c r="I67" s="223">
        <v>285.78000000000003</v>
      </c>
      <c r="J67" s="514"/>
      <c r="K67" s="538"/>
      <c r="L67" s="273"/>
      <c r="M67" s="273"/>
      <c r="N67" s="273"/>
      <c r="O67" s="273"/>
    </row>
    <row r="68" spans="2:15">
      <c r="B68" s="273" t="s">
        <v>81</v>
      </c>
      <c r="C68" s="276">
        <v>45408</v>
      </c>
      <c r="D68" s="273">
        <v>1062</v>
      </c>
      <c r="E68" s="273" t="s">
        <v>128</v>
      </c>
      <c r="F68" s="381" t="s">
        <v>143</v>
      </c>
      <c r="G68" s="382">
        <v>963409</v>
      </c>
      <c r="H68" s="512"/>
      <c r="I68" s="223">
        <v>1477.6510000000005</v>
      </c>
      <c r="J68" s="514"/>
      <c r="K68" s="538"/>
      <c r="L68" s="273"/>
      <c r="M68" s="273"/>
      <c r="N68" s="273"/>
      <c r="O68" s="273"/>
    </row>
    <row r="69" spans="2:15">
      <c r="B69" s="273" t="s">
        <v>81</v>
      </c>
      <c r="C69" s="276">
        <v>45408</v>
      </c>
      <c r="D69" s="273">
        <v>1062</v>
      </c>
      <c r="E69" s="273" t="s">
        <v>128</v>
      </c>
      <c r="F69" s="381" t="s">
        <v>144</v>
      </c>
      <c r="G69" s="382">
        <v>700857</v>
      </c>
      <c r="H69" s="512"/>
      <c r="I69" s="223">
        <v>2296.85</v>
      </c>
      <c r="J69" s="514"/>
      <c r="K69" s="538"/>
      <c r="L69" s="273"/>
      <c r="M69" s="273"/>
      <c r="N69" s="273"/>
      <c r="O69" s="273"/>
    </row>
    <row r="70" spans="2:15">
      <c r="B70" s="273" t="s">
        <v>81</v>
      </c>
      <c r="C70" s="276">
        <v>45408</v>
      </c>
      <c r="D70" s="273">
        <v>1062</v>
      </c>
      <c r="E70" s="273" t="s">
        <v>128</v>
      </c>
      <c r="F70" s="381" t="s">
        <v>145</v>
      </c>
      <c r="G70" s="382">
        <v>698422</v>
      </c>
      <c r="H70" s="512"/>
      <c r="I70" s="223">
        <v>974.92000000000007</v>
      </c>
      <c r="J70" s="514"/>
      <c r="K70" s="538"/>
      <c r="L70" s="273"/>
      <c r="M70" s="273"/>
      <c r="N70" s="273"/>
      <c r="O70" s="273"/>
    </row>
    <row r="71" spans="2:15">
      <c r="B71" s="273" t="s">
        <v>81</v>
      </c>
      <c r="C71" s="276">
        <v>45408</v>
      </c>
      <c r="D71" s="273">
        <v>1062</v>
      </c>
      <c r="E71" s="273" t="s">
        <v>128</v>
      </c>
      <c r="F71" s="381" t="s">
        <v>146</v>
      </c>
      <c r="G71" s="382">
        <v>964506</v>
      </c>
      <c r="H71" s="512"/>
      <c r="I71" s="223">
        <v>1306.8700000000001</v>
      </c>
      <c r="J71" s="514"/>
      <c r="K71" s="538"/>
      <c r="L71" s="273"/>
      <c r="M71" s="273"/>
      <c r="N71" s="273"/>
      <c r="O71" s="273"/>
    </row>
    <row r="72" spans="2:15">
      <c r="B72" s="273" t="s">
        <v>81</v>
      </c>
      <c r="C72" s="276">
        <v>45408</v>
      </c>
      <c r="D72" s="273">
        <v>1062</v>
      </c>
      <c r="E72" s="273" t="s">
        <v>128</v>
      </c>
      <c r="F72" s="381" t="s">
        <v>147</v>
      </c>
      <c r="G72" s="382">
        <v>701006</v>
      </c>
      <c r="H72" s="512"/>
      <c r="I72" s="223">
        <v>2422.7599999999993</v>
      </c>
      <c r="J72" s="514"/>
      <c r="K72" s="538"/>
      <c r="L72" s="273"/>
      <c r="M72" s="273"/>
      <c r="N72" s="273"/>
      <c r="O72" s="273"/>
    </row>
    <row r="73" spans="2:15">
      <c r="B73" s="273" t="s">
        <v>81</v>
      </c>
      <c r="C73" s="276">
        <v>45408</v>
      </c>
      <c r="D73" s="273">
        <v>1062</v>
      </c>
      <c r="E73" s="273" t="s">
        <v>128</v>
      </c>
      <c r="F73" s="381" t="s">
        <v>148</v>
      </c>
      <c r="G73" s="103">
        <v>702964</v>
      </c>
      <c r="H73" s="512"/>
      <c r="I73" s="223">
        <v>1080.2650000000001</v>
      </c>
      <c r="J73" s="514"/>
      <c r="K73" s="538"/>
      <c r="L73" s="273"/>
      <c r="M73" s="273"/>
      <c r="N73" s="273"/>
      <c r="O73" s="273"/>
    </row>
    <row r="74" spans="2:15">
      <c r="B74" s="273" t="s">
        <v>81</v>
      </c>
      <c r="C74" s="276">
        <v>45408</v>
      </c>
      <c r="D74" s="273">
        <v>1062</v>
      </c>
      <c r="E74" s="273" t="s">
        <v>128</v>
      </c>
      <c r="F74" s="381" t="s">
        <v>149</v>
      </c>
      <c r="G74" s="382">
        <v>964706</v>
      </c>
      <c r="H74" s="512"/>
      <c r="I74" s="223">
        <v>1076.8250000000003</v>
      </c>
      <c r="J74" s="514"/>
      <c r="K74" s="538"/>
      <c r="L74" s="273"/>
      <c r="M74" s="273"/>
      <c r="N74" s="273"/>
      <c r="O74" s="273"/>
    </row>
    <row r="75" spans="2:15">
      <c r="B75" s="273" t="s">
        <v>81</v>
      </c>
      <c r="C75" s="276">
        <v>45408</v>
      </c>
      <c r="D75" s="273">
        <v>1062</v>
      </c>
      <c r="E75" s="273" t="s">
        <v>128</v>
      </c>
      <c r="F75" s="381" t="s">
        <v>150</v>
      </c>
      <c r="G75" s="382">
        <v>700133</v>
      </c>
      <c r="H75" s="512"/>
      <c r="I75" s="223">
        <v>1692.6189999999999</v>
      </c>
      <c r="J75" s="514"/>
      <c r="K75" s="538"/>
      <c r="L75" s="273"/>
      <c r="M75" s="273"/>
      <c r="N75" s="273"/>
      <c r="O75" s="273"/>
    </row>
    <row r="76" spans="2:15">
      <c r="B76" s="273" t="s">
        <v>81</v>
      </c>
      <c r="C76" s="276">
        <v>45408</v>
      </c>
      <c r="D76" s="273">
        <v>1062</v>
      </c>
      <c r="E76" s="273" t="s">
        <v>128</v>
      </c>
      <c r="F76" s="381" t="s">
        <v>151</v>
      </c>
      <c r="G76" s="382">
        <v>699115</v>
      </c>
      <c r="H76" s="512"/>
      <c r="I76" s="223">
        <v>1552.03</v>
      </c>
      <c r="J76" s="514"/>
      <c r="K76" s="538"/>
      <c r="L76" s="273"/>
      <c r="M76" s="273"/>
      <c r="N76" s="273"/>
      <c r="O76" s="273"/>
    </row>
    <row r="77" spans="2:15">
      <c r="B77" s="273" t="s">
        <v>81</v>
      </c>
      <c r="C77" s="276">
        <v>45408</v>
      </c>
      <c r="D77" s="273">
        <v>1062</v>
      </c>
      <c r="E77" s="273" t="s">
        <v>128</v>
      </c>
      <c r="F77" s="381" t="s">
        <v>152</v>
      </c>
      <c r="G77" s="382">
        <v>966916</v>
      </c>
      <c r="H77" s="512"/>
      <c r="I77" s="223">
        <v>1838.7850000000001</v>
      </c>
      <c r="J77" s="514"/>
      <c r="K77" s="538"/>
      <c r="L77" s="273"/>
      <c r="M77" s="273"/>
      <c r="N77" s="273"/>
      <c r="O77" s="273"/>
    </row>
    <row r="78" spans="2:15">
      <c r="B78" s="273" t="s">
        <v>81</v>
      </c>
      <c r="C78" s="276">
        <v>45408</v>
      </c>
      <c r="D78" s="273">
        <v>1062</v>
      </c>
      <c r="E78" s="273" t="s">
        <v>128</v>
      </c>
      <c r="F78" s="381" t="s">
        <v>153</v>
      </c>
      <c r="G78" s="382">
        <v>701795</v>
      </c>
      <c r="H78" s="512"/>
      <c r="I78" s="223">
        <v>1190.4349999999999</v>
      </c>
      <c r="J78" s="514"/>
      <c r="K78" s="538"/>
      <c r="L78" s="273"/>
      <c r="M78" s="273"/>
      <c r="N78" s="273"/>
      <c r="O78" s="273"/>
    </row>
    <row r="79" spans="2:15">
      <c r="B79" s="273" t="s">
        <v>81</v>
      </c>
      <c r="C79" s="276">
        <v>45408</v>
      </c>
      <c r="D79" s="273">
        <v>1062</v>
      </c>
      <c r="E79" s="273" t="s">
        <v>128</v>
      </c>
      <c r="F79" s="381" t="s">
        <v>154</v>
      </c>
      <c r="G79" s="382">
        <v>702942</v>
      </c>
      <c r="H79" s="512"/>
      <c r="I79" s="384">
        <v>1363.3039999999999</v>
      </c>
      <c r="J79" s="514"/>
      <c r="K79" s="538"/>
      <c r="L79" s="273"/>
      <c r="M79" s="273"/>
      <c r="N79" s="273"/>
      <c r="O79" s="273"/>
    </row>
    <row r="80" spans="2:15">
      <c r="B80" s="273" t="s">
        <v>81</v>
      </c>
      <c r="C80" s="276">
        <v>45408</v>
      </c>
      <c r="D80" s="273">
        <v>1062</v>
      </c>
      <c r="E80" s="273" t="s">
        <v>128</v>
      </c>
      <c r="F80" s="381" t="s">
        <v>155</v>
      </c>
      <c r="G80" s="382">
        <v>700665</v>
      </c>
      <c r="H80" s="512"/>
      <c r="I80" s="384">
        <v>2826.2249999999995</v>
      </c>
      <c r="J80" s="514"/>
      <c r="K80" s="538"/>
      <c r="L80" s="273"/>
      <c r="M80" s="273"/>
      <c r="N80" s="273"/>
      <c r="O80" s="273"/>
    </row>
    <row r="81" spans="2:15">
      <c r="B81" s="273" t="s">
        <v>81</v>
      </c>
      <c r="C81" s="276">
        <v>45408</v>
      </c>
      <c r="D81" s="273">
        <v>1062</v>
      </c>
      <c r="E81" s="273" t="s">
        <v>128</v>
      </c>
      <c r="F81" s="381" t="s">
        <v>156</v>
      </c>
      <c r="G81" s="382">
        <v>698348</v>
      </c>
      <c r="H81" s="512"/>
      <c r="I81" s="384">
        <v>1021.0980000000001</v>
      </c>
      <c r="J81" s="514"/>
      <c r="K81" s="538"/>
      <c r="L81" s="273"/>
      <c r="M81" s="273"/>
      <c r="N81" s="273"/>
      <c r="O81" s="273"/>
    </row>
    <row r="82" spans="2:15">
      <c r="B82" s="273" t="s">
        <v>81</v>
      </c>
      <c r="C82" s="276">
        <v>45408</v>
      </c>
      <c r="D82" s="273">
        <v>1062</v>
      </c>
      <c r="E82" s="273" t="s">
        <v>128</v>
      </c>
      <c r="F82" s="381" t="s">
        <v>157</v>
      </c>
      <c r="G82" s="382">
        <v>955856</v>
      </c>
      <c r="H82" s="512"/>
      <c r="I82" s="384">
        <v>1567.7490000000005</v>
      </c>
      <c r="J82" s="514"/>
      <c r="K82" s="538"/>
      <c r="L82" s="273"/>
      <c r="M82" s="273"/>
      <c r="N82" s="273"/>
      <c r="O82" s="273"/>
    </row>
    <row r="83" spans="2:15">
      <c r="B83" s="273" t="s">
        <v>81</v>
      </c>
      <c r="C83" s="276">
        <v>45408</v>
      </c>
      <c r="D83" s="273">
        <v>1062</v>
      </c>
      <c r="E83" s="273" t="s">
        <v>128</v>
      </c>
      <c r="F83" s="381" t="s">
        <v>158</v>
      </c>
      <c r="G83" s="382">
        <v>969249</v>
      </c>
      <c r="H83" s="512"/>
      <c r="I83" s="384">
        <v>1196.0249999999999</v>
      </c>
      <c r="J83" s="514"/>
      <c r="K83" s="538"/>
      <c r="L83" s="273"/>
      <c r="M83" s="273"/>
      <c r="N83" s="273"/>
      <c r="O83" s="273"/>
    </row>
    <row r="84" spans="2:15">
      <c r="B84" s="273" t="s">
        <v>81</v>
      </c>
      <c r="C84" s="276">
        <v>45408</v>
      </c>
      <c r="D84" s="273">
        <v>1062</v>
      </c>
      <c r="E84" s="273" t="s">
        <v>128</v>
      </c>
      <c r="F84" s="381" t="s">
        <v>159</v>
      </c>
      <c r="G84" s="382">
        <v>699580</v>
      </c>
      <c r="H84" s="512"/>
      <c r="I84" s="384">
        <v>1875.058</v>
      </c>
      <c r="J84" s="514"/>
      <c r="K84" s="538"/>
      <c r="L84" s="273"/>
      <c r="M84" s="273"/>
      <c r="N84" s="273"/>
      <c r="O84" s="273"/>
    </row>
    <row r="85" spans="2:15">
      <c r="B85" s="273" t="s">
        <v>81</v>
      </c>
      <c r="C85" s="276">
        <v>45408</v>
      </c>
      <c r="D85" s="273">
        <v>1062</v>
      </c>
      <c r="E85" s="273" t="s">
        <v>128</v>
      </c>
      <c r="F85" s="381" t="s">
        <v>160</v>
      </c>
      <c r="G85" s="382">
        <v>963908</v>
      </c>
      <c r="H85" s="512"/>
      <c r="I85" s="384">
        <v>1618.8449999999998</v>
      </c>
      <c r="J85" s="514"/>
      <c r="K85" s="538"/>
      <c r="L85" s="273"/>
      <c r="M85" s="273"/>
      <c r="N85" s="273"/>
      <c r="O85" s="273"/>
    </row>
    <row r="86" spans="2:15">
      <c r="B86" s="273" t="s">
        <v>81</v>
      </c>
      <c r="C86" s="276">
        <v>45408</v>
      </c>
      <c r="D86" s="273">
        <v>1062</v>
      </c>
      <c r="E86" s="273" t="s">
        <v>128</v>
      </c>
      <c r="F86" s="381" t="s">
        <v>161</v>
      </c>
      <c r="G86" s="382">
        <v>960140</v>
      </c>
      <c r="H86" s="512"/>
      <c r="I86" s="384">
        <v>2135.0949999999998</v>
      </c>
      <c r="J86" s="514"/>
      <c r="K86" s="538"/>
      <c r="L86" s="273"/>
      <c r="M86" s="273"/>
      <c r="N86" s="273"/>
      <c r="O86" s="273"/>
    </row>
    <row r="87" spans="2:15">
      <c r="B87" s="273" t="s">
        <v>81</v>
      </c>
      <c r="C87" s="276">
        <v>45408</v>
      </c>
      <c r="D87" s="273">
        <v>1062</v>
      </c>
      <c r="E87" s="273" t="s">
        <v>128</v>
      </c>
      <c r="F87" s="381" t="s">
        <v>162</v>
      </c>
      <c r="G87" s="382">
        <v>701550</v>
      </c>
      <c r="H87" s="512"/>
      <c r="I87" s="103"/>
      <c r="J87" s="514"/>
      <c r="K87" s="538"/>
      <c r="L87" s="273"/>
      <c r="M87" s="273"/>
      <c r="N87" s="273"/>
      <c r="O87" s="273"/>
    </row>
    <row r="88" spans="2:15">
      <c r="B88" s="273" t="s">
        <v>81</v>
      </c>
      <c r="C88" s="276">
        <v>45408</v>
      </c>
      <c r="D88" s="273">
        <v>1062</v>
      </c>
      <c r="E88" s="273" t="s">
        <v>128</v>
      </c>
      <c r="F88" s="381" t="s">
        <v>163</v>
      </c>
      <c r="G88" s="382">
        <v>700773</v>
      </c>
      <c r="H88" s="512"/>
      <c r="I88" s="223">
        <v>2252.7950000000005</v>
      </c>
      <c r="J88" s="514"/>
      <c r="K88" s="538"/>
      <c r="L88" s="273"/>
      <c r="M88" s="273"/>
      <c r="N88" s="273"/>
      <c r="O88" s="273"/>
    </row>
    <row r="89" spans="2:15">
      <c r="B89" s="273" t="s">
        <v>81</v>
      </c>
      <c r="C89" s="276">
        <v>45408</v>
      </c>
      <c r="D89" s="273">
        <v>1062</v>
      </c>
      <c r="E89" s="273" t="s">
        <v>128</v>
      </c>
      <c r="F89" s="381" t="s">
        <v>164</v>
      </c>
      <c r="G89" s="382">
        <v>914124</v>
      </c>
      <c r="H89" s="512"/>
      <c r="I89" s="223">
        <v>1082.8600000000004</v>
      </c>
      <c r="J89" s="514"/>
      <c r="K89" s="538"/>
      <c r="L89" s="273"/>
      <c r="M89" s="273"/>
      <c r="N89" s="273"/>
      <c r="O89" s="273"/>
    </row>
    <row r="90" spans="2:15">
      <c r="B90" s="273" t="s">
        <v>81</v>
      </c>
      <c r="C90" s="276">
        <v>45408</v>
      </c>
      <c r="D90" s="273">
        <v>1062</v>
      </c>
      <c r="E90" s="273" t="s">
        <v>128</v>
      </c>
      <c r="F90" s="381" t="s">
        <v>165</v>
      </c>
      <c r="G90" s="382">
        <v>914125</v>
      </c>
      <c r="H90" s="512"/>
      <c r="I90" s="223">
        <v>883.40500000000009</v>
      </c>
      <c r="J90" s="514"/>
      <c r="K90" s="538"/>
      <c r="L90" s="273"/>
      <c r="M90" s="273"/>
      <c r="N90" s="273"/>
      <c r="O90" s="273"/>
    </row>
    <row r="91" spans="2:15">
      <c r="B91" s="273" t="s">
        <v>81</v>
      </c>
      <c r="C91" s="276">
        <v>45408</v>
      </c>
      <c r="D91" s="273">
        <v>1062</v>
      </c>
      <c r="E91" s="273" t="s">
        <v>128</v>
      </c>
      <c r="F91" s="381" t="s">
        <v>166</v>
      </c>
      <c r="G91" s="382">
        <v>914147</v>
      </c>
      <c r="H91" s="512"/>
      <c r="I91" s="223">
        <v>1295.0250000000001</v>
      </c>
      <c r="J91" s="514"/>
      <c r="K91" s="538"/>
      <c r="L91" s="273"/>
      <c r="M91" s="273"/>
      <c r="N91" s="273"/>
      <c r="O91" s="273"/>
    </row>
    <row r="92" spans="2:15">
      <c r="B92" s="273" t="s">
        <v>81</v>
      </c>
      <c r="C92" s="276">
        <v>45408</v>
      </c>
      <c r="D92" s="273">
        <v>1062</v>
      </c>
      <c r="E92" s="273" t="s">
        <v>128</v>
      </c>
      <c r="F92" s="381" t="s">
        <v>167</v>
      </c>
      <c r="G92" s="382">
        <v>968795</v>
      </c>
      <c r="H92" s="512"/>
      <c r="I92" s="223">
        <v>960.23999999999978</v>
      </c>
      <c r="J92" s="514"/>
      <c r="K92" s="538"/>
      <c r="L92" s="273"/>
      <c r="M92" s="273"/>
      <c r="N92" s="273"/>
      <c r="O92" s="273"/>
    </row>
    <row r="93" spans="2:15">
      <c r="B93" s="273" t="s">
        <v>81</v>
      </c>
      <c r="C93" s="276">
        <v>45408</v>
      </c>
      <c r="D93" s="273">
        <v>1062</v>
      </c>
      <c r="E93" s="273" t="s">
        <v>128</v>
      </c>
      <c r="F93" s="381" t="s">
        <v>168</v>
      </c>
      <c r="G93" s="383">
        <v>966363</v>
      </c>
      <c r="H93" s="512"/>
      <c r="I93" s="223">
        <v>1958.0119999999999</v>
      </c>
      <c r="J93" s="514"/>
      <c r="K93" s="538"/>
      <c r="L93" s="273"/>
      <c r="M93" s="273"/>
      <c r="N93" s="273"/>
      <c r="O93" s="273"/>
    </row>
    <row r="94" spans="2:15">
      <c r="B94" s="273" t="s">
        <v>81</v>
      </c>
      <c r="C94" s="276">
        <v>45408</v>
      </c>
      <c r="D94" s="273">
        <v>1062</v>
      </c>
      <c r="E94" s="273" t="s">
        <v>128</v>
      </c>
      <c r="F94" s="381" t="s">
        <v>169</v>
      </c>
      <c r="G94" s="382">
        <v>700388</v>
      </c>
      <c r="H94" s="512"/>
      <c r="I94" s="223">
        <v>2106.17</v>
      </c>
      <c r="J94" s="514"/>
      <c r="K94" s="538"/>
      <c r="L94" s="273"/>
      <c r="M94" s="273"/>
      <c r="N94" s="273"/>
      <c r="O94" s="273"/>
    </row>
    <row r="95" spans="2:15">
      <c r="B95" s="273" t="s">
        <v>81</v>
      </c>
      <c r="C95" s="276">
        <v>45408</v>
      </c>
      <c r="D95" s="273">
        <v>1062</v>
      </c>
      <c r="E95" s="273" t="s">
        <v>128</v>
      </c>
      <c r="F95" s="381" t="s">
        <v>170</v>
      </c>
      <c r="G95" s="382">
        <v>952277</v>
      </c>
      <c r="H95" s="512"/>
      <c r="I95" s="223">
        <v>1759.2670000000001</v>
      </c>
      <c r="J95" s="514"/>
      <c r="K95" s="538"/>
      <c r="L95" s="273"/>
      <c r="M95" s="273"/>
      <c r="N95" s="273"/>
      <c r="O95" s="273"/>
    </row>
    <row r="96" spans="2:15">
      <c r="B96" s="273" t="s">
        <v>81</v>
      </c>
      <c r="C96" s="276">
        <v>45408</v>
      </c>
      <c r="D96" s="273">
        <v>1062</v>
      </c>
      <c r="E96" s="273" t="s">
        <v>128</v>
      </c>
      <c r="F96" s="381" t="s">
        <v>171</v>
      </c>
      <c r="G96" s="382">
        <v>952279</v>
      </c>
      <c r="H96" s="512"/>
      <c r="I96" s="379">
        <v>2697.2360000000003</v>
      </c>
      <c r="J96" s="514"/>
      <c r="K96" s="538"/>
      <c r="L96" s="273"/>
      <c r="M96" s="273"/>
      <c r="N96" s="273"/>
      <c r="O96" s="273"/>
    </row>
    <row r="97" spans="1:15">
      <c r="B97" s="277" t="s">
        <v>81</v>
      </c>
      <c r="C97" s="278">
        <v>45411</v>
      </c>
      <c r="D97" s="277">
        <v>1107</v>
      </c>
      <c r="E97" s="277" t="s">
        <v>172</v>
      </c>
      <c r="F97" s="277" t="s">
        <v>173</v>
      </c>
      <c r="G97" s="277">
        <v>967226</v>
      </c>
      <c r="H97" s="464">
        <v>15000</v>
      </c>
      <c r="I97" s="249"/>
      <c r="J97" s="472">
        <f>H97-(SUM(I97:I103))</f>
        <v>15000</v>
      </c>
      <c r="K97" s="492">
        <f>(SUM(I97:I103))/H97</f>
        <v>0</v>
      </c>
      <c r="L97" s="277"/>
      <c r="M97" s="277"/>
      <c r="N97" s="277"/>
      <c r="O97" s="277"/>
    </row>
    <row r="98" spans="1:15">
      <c r="B98" s="277" t="s">
        <v>81</v>
      </c>
      <c r="C98" s="278">
        <v>45411</v>
      </c>
      <c r="D98" s="277">
        <v>1107</v>
      </c>
      <c r="E98" s="277" t="s">
        <v>172</v>
      </c>
      <c r="F98" s="277" t="s">
        <v>174</v>
      </c>
      <c r="G98" s="277">
        <v>961805</v>
      </c>
      <c r="H98" s="491"/>
      <c r="I98" s="277"/>
      <c r="J98" s="472"/>
      <c r="K98" s="492"/>
      <c r="L98" s="277"/>
      <c r="M98" s="277"/>
      <c r="N98" s="277"/>
      <c r="O98" s="277"/>
    </row>
    <row r="99" spans="1:15">
      <c r="B99" s="277" t="s">
        <v>81</v>
      </c>
      <c r="C99" s="278">
        <v>45411</v>
      </c>
      <c r="D99" s="277">
        <v>1107</v>
      </c>
      <c r="E99" s="277" t="s">
        <v>172</v>
      </c>
      <c r="F99" s="277" t="s">
        <v>175</v>
      </c>
      <c r="G99" s="277">
        <v>702161</v>
      </c>
      <c r="H99" s="491"/>
      <c r="I99" s="277"/>
      <c r="J99" s="472"/>
      <c r="K99" s="492"/>
      <c r="L99" s="277"/>
      <c r="M99" s="277"/>
      <c r="N99" s="277"/>
      <c r="O99" s="277"/>
    </row>
    <row r="100" spans="1:15">
      <c r="B100" s="277" t="s">
        <v>81</v>
      </c>
      <c r="C100" s="278">
        <v>45411</v>
      </c>
      <c r="D100" s="277">
        <v>1107</v>
      </c>
      <c r="E100" s="277" t="s">
        <v>172</v>
      </c>
      <c r="F100" s="277" t="s">
        <v>176</v>
      </c>
      <c r="G100" s="277">
        <v>968122</v>
      </c>
      <c r="H100" s="491"/>
      <c r="I100" s="277"/>
      <c r="J100" s="472"/>
      <c r="K100" s="492"/>
      <c r="L100" s="277"/>
      <c r="M100" s="277"/>
      <c r="N100" s="277"/>
      <c r="O100" s="277"/>
    </row>
    <row r="101" spans="1:15">
      <c r="B101" s="277" t="s">
        <v>81</v>
      </c>
      <c r="C101" s="278">
        <v>45411</v>
      </c>
      <c r="D101" s="277">
        <v>1107</v>
      </c>
      <c r="E101" s="277" t="s">
        <v>172</v>
      </c>
      <c r="F101" s="277" t="s">
        <v>177</v>
      </c>
      <c r="G101" s="277">
        <v>702056</v>
      </c>
      <c r="H101" s="491"/>
      <c r="I101" s="277"/>
      <c r="J101" s="472"/>
      <c r="K101" s="492"/>
      <c r="L101" s="277"/>
      <c r="M101" s="277"/>
      <c r="N101" s="277"/>
      <c r="O101" s="277"/>
    </row>
    <row r="102" spans="1:15">
      <c r="B102" s="277" t="s">
        <v>81</v>
      </c>
      <c r="C102" s="278">
        <v>45411</v>
      </c>
      <c r="D102" s="277">
        <v>1107</v>
      </c>
      <c r="E102" s="277" t="s">
        <v>172</v>
      </c>
      <c r="F102" s="277" t="s">
        <v>178</v>
      </c>
      <c r="G102" s="277">
        <v>697302</v>
      </c>
      <c r="H102" s="491"/>
      <c r="I102" s="277"/>
      <c r="J102" s="472"/>
      <c r="K102" s="492"/>
      <c r="L102" s="277"/>
      <c r="M102" s="277"/>
      <c r="N102" s="277"/>
      <c r="O102" s="277"/>
    </row>
    <row r="103" spans="1:15">
      <c r="B103" s="279" t="s">
        <v>81</v>
      </c>
      <c r="C103" s="280">
        <v>45411</v>
      </c>
      <c r="D103" s="279">
        <v>1107</v>
      </c>
      <c r="E103" s="279" t="s">
        <v>172</v>
      </c>
      <c r="F103" s="279" t="s">
        <v>179</v>
      </c>
      <c r="G103" s="279">
        <v>701983</v>
      </c>
      <c r="H103" s="491"/>
      <c r="I103" s="279"/>
      <c r="J103" s="464"/>
      <c r="K103" s="493"/>
      <c r="L103" s="277"/>
      <c r="M103" s="277"/>
      <c r="N103" s="277"/>
      <c r="O103" s="277"/>
    </row>
    <row r="104" spans="1:15" s="237" customFormat="1" ht="13.9">
      <c r="A104" s="237" t="s">
        <v>180</v>
      </c>
      <c r="B104" s="281" t="s">
        <v>81</v>
      </c>
      <c r="C104" s="282">
        <v>45411</v>
      </c>
      <c r="D104" s="281">
        <v>1108</v>
      </c>
      <c r="E104" s="281" t="s">
        <v>172</v>
      </c>
      <c r="F104" s="281" t="s">
        <v>181</v>
      </c>
      <c r="G104" s="281">
        <v>969667</v>
      </c>
      <c r="H104" s="494">
        <v>15000</v>
      </c>
      <c r="I104" s="281"/>
      <c r="J104" s="495">
        <f>H104-(SUM(I104:I109))</f>
        <v>15000</v>
      </c>
      <c r="K104" s="498">
        <f>(SUM(I104:I109))/H104</f>
        <v>0</v>
      </c>
      <c r="L104" s="281"/>
      <c r="M104" s="281"/>
      <c r="N104" s="281"/>
      <c r="O104" s="281"/>
    </row>
    <row r="105" spans="1:15" s="237" customFormat="1" ht="13.9">
      <c r="A105" s="237" t="s">
        <v>180</v>
      </c>
      <c r="B105" s="281" t="s">
        <v>81</v>
      </c>
      <c r="C105" s="282">
        <v>45411</v>
      </c>
      <c r="D105" s="281">
        <v>1108</v>
      </c>
      <c r="E105" s="281" t="s">
        <v>172</v>
      </c>
      <c r="F105" s="281" t="s">
        <v>182</v>
      </c>
      <c r="G105" s="281">
        <v>700408</v>
      </c>
      <c r="H105" s="494"/>
      <c r="I105" s="281"/>
      <c r="J105" s="496"/>
      <c r="K105" s="499"/>
      <c r="L105" s="281"/>
      <c r="M105" s="281"/>
      <c r="N105" s="281"/>
      <c r="O105" s="281"/>
    </row>
    <row r="106" spans="1:15" s="237" customFormat="1" ht="13.9">
      <c r="A106" s="237" t="s">
        <v>180</v>
      </c>
      <c r="B106" s="281" t="s">
        <v>81</v>
      </c>
      <c r="C106" s="282">
        <v>45411</v>
      </c>
      <c r="D106" s="281">
        <v>1108</v>
      </c>
      <c r="E106" s="281" t="s">
        <v>172</v>
      </c>
      <c r="F106" s="281" t="s">
        <v>183</v>
      </c>
      <c r="G106" s="281">
        <v>967935</v>
      </c>
      <c r="H106" s="494"/>
      <c r="I106" s="281"/>
      <c r="J106" s="496"/>
      <c r="K106" s="499"/>
      <c r="L106" s="281"/>
      <c r="M106" s="281"/>
      <c r="N106" s="281"/>
      <c r="O106" s="281"/>
    </row>
    <row r="107" spans="1:15" s="237" customFormat="1" ht="13.9">
      <c r="A107" s="237" t="s">
        <v>180</v>
      </c>
      <c r="B107" s="281" t="s">
        <v>81</v>
      </c>
      <c r="C107" s="282">
        <v>45411</v>
      </c>
      <c r="D107" s="281">
        <v>1108</v>
      </c>
      <c r="E107" s="281" t="s">
        <v>172</v>
      </c>
      <c r="F107" s="281" t="s">
        <v>184</v>
      </c>
      <c r="G107" s="281">
        <v>967513</v>
      </c>
      <c r="H107" s="494"/>
      <c r="I107" s="281"/>
      <c r="J107" s="496"/>
      <c r="K107" s="499"/>
      <c r="L107" s="281"/>
      <c r="M107" s="281"/>
      <c r="N107" s="281"/>
      <c r="O107" s="281"/>
    </row>
    <row r="108" spans="1:15" s="237" customFormat="1" ht="13.9">
      <c r="A108" s="237" t="s">
        <v>180</v>
      </c>
      <c r="B108" s="281" t="s">
        <v>81</v>
      </c>
      <c r="C108" s="282">
        <v>45411</v>
      </c>
      <c r="D108" s="281">
        <v>1108</v>
      </c>
      <c r="E108" s="281" t="s">
        <v>172</v>
      </c>
      <c r="F108" s="281" t="s">
        <v>185</v>
      </c>
      <c r="G108" s="281">
        <v>701486</v>
      </c>
      <c r="H108" s="494"/>
      <c r="I108" s="281"/>
      <c r="J108" s="496"/>
      <c r="K108" s="499"/>
      <c r="L108" s="281"/>
      <c r="M108" s="281"/>
      <c r="N108" s="281"/>
      <c r="O108" s="281"/>
    </row>
    <row r="109" spans="1:15" s="237" customFormat="1" ht="13.9">
      <c r="A109" s="237" t="s">
        <v>180</v>
      </c>
      <c r="B109" s="281" t="s">
        <v>81</v>
      </c>
      <c r="C109" s="282">
        <v>45411</v>
      </c>
      <c r="D109" s="281">
        <v>1108</v>
      </c>
      <c r="E109" s="281" t="s">
        <v>172</v>
      </c>
      <c r="F109" s="281" t="s">
        <v>186</v>
      </c>
      <c r="G109" s="281">
        <v>968789</v>
      </c>
      <c r="H109" s="494"/>
      <c r="I109" s="281"/>
      <c r="J109" s="497"/>
      <c r="K109" s="500"/>
      <c r="L109" s="281"/>
      <c r="M109" s="281"/>
      <c r="N109" s="281"/>
      <c r="O109" s="281"/>
    </row>
    <row r="110" spans="1:15" ht="15" thickBot="1">
      <c r="B110" s="260" t="s">
        <v>81</v>
      </c>
      <c r="C110" s="261">
        <v>45440</v>
      </c>
      <c r="D110" s="260">
        <v>1312</v>
      </c>
      <c r="E110" s="260" t="s">
        <v>172</v>
      </c>
      <c r="F110" s="260" t="s">
        <v>187</v>
      </c>
      <c r="G110" s="260">
        <v>700966</v>
      </c>
      <c r="H110" s="488">
        <v>8000</v>
      </c>
      <c r="I110" s="379">
        <v>892.46500000000003</v>
      </c>
      <c r="J110" s="488">
        <f>H110-(SUM(I110:I113))</f>
        <v>1506.5120000000006</v>
      </c>
      <c r="K110" s="501">
        <f>(SUM(I110:I113))/H110</f>
        <v>0.81168599999999991</v>
      </c>
      <c r="L110" s="260"/>
      <c r="M110" s="260"/>
      <c r="N110" s="260"/>
      <c r="O110" s="260"/>
    </row>
    <row r="111" spans="1:15">
      <c r="B111" s="260" t="s">
        <v>81</v>
      </c>
      <c r="C111" s="261">
        <v>45441</v>
      </c>
      <c r="D111" s="260">
        <v>1312</v>
      </c>
      <c r="E111" s="260" t="s">
        <v>172</v>
      </c>
      <c r="F111" s="260" t="s">
        <v>188</v>
      </c>
      <c r="G111" s="260">
        <v>702567</v>
      </c>
      <c r="H111" s="489"/>
      <c r="I111" s="283">
        <v>1673.425</v>
      </c>
      <c r="J111" s="489"/>
      <c r="K111" s="502"/>
      <c r="L111" s="260"/>
      <c r="M111" s="260"/>
      <c r="N111" s="260"/>
      <c r="O111" s="260"/>
    </row>
    <row r="112" spans="1:15">
      <c r="B112" s="260" t="s">
        <v>81</v>
      </c>
      <c r="C112" s="261">
        <v>45440</v>
      </c>
      <c r="D112" s="260">
        <v>1312</v>
      </c>
      <c r="E112" s="260" t="s">
        <v>172</v>
      </c>
      <c r="F112" s="260" t="s">
        <v>189</v>
      </c>
      <c r="G112" s="260">
        <v>702390</v>
      </c>
      <c r="H112" s="489"/>
      <c r="I112" s="284">
        <v>2182.989</v>
      </c>
      <c r="J112" s="489"/>
      <c r="K112" s="502"/>
      <c r="L112" s="260"/>
      <c r="M112" s="260"/>
      <c r="N112" s="260"/>
      <c r="O112" s="260"/>
    </row>
    <row r="113" spans="2:15" ht="15" thickBot="1">
      <c r="B113" s="260" t="s">
        <v>81</v>
      </c>
      <c r="C113" s="261">
        <v>45440</v>
      </c>
      <c r="D113" s="260">
        <v>1312</v>
      </c>
      <c r="E113" s="260" t="s">
        <v>172</v>
      </c>
      <c r="F113" s="260" t="s">
        <v>190</v>
      </c>
      <c r="G113" s="260">
        <v>702703</v>
      </c>
      <c r="H113" s="490"/>
      <c r="I113" s="284">
        <v>1744.6089999999999</v>
      </c>
      <c r="J113" s="490"/>
      <c r="K113" s="503"/>
      <c r="L113" s="260"/>
      <c r="M113" s="260"/>
      <c r="N113" s="260"/>
      <c r="O113" s="260"/>
    </row>
    <row r="114" spans="2:15">
      <c r="B114" s="196" t="s">
        <v>81</v>
      </c>
      <c r="C114" s="285">
        <v>45446</v>
      </c>
      <c r="D114" s="196">
        <v>1356</v>
      </c>
      <c r="E114" s="196" t="s">
        <v>191</v>
      </c>
      <c r="F114" s="196" t="s">
        <v>192</v>
      </c>
      <c r="G114" s="196">
        <v>701740</v>
      </c>
      <c r="H114" s="196"/>
      <c r="I114" s="196"/>
      <c r="J114" s="196"/>
      <c r="K114" s="196"/>
      <c r="L114" s="546">
        <v>500</v>
      </c>
      <c r="M114" s="286">
        <v>3.992</v>
      </c>
      <c r="N114" s="546">
        <f>L114-(SUM(M114:M119))</f>
        <v>354.72500000000002</v>
      </c>
      <c r="O114" s="539">
        <f>(SUM(M114:M119)/N114)</f>
        <v>0.4095426034251885</v>
      </c>
    </row>
    <row r="115" spans="2:15">
      <c r="B115" s="196" t="s">
        <v>81</v>
      </c>
      <c r="C115" s="285">
        <v>45446</v>
      </c>
      <c r="D115" s="196">
        <v>1356</v>
      </c>
      <c r="E115" s="196" t="s">
        <v>191</v>
      </c>
      <c r="F115" s="196" t="s">
        <v>193</v>
      </c>
      <c r="G115" s="196">
        <v>700757</v>
      </c>
      <c r="H115" s="196"/>
      <c r="I115" s="196"/>
      <c r="J115" s="196"/>
      <c r="K115" s="196"/>
      <c r="L115" s="546"/>
      <c r="M115" s="196"/>
      <c r="N115" s="546"/>
      <c r="O115" s="539"/>
    </row>
    <row r="116" spans="2:15">
      <c r="B116" s="196" t="s">
        <v>81</v>
      </c>
      <c r="C116" s="285">
        <v>45446</v>
      </c>
      <c r="D116" s="196">
        <v>1356</v>
      </c>
      <c r="E116" s="196" t="s">
        <v>191</v>
      </c>
      <c r="F116" s="196" t="s">
        <v>194</v>
      </c>
      <c r="G116" s="196">
        <v>699260</v>
      </c>
      <c r="H116" s="196"/>
      <c r="I116" s="196"/>
      <c r="J116" s="196"/>
      <c r="K116" s="196"/>
      <c r="L116" s="546"/>
      <c r="M116" s="287">
        <v>20.038</v>
      </c>
      <c r="N116" s="546"/>
      <c r="O116" s="539"/>
    </row>
    <row r="117" spans="2:15">
      <c r="B117" s="196" t="s">
        <v>81</v>
      </c>
      <c r="C117" s="285">
        <v>45446</v>
      </c>
      <c r="D117" s="196">
        <v>1356</v>
      </c>
      <c r="E117" s="196" t="s">
        <v>191</v>
      </c>
      <c r="F117" s="196" t="s">
        <v>195</v>
      </c>
      <c r="G117" s="196">
        <v>969710</v>
      </c>
      <c r="H117" s="196"/>
      <c r="I117" s="196"/>
      <c r="J117" s="196"/>
      <c r="K117" s="196"/>
      <c r="L117" s="546"/>
      <c r="M117" s="287">
        <v>39.396000000000001</v>
      </c>
      <c r="N117" s="546"/>
      <c r="O117" s="539"/>
    </row>
    <row r="118" spans="2:15">
      <c r="B118" s="196" t="s">
        <v>81</v>
      </c>
      <c r="C118" s="285">
        <v>45446</v>
      </c>
      <c r="D118" s="287">
        <v>1356</v>
      </c>
      <c r="E118" s="196" t="s">
        <v>191</v>
      </c>
      <c r="F118" s="196" t="s">
        <v>196</v>
      </c>
      <c r="G118" s="196">
        <v>702604</v>
      </c>
      <c r="H118" s="196"/>
      <c r="I118" s="196"/>
      <c r="J118" s="196"/>
      <c r="K118" s="196"/>
      <c r="L118" s="546"/>
      <c r="M118" s="287">
        <v>62.846000000000004</v>
      </c>
      <c r="N118" s="546"/>
      <c r="O118" s="539"/>
    </row>
    <row r="119" spans="2:15" ht="15" thickBot="1">
      <c r="B119" s="196" t="s">
        <v>81</v>
      </c>
      <c r="C119" s="285">
        <v>45446</v>
      </c>
      <c r="D119" s="196">
        <v>1356</v>
      </c>
      <c r="E119" s="196" t="s">
        <v>191</v>
      </c>
      <c r="F119" s="196" t="s">
        <v>197</v>
      </c>
      <c r="G119" s="196">
        <v>702453</v>
      </c>
      <c r="H119" s="196"/>
      <c r="I119" s="196"/>
      <c r="J119" s="196"/>
      <c r="K119" s="196"/>
      <c r="L119" s="546"/>
      <c r="M119" s="287">
        <v>19.003</v>
      </c>
      <c r="N119" s="546"/>
      <c r="O119" s="539"/>
    </row>
    <row r="120" spans="2:15">
      <c r="B120" s="288" t="s">
        <v>81</v>
      </c>
      <c r="C120" s="289">
        <v>45446</v>
      </c>
      <c r="D120" s="288">
        <v>1357</v>
      </c>
      <c r="E120" s="288" t="s">
        <v>128</v>
      </c>
      <c r="F120" s="290" t="s">
        <v>198</v>
      </c>
      <c r="G120" s="291">
        <v>701740</v>
      </c>
      <c r="H120" s="540">
        <f>50000-39000</f>
        <v>11000</v>
      </c>
      <c r="I120" s="292">
        <v>470.08699999999999</v>
      </c>
      <c r="J120" s="540">
        <f>H120-(SUM(I120:I137))</f>
        <v>7239.3739999999998</v>
      </c>
      <c r="K120" s="543">
        <f>(SUM(I120:I137))/H120</f>
        <v>0.34187509090909091</v>
      </c>
      <c r="L120" s="288"/>
      <c r="M120" s="288"/>
      <c r="N120" s="288"/>
      <c r="O120" s="288"/>
    </row>
    <row r="121" spans="2:15">
      <c r="B121" s="288" t="s">
        <v>81</v>
      </c>
      <c r="C121" s="289">
        <v>45446</v>
      </c>
      <c r="D121" s="288">
        <v>1357</v>
      </c>
      <c r="E121" s="288" t="s">
        <v>128</v>
      </c>
      <c r="F121" s="293" t="s">
        <v>199</v>
      </c>
      <c r="G121" s="294">
        <v>967665</v>
      </c>
      <c r="H121" s="541"/>
      <c r="I121" s="295">
        <v>170.6</v>
      </c>
      <c r="J121" s="541"/>
      <c r="K121" s="544"/>
      <c r="L121" s="288"/>
      <c r="M121" s="288"/>
      <c r="N121" s="288"/>
      <c r="O121" s="288"/>
    </row>
    <row r="122" spans="2:15">
      <c r="B122" s="288" t="s">
        <v>81</v>
      </c>
      <c r="C122" s="289">
        <v>45446</v>
      </c>
      <c r="D122" s="288">
        <v>1357</v>
      </c>
      <c r="E122" s="288" t="s">
        <v>128</v>
      </c>
      <c r="F122" s="293" t="s">
        <v>200</v>
      </c>
      <c r="G122" s="294">
        <v>701438</v>
      </c>
      <c r="H122" s="541"/>
      <c r="I122" s="379">
        <v>5.9690000000000003</v>
      </c>
      <c r="J122" s="541"/>
      <c r="K122" s="544"/>
      <c r="L122" s="288"/>
      <c r="M122" s="288"/>
      <c r="N122" s="288"/>
      <c r="O122" s="288"/>
    </row>
    <row r="123" spans="2:15">
      <c r="B123" s="288" t="s">
        <v>81</v>
      </c>
      <c r="C123" s="289">
        <v>45446</v>
      </c>
      <c r="D123" s="288">
        <v>1357</v>
      </c>
      <c r="E123" s="288" t="s">
        <v>128</v>
      </c>
      <c r="F123" s="293" t="s">
        <v>94</v>
      </c>
      <c r="G123" s="296">
        <v>702802</v>
      </c>
      <c r="H123" s="541"/>
      <c r="I123" s="295">
        <v>106.694</v>
      </c>
      <c r="J123" s="541"/>
      <c r="K123" s="544"/>
      <c r="L123" s="288"/>
      <c r="M123" s="288"/>
      <c r="N123" s="288"/>
      <c r="O123" s="288"/>
    </row>
    <row r="124" spans="2:15">
      <c r="B124" s="288" t="s">
        <v>81</v>
      </c>
      <c r="C124" s="289">
        <v>45446</v>
      </c>
      <c r="D124" s="288">
        <v>1357</v>
      </c>
      <c r="E124" s="288" t="s">
        <v>128</v>
      </c>
      <c r="F124" s="297" t="s">
        <v>201</v>
      </c>
      <c r="G124" s="294">
        <v>969068</v>
      </c>
      <c r="H124" s="541"/>
      <c r="I124" s="379">
        <v>20.821999999999999</v>
      </c>
      <c r="J124" s="541"/>
      <c r="K124" s="544"/>
      <c r="L124" s="288"/>
      <c r="M124" s="288"/>
      <c r="N124" s="288"/>
      <c r="O124" s="288"/>
    </row>
    <row r="125" spans="2:15">
      <c r="B125" s="288" t="s">
        <v>81</v>
      </c>
      <c r="C125" s="289">
        <v>45446</v>
      </c>
      <c r="D125" s="288">
        <v>1357</v>
      </c>
      <c r="E125" s="288" t="s">
        <v>128</v>
      </c>
      <c r="F125" s="293" t="s">
        <v>202</v>
      </c>
      <c r="G125" s="294">
        <v>702453</v>
      </c>
      <c r="H125" s="541"/>
      <c r="I125" s="295">
        <v>694.89799999999991</v>
      </c>
      <c r="J125" s="541"/>
      <c r="K125" s="544"/>
      <c r="L125" s="288"/>
      <c r="M125" s="288"/>
      <c r="N125" s="288"/>
      <c r="O125" s="288"/>
    </row>
    <row r="126" spans="2:15">
      <c r="B126" s="288" t="s">
        <v>81</v>
      </c>
      <c r="C126" s="289">
        <v>45446</v>
      </c>
      <c r="D126" s="288">
        <v>1357</v>
      </c>
      <c r="E126" s="288" t="s">
        <v>128</v>
      </c>
      <c r="F126" s="293" t="s">
        <v>203</v>
      </c>
      <c r="G126" s="294">
        <v>699260</v>
      </c>
      <c r="H126" s="541"/>
      <c r="I126" s="295">
        <v>550.9910000000001</v>
      </c>
      <c r="J126" s="541"/>
      <c r="K126" s="544"/>
      <c r="L126" s="288"/>
      <c r="M126" s="288"/>
      <c r="N126" s="288"/>
      <c r="O126" s="288"/>
    </row>
    <row r="127" spans="2:15">
      <c r="B127" s="288" t="s">
        <v>81</v>
      </c>
      <c r="C127" s="289">
        <v>45446</v>
      </c>
      <c r="D127" s="288">
        <v>1357</v>
      </c>
      <c r="E127" s="288" t="s">
        <v>128</v>
      </c>
      <c r="F127" s="293" t="s">
        <v>204</v>
      </c>
      <c r="G127" s="294">
        <v>969710</v>
      </c>
      <c r="H127" s="541"/>
      <c r="I127" s="295">
        <v>714.42400000000009</v>
      </c>
      <c r="J127" s="541"/>
      <c r="K127" s="544"/>
      <c r="L127" s="288"/>
      <c r="M127" s="288"/>
      <c r="N127" s="288"/>
      <c r="O127" s="288"/>
    </row>
    <row r="128" spans="2:15">
      <c r="B128" s="288" t="s">
        <v>81</v>
      </c>
      <c r="C128" s="289">
        <v>45446</v>
      </c>
      <c r="D128" s="288">
        <v>1357</v>
      </c>
      <c r="E128" s="288" t="s">
        <v>128</v>
      </c>
      <c r="F128" s="297" t="s">
        <v>205</v>
      </c>
      <c r="G128" s="294">
        <v>699329</v>
      </c>
      <c r="H128" s="541"/>
      <c r="I128" s="295"/>
      <c r="J128" s="541"/>
      <c r="K128" s="544"/>
      <c r="L128" s="288"/>
      <c r="M128" s="288"/>
      <c r="N128" s="288"/>
      <c r="O128" s="288"/>
    </row>
    <row r="129" spans="2:15">
      <c r="B129" s="288" t="s">
        <v>81</v>
      </c>
      <c r="C129" s="289">
        <v>45446</v>
      </c>
      <c r="D129" s="288">
        <v>1357</v>
      </c>
      <c r="E129" s="288" t="s">
        <v>128</v>
      </c>
      <c r="F129" s="297" t="s">
        <v>206</v>
      </c>
      <c r="G129" s="294">
        <v>702709</v>
      </c>
      <c r="H129" s="541"/>
      <c r="I129" s="295">
        <v>121.277</v>
      </c>
      <c r="J129" s="541"/>
      <c r="K129" s="544"/>
      <c r="L129" s="288"/>
      <c r="M129" s="288"/>
      <c r="N129" s="288"/>
      <c r="O129" s="288"/>
    </row>
    <row r="130" spans="2:15">
      <c r="B130" s="288" t="s">
        <v>81</v>
      </c>
      <c r="C130" s="289">
        <v>45446</v>
      </c>
      <c r="D130" s="288">
        <v>1357</v>
      </c>
      <c r="E130" s="288" t="s">
        <v>128</v>
      </c>
      <c r="F130" s="293" t="s">
        <v>207</v>
      </c>
      <c r="G130" s="294">
        <v>702604</v>
      </c>
      <c r="H130" s="541"/>
      <c r="I130" s="295">
        <v>339.13799999999998</v>
      </c>
      <c r="J130" s="541"/>
      <c r="K130" s="544"/>
      <c r="L130" s="288"/>
      <c r="M130" s="288"/>
      <c r="N130" s="288"/>
      <c r="O130" s="288"/>
    </row>
    <row r="131" spans="2:15">
      <c r="B131" s="288" t="s">
        <v>81</v>
      </c>
      <c r="C131" s="289">
        <v>45446</v>
      </c>
      <c r="D131" s="288">
        <v>1357</v>
      </c>
      <c r="E131" s="288" t="s">
        <v>128</v>
      </c>
      <c r="F131" s="293" t="s">
        <v>208</v>
      </c>
      <c r="G131" s="294">
        <v>700757</v>
      </c>
      <c r="H131" s="541"/>
      <c r="I131" s="295">
        <v>312.55</v>
      </c>
      <c r="J131" s="541"/>
      <c r="K131" s="544"/>
      <c r="L131" s="288"/>
      <c r="M131" s="288"/>
      <c r="N131" s="288"/>
      <c r="O131" s="288"/>
    </row>
    <row r="132" spans="2:15">
      <c r="B132" s="288" t="s">
        <v>81</v>
      </c>
      <c r="C132" s="289">
        <v>45446</v>
      </c>
      <c r="D132" s="288">
        <v>1357</v>
      </c>
      <c r="E132" s="288" t="s">
        <v>128</v>
      </c>
      <c r="F132" s="297" t="s">
        <v>209</v>
      </c>
      <c r="G132" s="294">
        <v>968447</v>
      </c>
      <c r="H132" s="541"/>
      <c r="I132" s="379">
        <v>121.131</v>
      </c>
      <c r="J132" s="541"/>
      <c r="K132" s="544"/>
      <c r="L132" s="288"/>
      <c r="M132" s="288"/>
      <c r="N132" s="288"/>
      <c r="O132" s="288"/>
    </row>
    <row r="133" spans="2:15" s="173" customFormat="1">
      <c r="B133" s="288" t="s">
        <v>81</v>
      </c>
      <c r="C133" s="289">
        <v>45446</v>
      </c>
      <c r="D133" s="288">
        <v>1357</v>
      </c>
      <c r="E133" s="288" t="s">
        <v>128</v>
      </c>
      <c r="F133" s="297" t="s">
        <v>210</v>
      </c>
      <c r="G133" s="294">
        <v>968274</v>
      </c>
      <c r="H133" s="541"/>
      <c r="I133" s="379">
        <v>31.792999999999999</v>
      </c>
      <c r="J133" s="541"/>
      <c r="K133" s="544"/>
      <c r="L133" s="288"/>
      <c r="M133" s="288"/>
      <c r="N133" s="288"/>
      <c r="O133" s="288"/>
    </row>
    <row r="134" spans="2:15" s="173" customFormat="1">
      <c r="B134" s="288" t="s">
        <v>81</v>
      </c>
      <c r="C134" s="289">
        <v>45446</v>
      </c>
      <c r="D134" s="288">
        <v>1357</v>
      </c>
      <c r="E134" s="288" t="s">
        <v>128</v>
      </c>
      <c r="F134" s="297" t="s">
        <v>211</v>
      </c>
      <c r="G134" s="294">
        <v>699687</v>
      </c>
      <c r="H134" s="541"/>
      <c r="I134" s="379">
        <v>66.153999999999996</v>
      </c>
      <c r="J134" s="541"/>
      <c r="K134" s="544"/>
      <c r="L134" s="288"/>
      <c r="M134" s="288"/>
      <c r="N134" s="288"/>
      <c r="O134" s="288"/>
    </row>
    <row r="135" spans="2:15" s="173" customFormat="1">
      <c r="B135" s="288" t="s">
        <v>81</v>
      </c>
      <c r="C135" s="289">
        <v>45446</v>
      </c>
      <c r="D135" s="288">
        <v>1357</v>
      </c>
      <c r="E135" s="288" t="s">
        <v>128</v>
      </c>
      <c r="F135" s="297" t="s">
        <v>212</v>
      </c>
      <c r="G135" s="294">
        <v>700798</v>
      </c>
      <c r="H135" s="541"/>
      <c r="I135" s="295"/>
      <c r="J135" s="541"/>
      <c r="K135" s="544"/>
      <c r="L135" s="288"/>
      <c r="M135" s="288"/>
      <c r="N135" s="288"/>
      <c r="O135" s="288"/>
    </row>
    <row r="136" spans="2:15" s="173" customFormat="1">
      <c r="B136" s="288" t="s">
        <v>81</v>
      </c>
      <c r="C136" s="289">
        <v>45446</v>
      </c>
      <c r="D136" s="288">
        <v>1357</v>
      </c>
      <c r="E136" s="288" t="s">
        <v>128</v>
      </c>
      <c r="F136" s="298" t="s">
        <v>213</v>
      </c>
      <c r="G136" s="299">
        <v>967544</v>
      </c>
      <c r="H136" s="541"/>
      <c r="I136" s="379">
        <v>34.097999999999999</v>
      </c>
      <c r="J136" s="541"/>
      <c r="K136" s="544"/>
      <c r="L136" s="288"/>
      <c r="M136" s="288"/>
      <c r="N136" s="288"/>
      <c r="O136" s="288"/>
    </row>
    <row r="137" spans="2:15">
      <c r="B137" s="288" t="s">
        <v>81</v>
      </c>
      <c r="C137" s="289">
        <v>45446</v>
      </c>
      <c r="D137" s="288">
        <v>1357</v>
      </c>
      <c r="E137" s="288" t="s">
        <v>128</v>
      </c>
      <c r="F137" s="293" t="s">
        <v>95</v>
      </c>
      <c r="G137" s="294">
        <v>703243</v>
      </c>
      <c r="H137" s="542"/>
      <c r="I137" s="295"/>
      <c r="J137" s="542"/>
      <c r="K137" s="545"/>
      <c r="L137" s="288"/>
      <c r="M137" s="288"/>
      <c r="N137" s="288"/>
      <c r="O137" s="288"/>
    </row>
    <row r="138" spans="2:15">
      <c r="B138" s="130" t="s">
        <v>81</v>
      </c>
      <c r="C138" s="300">
        <v>45449</v>
      </c>
      <c r="D138" s="130">
        <v>1385</v>
      </c>
      <c r="E138" s="130" t="s">
        <v>16</v>
      </c>
      <c r="F138" s="130" t="s">
        <v>214</v>
      </c>
      <c r="G138" s="130">
        <v>702298</v>
      </c>
      <c r="H138" s="130"/>
      <c r="I138" s="130"/>
      <c r="J138" s="130"/>
      <c r="K138" s="130"/>
      <c r="L138" s="528">
        <v>800</v>
      </c>
      <c r="M138" s="301">
        <v>152.822</v>
      </c>
      <c r="N138" s="528">
        <f>L138-(SUM(M138:M154))</f>
        <v>74.644000000000005</v>
      </c>
      <c r="O138" s="531"/>
    </row>
    <row r="139" spans="2:15">
      <c r="B139" s="130" t="s">
        <v>81</v>
      </c>
      <c r="C139" s="300">
        <v>45449</v>
      </c>
      <c r="D139" s="130">
        <v>1385</v>
      </c>
      <c r="E139" s="130" t="s">
        <v>16</v>
      </c>
      <c r="F139" s="130" t="s">
        <v>174</v>
      </c>
      <c r="G139" s="130">
        <v>961805</v>
      </c>
      <c r="H139" s="130"/>
      <c r="I139" s="130"/>
      <c r="J139" s="130"/>
      <c r="K139" s="130"/>
      <c r="L139" s="529"/>
      <c r="M139" s="130"/>
      <c r="N139" s="529"/>
      <c r="O139" s="532"/>
    </row>
    <row r="140" spans="2:15">
      <c r="B140" s="130" t="s">
        <v>81</v>
      </c>
      <c r="C140" s="300">
        <v>45449</v>
      </c>
      <c r="D140" s="130">
        <v>1385</v>
      </c>
      <c r="E140" s="130" t="s">
        <v>16</v>
      </c>
      <c r="F140" s="130" t="s">
        <v>215</v>
      </c>
      <c r="G140" s="130">
        <v>702161</v>
      </c>
      <c r="H140" s="130"/>
      <c r="I140" s="130"/>
      <c r="J140" s="130"/>
      <c r="K140" s="130"/>
      <c r="L140" s="529"/>
      <c r="M140" s="130"/>
      <c r="N140" s="529"/>
      <c r="O140" s="532"/>
    </row>
    <row r="141" spans="2:15">
      <c r="B141" s="130" t="s">
        <v>81</v>
      </c>
      <c r="C141" s="300">
        <v>45449</v>
      </c>
      <c r="D141" s="130">
        <v>1385</v>
      </c>
      <c r="E141" s="130" t="s">
        <v>16</v>
      </c>
      <c r="F141" s="130" t="s">
        <v>216</v>
      </c>
      <c r="G141" s="130">
        <v>968122</v>
      </c>
      <c r="H141" s="130"/>
      <c r="I141" s="130"/>
      <c r="J141" s="130"/>
      <c r="K141" s="130"/>
      <c r="L141" s="529"/>
      <c r="M141" s="301">
        <v>202.233</v>
      </c>
      <c r="N141" s="529"/>
      <c r="O141" s="532"/>
    </row>
    <row r="142" spans="2:15">
      <c r="B142" s="130" t="s">
        <v>81</v>
      </c>
      <c r="C142" s="300">
        <v>45449</v>
      </c>
      <c r="D142" s="130">
        <v>1385</v>
      </c>
      <c r="E142" s="130" t="s">
        <v>16</v>
      </c>
      <c r="F142" s="130" t="s">
        <v>217</v>
      </c>
      <c r="G142" s="130">
        <v>702056</v>
      </c>
      <c r="H142" s="130"/>
      <c r="I142" s="130"/>
      <c r="J142" s="130"/>
      <c r="K142" s="130"/>
      <c r="L142" s="529"/>
      <c r="M142" s="130"/>
      <c r="N142" s="529"/>
      <c r="O142" s="532"/>
    </row>
    <row r="143" spans="2:15">
      <c r="B143" s="130" t="s">
        <v>81</v>
      </c>
      <c r="C143" s="300">
        <v>45449</v>
      </c>
      <c r="D143" s="130">
        <v>1385</v>
      </c>
      <c r="E143" s="130" t="s">
        <v>16</v>
      </c>
      <c r="F143" s="130" t="s">
        <v>178</v>
      </c>
      <c r="G143" s="130">
        <v>697302</v>
      </c>
      <c r="H143" s="130"/>
      <c r="I143" s="130"/>
      <c r="J143" s="130"/>
      <c r="K143" s="130"/>
      <c r="L143" s="529"/>
      <c r="M143" s="130"/>
      <c r="N143" s="529"/>
      <c r="O143" s="532"/>
    </row>
    <row r="144" spans="2:15">
      <c r="B144" s="130" t="s">
        <v>81</v>
      </c>
      <c r="C144" s="300">
        <v>45449</v>
      </c>
      <c r="D144" s="130">
        <v>1385</v>
      </c>
      <c r="E144" s="130" t="s">
        <v>16</v>
      </c>
      <c r="F144" s="130" t="s">
        <v>179</v>
      </c>
      <c r="G144" s="130">
        <v>701983</v>
      </c>
      <c r="H144" s="130"/>
      <c r="I144" s="130"/>
      <c r="J144" s="130"/>
      <c r="K144" s="130"/>
      <c r="L144" s="529"/>
      <c r="M144" s="130"/>
      <c r="N144" s="529"/>
      <c r="O144" s="532"/>
    </row>
    <row r="145" spans="2:15">
      <c r="B145" s="130" t="s">
        <v>81</v>
      </c>
      <c r="C145" s="300">
        <v>45449</v>
      </c>
      <c r="D145" s="130">
        <v>1385</v>
      </c>
      <c r="E145" s="130" t="s">
        <v>16</v>
      </c>
      <c r="F145" s="130" t="s">
        <v>218</v>
      </c>
      <c r="G145" s="130">
        <v>919376</v>
      </c>
      <c r="H145" s="130"/>
      <c r="I145" s="130"/>
      <c r="J145" s="130"/>
      <c r="K145" s="130"/>
      <c r="L145" s="529"/>
      <c r="M145" s="130"/>
      <c r="N145" s="529"/>
      <c r="O145" s="532"/>
    </row>
    <row r="146" spans="2:15">
      <c r="B146" s="130" t="s">
        <v>81</v>
      </c>
      <c r="C146" s="300">
        <v>45449</v>
      </c>
      <c r="D146" s="130">
        <v>1385</v>
      </c>
      <c r="E146" s="130" t="s">
        <v>16</v>
      </c>
      <c r="F146" s="130" t="s">
        <v>219</v>
      </c>
      <c r="G146" s="130">
        <v>958248</v>
      </c>
      <c r="H146" s="130"/>
      <c r="I146" s="130"/>
      <c r="J146" s="130"/>
      <c r="K146" s="130"/>
      <c r="L146" s="529"/>
      <c r="M146" s="130"/>
      <c r="N146" s="529"/>
      <c r="O146" s="532"/>
    </row>
    <row r="147" spans="2:15">
      <c r="B147" s="130" t="s">
        <v>81</v>
      </c>
      <c r="C147" s="300">
        <v>45449</v>
      </c>
      <c r="D147" s="130">
        <v>1385</v>
      </c>
      <c r="E147" s="130" t="s">
        <v>16</v>
      </c>
      <c r="F147" s="130" t="s">
        <v>220</v>
      </c>
      <c r="G147" s="130">
        <v>701941</v>
      </c>
      <c r="H147" s="130"/>
      <c r="I147" s="130"/>
      <c r="J147" s="130"/>
      <c r="K147" s="130"/>
      <c r="L147" s="529"/>
      <c r="M147" s="130"/>
      <c r="N147" s="529"/>
      <c r="O147" s="532"/>
    </row>
    <row r="148" spans="2:15">
      <c r="B148" s="130" t="s">
        <v>81</v>
      </c>
      <c r="C148" s="300">
        <v>45449</v>
      </c>
      <c r="D148" s="130">
        <v>1385</v>
      </c>
      <c r="E148" s="130" t="s">
        <v>16</v>
      </c>
      <c r="F148" s="130" t="s">
        <v>221</v>
      </c>
      <c r="G148" s="130">
        <v>700795</v>
      </c>
      <c r="H148" s="130"/>
      <c r="I148" s="130"/>
      <c r="J148" s="130"/>
      <c r="K148" s="130"/>
      <c r="L148" s="529"/>
      <c r="M148" s="302">
        <v>84.18</v>
      </c>
      <c r="N148" s="529"/>
      <c r="O148" s="532"/>
    </row>
    <row r="149" spans="2:15">
      <c r="B149" s="130" t="s">
        <v>81</v>
      </c>
      <c r="C149" s="300">
        <v>45449</v>
      </c>
      <c r="D149" s="130">
        <v>1385</v>
      </c>
      <c r="E149" s="130" t="s">
        <v>16</v>
      </c>
      <c r="F149" s="130" t="s">
        <v>222</v>
      </c>
      <c r="G149" s="130">
        <v>698468</v>
      </c>
      <c r="H149" s="130"/>
      <c r="I149" s="130"/>
      <c r="J149" s="130"/>
      <c r="K149" s="130"/>
      <c r="L149" s="529"/>
      <c r="M149" s="302">
        <v>102.56699999999999</v>
      </c>
      <c r="N149" s="529"/>
      <c r="O149" s="532"/>
    </row>
    <row r="150" spans="2:15">
      <c r="B150" s="130" t="s">
        <v>81</v>
      </c>
      <c r="C150" s="300">
        <v>45449</v>
      </c>
      <c r="D150" s="130">
        <v>1385</v>
      </c>
      <c r="E150" s="130" t="s">
        <v>16</v>
      </c>
      <c r="F150" s="130" t="s">
        <v>223</v>
      </c>
      <c r="G150" s="130">
        <v>698513</v>
      </c>
      <c r="H150" s="130"/>
      <c r="I150" s="130"/>
      <c r="J150" s="130"/>
      <c r="K150" s="130"/>
      <c r="L150" s="529"/>
      <c r="M150" s="130"/>
      <c r="N150" s="529"/>
      <c r="O150" s="532"/>
    </row>
    <row r="151" spans="2:15">
      <c r="B151" s="130" t="s">
        <v>81</v>
      </c>
      <c r="C151" s="300">
        <v>45449</v>
      </c>
      <c r="D151" s="130">
        <v>1385</v>
      </c>
      <c r="E151" s="130" t="s">
        <v>16</v>
      </c>
      <c r="F151" s="130" t="s">
        <v>224</v>
      </c>
      <c r="G151" s="130">
        <v>968960</v>
      </c>
      <c r="H151" s="130"/>
      <c r="I151" s="130"/>
      <c r="J151" s="130"/>
      <c r="K151" s="130"/>
      <c r="L151" s="529"/>
      <c r="M151" s="130"/>
      <c r="N151" s="529"/>
      <c r="O151" s="532"/>
    </row>
    <row r="152" spans="2:15">
      <c r="B152" s="130" t="s">
        <v>81</v>
      </c>
      <c r="C152" s="300">
        <v>45449</v>
      </c>
      <c r="D152" s="130">
        <v>1385</v>
      </c>
      <c r="E152" s="130" t="s">
        <v>16</v>
      </c>
      <c r="F152" s="130" t="s">
        <v>225</v>
      </c>
      <c r="G152" s="130">
        <v>700719</v>
      </c>
      <c r="H152" s="130"/>
      <c r="I152" s="130"/>
      <c r="J152" s="130"/>
      <c r="K152" s="130"/>
      <c r="L152" s="529"/>
      <c r="M152" s="301">
        <v>159.08699999999999</v>
      </c>
      <c r="N152" s="529"/>
      <c r="O152" s="532"/>
    </row>
    <row r="153" spans="2:15">
      <c r="B153" s="130" t="s">
        <v>81</v>
      </c>
      <c r="C153" s="300">
        <v>45449</v>
      </c>
      <c r="D153" s="130">
        <v>1385</v>
      </c>
      <c r="E153" s="130" t="s">
        <v>16</v>
      </c>
      <c r="F153" s="130" t="s">
        <v>226</v>
      </c>
      <c r="G153" s="130">
        <v>701785</v>
      </c>
      <c r="H153" s="130"/>
      <c r="I153" s="130"/>
      <c r="J153" s="130"/>
      <c r="K153" s="130"/>
      <c r="L153" s="529"/>
      <c r="M153" s="301">
        <v>24.466999999999999</v>
      </c>
      <c r="N153" s="529"/>
      <c r="O153" s="532"/>
    </row>
    <row r="154" spans="2:15">
      <c r="B154" s="130" t="s">
        <v>81</v>
      </c>
      <c r="C154" s="300">
        <v>45449</v>
      </c>
      <c r="D154" s="130">
        <v>1385</v>
      </c>
      <c r="E154" s="130" t="s">
        <v>16</v>
      </c>
      <c r="F154" s="130" t="s">
        <v>227</v>
      </c>
      <c r="G154" s="130">
        <v>968156</v>
      </c>
      <c r="H154" s="130"/>
      <c r="I154" s="130"/>
      <c r="J154" s="130"/>
      <c r="K154" s="130"/>
      <c r="L154" s="530"/>
      <c r="M154" s="130"/>
      <c r="N154" s="530"/>
      <c r="O154" s="533"/>
    </row>
    <row r="155" spans="2:15">
      <c r="B155" s="303" t="s">
        <v>81</v>
      </c>
      <c r="C155" s="304">
        <v>45450</v>
      </c>
      <c r="D155" s="303">
        <v>1388</v>
      </c>
      <c r="E155" s="303" t="s">
        <v>16</v>
      </c>
      <c r="F155" s="303" t="s">
        <v>181</v>
      </c>
      <c r="G155" s="303">
        <v>969667</v>
      </c>
      <c r="H155" s="303"/>
      <c r="I155" s="303"/>
      <c r="J155" s="303"/>
      <c r="K155" s="303"/>
      <c r="L155" s="548">
        <v>800</v>
      </c>
      <c r="M155" s="303"/>
      <c r="N155" s="548">
        <f>L155-(SUM(M155:M171))</f>
        <v>529.40700000000004</v>
      </c>
      <c r="O155" s="534">
        <f>(SUM(M155:M171)/N155)</f>
        <v>0.51112471123351211</v>
      </c>
    </row>
    <row r="156" spans="2:15">
      <c r="B156" s="303" t="s">
        <v>81</v>
      </c>
      <c r="C156" s="304">
        <v>45450</v>
      </c>
      <c r="D156" s="303">
        <v>1388</v>
      </c>
      <c r="E156" s="303" t="s">
        <v>16</v>
      </c>
      <c r="F156" s="303" t="s">
        <v>182</v>
      </c>
      <c r="G156" s="303">
        <v>700408</v>
      </c>
      <c r="H156" s="303"/>
      <c r="I156" s="303"/>
      <c r="J156" s="303"/>
      <c r="K156" s="303"/>
      <c r="L156" s="548"/>
      <c r="M156" s="305">
        <v>15.975</v>
      </c>
      <c r="N156" s="548"/>
      <c r="O156" s="535"/>
    </row>
    <row r="157" spans="2:15">
      <c r="B157" s="303" t="s">
        <v>81</v>
      </c>
      <c r="C157" s="304">
        <v>45450</v>
      </c>
      <c r="D157" s="303">
        <v>1388</v>
      </c>
      <c r="E157" s="303" t="s">
        <v>16</v>
      </c>
      <c r="F157" s="303" t="s">
        <v>183</v>
      </c>
      <c r="G157" s="303">
        <v>967935</v>
      </c>
      <c r="H157" s="303"/>
      <c r="I157" s="303"/>
      <c r="J157" s="303"/>
      <c r="K157" s="303"/>
      <c r="L157" s="548"/>
      <c r="M157" s="303"/>
      <c r="N157" s="548"/>
      <c r="O157" s="535"/>
    </row>
    <row r="158" spans="2:15">
      <c r="B158" s="303" t="s">
        <v>81</v>
      </c>
      <c r="C158" s="304">
        <v>45450</v>
      </c>
      <c r="D158" s="303">
        <v>1388</v>
      </c>
      <c r="E158" s="303" t="s">
        <v>16</v>
      </c>
      <c r="F158" s="303" t="s">
        <v>184</v>
      </c>
      <c r="G158" s="303">
        <v>967513</v>
      </c>
      <c r="H158" s="303"/>
      <c r="I158" s="303"/>
      <c r="J158" s="303"/>
      <c r="K158" s="303"/>
      <c r="L158" s="548"/>
      <c r="M158" s="303"/>
      <c r="N158" s="548"/>
      <c r="O158" s="535"/>
    </row>
    <row r="159" spans="2:15">
      <c r="B159" s="303" t="s">
        <v>81</v>
      </c>
      <c r="C159" s="304">
        <v>45450</v>
      </c>
      <c r="D159" s="303">
        <v>1388</v>
      </c>
      <c r="E159" s="303" t="s">
        <v>16</v>
      </c>
      <c r="F159" s="303" t="s">
        <v>185</v>
      </c>
      <c r="G159" s="303">
        <v>701486</v>
      </c>
      <c r="H159" s="303"/>
      <c r="I159" s="303"/>
      <c r="J159" s="303"/>
      <c r="K159" s="303"/>
      <c r="L159" s="548"/>
      <c r="M159" s="305">
        <v>179.392</v>
      </c>
      <c r="N159" s="548"/>
      <c r="O159" s="535"/>
    </row>
    <row r="160" spans="2:15">
      <c r="B160" s="303" t="s">
        <v>81</v>
      </c>
      <c r="C160" s="304">
        <v>45450</v>
      </c>
      <c r="D160" s="303">
        <v>1388</v>
      </c>
      <c r="E160" s="303" t="s">
        <v>16</v>
      </c>
      <c r="F160" s="303" t="s">
        <v>186</v>
      </c>
      <c r="G160" s="303">
        <v>968789</v>
      </c>
      <c r="H160" s="303"/>
      <c r="I160" s="303"/>
      <c r="J160" s="303"/>
      <c r="K160" s="303"/>
      <c r="L160" s="548"/>
      <c r="M160" s="303"/>
      <c r="N160" s="548"/>
      <c r="O160" s="535"/>
    </row>
    <row r="161" spans="2:15">
      <c r="B161" s="303" t="s">
        <v>81</v>
      </c>
      <c r="C161" s="304">
        <v>45450</v>
      </c>
      <c r="D161" s="303">
        <v>1388</v>
      </c>
      <c r="E161" s="303" t="s">
        <v>16</v>
      </c>
      <c r="F161" s="303" t="s">
        <v>228</v>
      </c>
      <c r="G161" s="303">
        <v>698811</v>
      </c>
      <c r="H161" s="303"/>
      <c r="I161" s="303"/>
      <c r="J161" s="303"/>
      <c r="K161" s="303"/>
      <c r="L161" s="548"/>
      <c r="M161" s="306">
        <v>0.9</v>
      </c>
      <c r="N161" s="548"/>
      <c r="O161" s="535"/>
    </row>
    <row r="162" spans="2:15">
      <c r="B162" s="303" t="s">
        <v>81</v>
      </c>
      <c r="C162" s="304">
        <v>45450</v>
      </c>
      <c r="D162" s="303">
        <v>1388</v>
      </c>
      <c r="E162" s="303" t="s">
        <v>16</v>
      </c>
      <c r="F162" s="303" t="s">
        <v>229</v>
      </c>
      <c r="G162" s="303">
        <v>699486</v>
      </c>
      <c r="H162" s="303"/>
      <c r="I162" s="303"/>
      <c r="J162" s="303"/>
      <c r="K162" s="303"/>
      <c r="L162" s="548"/>
      <c r="M162" s="303"/>
      <c r="N162" s="548"/>
      <c r="O162" s="535"/>
    </row>
    <row r="163" spans="2:15">
      <c r="B163" s="303" t="s">
        <v>81</v>
      </c>
      <c r="C163" s="304">
        <v>45450</v>
      </c>
      <c r="D163" s="303">
        <v>1388</v>
      </c>
      <c r="E163" s="303" t="s">
        <v>16</v>
      </c>
      <c r="F163" s="303" t="s">
        <v>230</v>
      </c>
      <c r="G163" s="303">
        <v>699254</v>
      </c>
      <c r="H163" s="303"/>
      <c r="I163" s="303"/>
      <c r="J163" s="303"/>
      <c r="K163" s="303"/>
      <c r="L163" s="548"/>
      <c r="M163" s="303"/>
      <c r="N163" s="548"/>
      <c r="O163" s="535"/>
    </row>
    <row r="164" spans="2:15">
      <c r="B164" s="303" t="s">
        <v>81</v>
      </c>
      <c r="C164" s="304">
        <v>45450</v>
      </c>
      <c r="D164" s="303">
        <v>1388</v>
      </c>
      <c r="E164" s="303" t="s">
        <v>16</v>
      </c>
      <c r="F164" s="303" t="s">
        <v>231</v>
      </c>
      <c r="G164" s="303">
        <v>700895</v>
      </c>
      <c r="H164" s="303"/>
      <c r="I164" s="303"/>
      <c r="J164" s="303"/>
      <c r="K164" s="303"/>
      <c r="L164" s="548"/>
      <c r="M164" s="303"/>
      <c r="N164" s="548"/>
      <c r="O164" s="535"/>
    </row>
    <row r="165" spans="2:15">
      <c r="B165" s="303" t="s">
        <v>81</v>
      </c>
      <c r="C165" s="304">
        <v>45450</v>
      </c>
      <c r="D165" s="303">
        <v>1388</v>
      </c>
      <c r="E165" s="303" t="s">
        <v>16</v>
      </c>
      <c r="F165" s="303" t="s">
        <v>232</v>
      </c>
      <c r="G165" s="303">
        <v>969203</v>
      </c>
      <c r="H165" s="303"/>
      <c r="I165" s="303"/>
      <c r="J165" s="303"/>
      <c r="K165" s="303"/>
      <c r="L165" s="548"/>
      <c r="M165" s="303"/>
      <c r="N165" s="548"/>
      <c r="O165" s="535"/>
    </row>
    <row r="166" spans="2:15">
      <c r="B166" s="303" t="s">
        <v>81</v>
      </c>
      <c r="C166" s="304">
        <v>45450</v>
      </c>
      <c r="D166" s="303">
        <v>1388</v>
      </c>
      <c r="E166" s="303" t="s">
        <v>16</v>
      </c>
      <c r="F166" s="303" t="s">
        <v>233</v>
      </c>
      <c r="G166" s="303">
        <v>701575</v>
      </c>
      <c r="H166" s="303"/>
      <c r="I166" s="303"/>
      <c r="J166" s="303"/>
      <c r="K166" s="303"/>
      <c r="L166" s="548"/>
      <c r="M166" s="306">
        <v>3.6030000000000002</v>
      </c>
      <c r="N166" s="548"/>
      <c r="O166" s="535"/>
    </row>
    <row r="167" spans="2:15">
      <c r="B167" s="303" t="s">
        <v>81</v>
      </c>
      <c r="C167" s="304">
        <v>45450</v>
      </c>
      <c r="D167" s="303">
        <v>1388</v>
      </c>
      <c r="E167" s="303" t="s">
        <v>16</v>
      </c>
      <c r="F167" s="303" t="s">
        <v>234</v>
      </c>
      <c r="G167" s="303">
        <v>968831</v>
      </c>
      <c r="H167" s="303"/>
      <c r="I167" s="303"/>
      <c r="J167" s="303"/>
      <c r="K167" s="303"/>
      <c r="L167" s="548"/>
      <c r="M167" s="306">
        <f>10.02+22.435+1.81</f>
        <v>34.265000000000001</v>
      </c>
      <c r="N167" s="548"/>
      <c r="O167" s="535"/>
    </row>
    <row r="168" spans="2:15">
      <c r="B168" s="303" t="s">
        <v>81</v>
      </c>
      <c r="C168" s="304">
        <v>45450</v>
      </c>
      <c r="D168" s="303">
        <v>1388</v>
      </c>
      <c r="E168" s="303" t="s">
        <v>16</v>
      </c>
      <c r="F168" s="303" t="s">
        <v>235</v>
      </c>
      <c r="G168" s="303">
        <v>699988</v>
      </c>
      <c r="H168" s="303"/>
      <c r="I168" s="303"/>
      <c r="J168" s="303"/>
      <c r="K168" s="303"/>
      <c r="L168" s="548"/>
      <c r="M168" s="306">
        <v>16.748000000000001</v>
      </c>
      <c r="N168" s="548"/>
      <c r="O168" s="535"/>
    </row>
    <row r="169" spans="2:15">
      <c r="B169" s="303" t="s">
        <v>81</v>
      </c>
      <c r="C169" s="304">
        <v>45450</v>
      </c>
      <c r="D169" s="303">
        <v>1388</v>
      </c>
      <c r="E169" s="303" t="s">
        <v>16</v>
      </c>
      <c r="F169" s="303" t="s">
        <v>236</v>
      </c>
      <c r="G169" s="303">
        <v>966479</v>
      </c>
      <c r="H169" s="303"/>
      <c r="I169" s="303"/>
      <c r="J169" s="303"/>
      <c r="K169" s="303"/>
      <c r="L169" s="548"/>
      <c r="M169" s="303"/>
      <c r="N169" s="548"/>
      <c r="O169" s="535"/>
    </row>
    <row r="170" spans="2:15">
      <c r="B170" s="303" t="s">
        <v>81</v>
      </c>
      <c r="C170" s="304">
        <v>45450</v>
      </c>
      <c r="D170" s="303">
        <v>1388</v>
      </c>
      <c r="E170" s="303" t="s">
        <v>16</v>
      </c>
      <c r="F170" s="303" t="s">
        <v>237</v>
      </c>
      <c r="G170" s="303">
        <v>966548</v>
      </c>
      <c r="H170" s="303"/>
      <c r="I170" s="303"/>
      <c r="J170" s="303"/>
      <c r="K170" s="303"/>
      <c r="L170" s="548"/>
      <c r="M170" s="303"/>
      <c r="N170" s="548"/>
      <c r="O170" s="535"/>
    </row>
    <row r="171" spans="2:15">
      <c r="B171" s="303" t="s">
        <v>81</v>
      </c>
      <c r="C171" s="304">
        <v>45450</v>
      </c>
      <c r="D171" s="303">
        <v>1388</v>
      </c>
      <c r="E171" s="303" t="s">
        <v>16</v>
      </c>
      <c r="F171" s="303" t="s">
        <v>238</v>
      </c>
      <c r="G171" s="303">
        <v>702339</v>
      </c>
      <c r="H171" s="303"/>
      <c r="I171" s="303"/>
      <c r="J171" s="303"/>
      <c r="K171" s="303"/>
      <c r="L171" s="548"/>
      <c r="M171" s="306">
        <v>19.71</v>
      </c>
      <c r="N171" s="548"/>
      <c r="O171" s="536"/>
    </row>
    <row r="172" spans="2:15">
      <c r="B172" s="307" t="s">
        <v>81</v>
      </c>
      <c r="C172" s="308">
        <v>45450</v>
      </c>
      <c r="D172" s="307">
        <v>1391</v>
      </c>
      <c r="E172" s="307" t="s">
        <v>20</v>
      </c>
      <c r="F172" s="307" t="s">
        <v>239</v>
      </c>
      <c r="G172" s="307">
        <v>698764</v>
      </c>
      <c r="H172" s="547">
        <v>3000</v>
      </c>
      <c r="I172" s="307"/>
      <c r="J172" s="547">
        <f>H172-(SUM(I172:I184))</f>
        <v>3000</v>
      </c>
      <c r="K172" s="547">
        <f>(SUM(I172:I184))/H172</f>
        <v>0</v>
      </c>
      <c r="L172" s="307"/>
      <c r="M172" s="307"/>
      <c r="N172" s="307"/>
      <c r="O172" s="307"/>
    </row>
    <row r="173" spans="2:15">
      <c r="B173" s="307" t="s">
        <v>81</v>
      </c>
      <c r="C173" s="308">
        <v>45450</v>
      </c>
      <c r="D173" s="307">
        <v>1391</v>
      </c>
      <c r="E173" s="307" t="s">
        <v>20</v>
      </c>
      <c r="F173" s="307" t="s">
        <v>240</v>
      </c>
      <c r="G173" s="307">
        <v>965267</v>
      </c>
      <c r="H173" s="547"/>
      <c r="I173" s="307"/>
      <c r="J173" s="547"/>
      <c r="K173" s="547"/>
      <c r="L173" s="307"/>
      <c r="M173" s="307"/>
      <c r="N173" s="307"/>
      <c r="O173" s="307"/>
    </row>
    <row r="174" spans="2:15">
      <c r="B174" s="307" t="s">
        <v>81</v>
      </c>
      <c r="C174" s="308">
        <v>45450</v>
      </c>
      <c r="D174" s="307">
        <v>1391</v>
      </c>
      <c r="E174" s="307" t="s">
        <v>20</v>
      </c>
      <c r="F174" s="307" t="s">
        <v>241</v>
      </c>
      <c r="G174" s="307">
        <v>969467</v>
      </c>
      <c r="H174" s="547"/>
      <c r="I174" s="307"/>
      <c r="J174" s="547"/>
      <c r="K174" s="547"/>
      <c r="L174" s="307"/>
      <c r="M174" s="307"/>
      <c r="N174" s="307"/>
      <c r="O174" s="307"/>
    </row>
    <row r="175" spans="2:15">
      <c r="B175" s="307" t="s">
        <v>81</v>
      </c>
      <c r="C175" s="308">
        <v>45450</v>
      </c>
      <c r="D175" s="307">
        <v>1391</v>
      </c>
      <c r="E175" s="307" t="s">
        <v>20</v>
      </c>
      <c r="F175" s="307" t="s">
        <v>242</v>
      </c>
      <c r="G175" s="307">
        <v>702022</v>
      </c>
      <c r="H175" s="547"/>
      <c r="I175" s="307"/>
      <c r="J175" s="547"/>
      <c r="K175" s="547"/>
      <c r="L175" s="307"/>
      <c r="M175" s="307"/>
      <c r="N175" s="307"/>
      <c r="O175" s="307"/>
    </row>
    <row r="176" spans="2:15">
      <c r="B176" s="307" t="s">
        <v>81</v>
      </c>
      <c r="C176" s="308">
        <v>45450</v>
      </c>
      <c r="D176" s="307">
        <v>1391</v>
      </c>
      <c r="E176" s="307" t="s">
        <v>20</v>
      </c>
      <c r="F176" s="307" t="s">
        <v>243</v>
      </c>
      <c r="G176" s="307">
        <v>969387</v>
      </c>
      <c r="H176" s="547"/>
      <c r="I176" s="307"/>
      <c r="J176" s="547"/>
      <c r="K176" s="547"/>
      <c r="L176" s="307"/>
      <c r="M176" s="307"/>
      <c r="N176" s="307"/>
      <c r="O176" s="307"/>
    </row>
    <row r="177" spans="2:15">
      <c r="B177" s="307" t="s">
        <v>81</v>
      </c>
      <c r="C177" s="308">
        <v>45450</v>
      </c>
      <c r="D177" s="307">
        <v>1391</v>
      </c>
      <c r="E177" s="307" t="s">
        <v>20</v>
      </c>
      <c r="F177" s="307" t="s">
        <v>244</v>
      </c>
      <c r="G177" s="307">
        <v>969425</v>
      </c>
      <c r="H177" s="547"/>
      <c r="I177" s="307"/>
      <c r="J177" s="547"/>
      <c r="K177" s="547"/>
      <c r="L177" s="307"/>
      <c r="M177" s="307"/>
      <c r="N177" s="307"/>
      <c r="O177" s="307"/>
    </row>
    <row r="178" spans="2:15">
      <c r="B178" s="307" t="s">
        <v>81</v>
      </c>
      <c r="C178" s="308">
        <v>45450</v>
      </c>
      <c r="D178" s="307">
        <v>1391</v>
      </c>
      <c r="E178" s="307" t="s">
        <v>20</v>
      </c>
      <c r="F178" s="307" t="s">
        <v>245</v>
      </c>
      <c r="G178" s="307">
        <v>968930</v>
      </c>
      <c r="H178" s="547"/>
      <c r="I178" s="307"/>
      <c r="J178" s="547"/>
      <c r="K178" s="547"/>
      <c r="L178" s="307"/>
      <c r="M178" s="307"/>
      <c r="N178" s="307"/>
      <c r="O178" s="307"/>
    </row>
    <row r="179" spans="2:15">
      <c r="B179" s="307" t="s">
        <v>81</v>
      </c>
      <c r="C179" s="308">
        <v>45450</v>
      </c>
      <c r="D179" s="307">
        <v>1391</v>
      </c>
      <c r="E179" s="307" t="s">
        <v>20</v>
      </c>
      <c r="F179" s="307" t="s">
        <v>114</v>
      </c>
      <c r="G179" s="307">
        <v>700755</v>
      </c>
      <c r="H179" s="547"/>
      <c r="I179" s="307"/>
      <c r="J179" s="547"/>
      <c r="K179" s="547"/>
      <c r="L179" s="307"/>
      <c r="M179" s="307"/>
      <c r="N179" s="307"/>
      <c r="O179" s="307"/>
    </row>
    <row r="180" spans="2:15">
      <c r="B180" s="307" t="s">
        <v>81</v>
      </c>
      <c r="C180" s="308">
        <v>45450</v>
      </c>
      <c r="D180" s="307">
        <v>1391</v>
      </c>
      <c r="E180" s="307" t="s">
        <v>20</v>
      </c>
      <c r="F180" s="307" t="s">
        <v>246</v>
      </c>
      <c r="G180" s="307">
        <v>968704</v>
      </c>
      <c r="H180" s="547"/>
      <c r="I180" s="307"/>
      <c r="J180" s="547"/>
      <c r="K180" s="547"/>
      <c r="L180" s="307"/>
      <c r="M180" s="307"/>
      <c r="N180" s="307"/>
      <c r="O180" s="307"/>
    </row>
    <row r="181" spans="2:15">
      <c r="B181" s="307" t="s">
        <v>81</v>
      </c>
      <c r="C181" s="308">
        <v>45450</v>
      </c>
      <c r="D181" s="307">
        <v>1391</v>
      </c>
      <c r="E181" s="307" t="s">
        <v>20</v>
      </c>
      <c r="F181" s="307" t="s">
        <v>247</v>
      </c>
      <c r="G181" s="307">
        <v>700784</v>
      </c>
      <c r="H181" s="547"/>
      <c r="I181" s="307"/>
      <c r="J181" s="547"/>
      <c r="K181" s="547"/>
      <c r="L181" s="307"/>
      <c r="M181" s="307"/>
      <c r="N181" s="307"/>
      <c r="O181" s="307"/>
    </row>
    <row r="182" spans="2:15">
      <c r="B182" s="307" t="s">
        <v>81</v>
      </c>
      <c r="C182" s="308">
        <v>45450</v>
      </c>
      <c r="D182" s="307">
        <v>1391</v>
      </c>
      <c r="E182" s="307" t="s">
        <v>20</v>
      </c>
      <c r="F182" s="307" t="s">
        <v>248</v>
      </c>
      <c r="G182" s="307">
        <v>699979</v>
      </c>
      <c r="H182" s="547"/>
      <c r="I182" s="307"/>
      <c r="J182" s="547"/>
      <c r="K182" s="547"/>
      <c r="L182" s="307"/>
      <c r="M182" s="307"/>
      <c r="N182" s="307"/>
      <c r="O182" s="307"/>
    </row>
    <row r="183" spans="2:15">
      <c r="B183" s="307" t="s">
        <v>81</v>
      </c>
      <c r="C183" s="308">
        <v>45450</v>
      </c>
      <c r="D183" s="307">
        <v>1391</v>
      </c>
      <c r="E183" s="307" t="s">
        <v>20</v>
      </c>
      <c r="F183" s="307" t="s">
        <v>125</v>
      </c>
      <c r="G183" s="307">
        <v>701450</v>
      </c>
      <c r="H183" s="547"/>
      <c r="I183" s="307"/>
      <c r="J183" s="547"/>
      <c r="K183" s="547"/>
      <c r="L183" s="307"/>
      <c r="M183" s="307"/>
      <c r="N183" s="307"/>
      <c r="O183" s="307"/>
    </row>
    <row r="184" spans="2:15" ht="15" thickBot="1">
      <c r="B184" s="307" t="s">
        <v>81</v>
      </c>
      <c r="C184" s="308">
        <v>45450</v>
      </c>
      <c r="D184" s="307">
        <v>1391</v>
      </c>
      <c r="E184" s="307" t="s">
        <v>20</v>
      </c>
      <c r="F184" s="307" t="s">
        <v>249</v>
      </c>
      <c r="G184" s="307">
        <v>700979</v>
      </c>
      <c r="H184" s="547"/>
      <c r="I184" s="307"/>
      <c r="J184" s="547"/>
      <c r="K184" s="547"/>
      <c r="L184" s="307"/>
      <c r="M184" s="307"/>
      <c r="N184" s="307"/>
      <c r="O184" s="307"/>
    </row>
    <row r="185" spans="2:15">
      <c r="B185" s="260" t="s">
        <v>81</v>
      </c>
      <c r="C185" s="261">
        <v>45534</v>
      </c>
      <c r="D185" s="260">
        <v>1944</v>
      </c>
      <c r="E185" s="260" t="s">
        <v>172</v>
      </c>
      <c r="F185" s="260" t="s">
        <v>142</v>
      </c>
      <c r="G185" s="260">
        <v>963544</v>
      </c>
      <c r="H185" s="488">
        <v>1592.374</v>
      </c>
      <c r="I185" s="309">
        <v>146.66</v>
      </c>
      <c r="J185" s="488">
        <f>H185-(SUM(I185:I192))</f>
        <v>134.30400000000009</v>
      </c>
      <c r="K185" s="501">
        <f>(SUM(I185:I192))/H185</f>
        <v>0.91565800496617</v>
      </c>
      <c r="L185" s="260"/>
      <c r="M185" s="260"/>
      <c r="N185" s="260"/>
      <c r="O185" s="260"/>
    </row>
    <row r="186" spans="2:15">
      <c r="B186" s="260" t="s">
        <v>81</v>
      </c>
      <c r="C186" s="261">
        <v>45534</v>
      </c>
      <c r="D186" s="260">
        <v>1944</v>
      </c>
      <c r="E186" s="260" t="s">
        <v>172</v>
      </c>
      <c r="F186" s="260" t="s">
        <v>143</v>
      </c>
      <c r="G186" s="260">
        <v>963409</v>
      </c>
      <c r="H186" s="489"/>
      <c r="I186" s="262">
        <v>165.91</v>
      </c>
      <c r="J186" s="489"/>
      <c r="K186" s="502"/>
      <c r="L186" s="260"/>
      <c r="M186" s="260"/>
      <c r="N186" s="260"/>
      <c r="O186" s="260"/>
    </row>
    <row r="187" spans="2:15">
      <c r="B187" s="260" t="s">
        <v>81</v>
      </c>
      <c r="C187" s="261">
        <v>45534</v>
      </c>
      <c r="D187" s="260">
        <v>1944</v>
      </c>
      <c r="E187" s="260" t="s">
        <v>172</v>
      </c>
      <c r="F187" s="260" t="s">
        <v>149</v>
      </c>
      <c r="G187" s="260">
        <v>964706</v>
      </c>
      <c r="H187" s="489"/>
      <c r="I187" s="310">
        <v>105.06</v>
      </c>
      <c r="J187" s="489"/>
      <c r="K187" s="502"/>
      <c r="L187" s="260"/>
      <c r="M187" s="260"/>
      <c r="N187" s="260"/>
      <c r="O187" s="260"/>
    </row>
    <row r="188" spans="2:15">
      <c r="B188" s="260" t="s">
        <v>81</v>
      </c>
      <c r="C188" s="261">
        <v>45534</v>
      </c>
      <c r="D188" s="260">
        <v>1944</v>
      </c>
      <c r="E188" s="260" t="s">
        <v>172</v>
      </c>
      <c r="F188" s="260" t="s">
        <v>166</v>
      </c>
      <c r="G188" s="260">
        <v>914147</v>
      </c>
      <c r="H188" s="489"/>
      <c r="I188" s="262">
        <v>196.86499999999998</v>
      </c>
      <c r="J188" s="489"/>
      <c r="K188" s="502"/>
      <c r="L188" s="260"/>
      <c r="M188" s="260"/>
      <c r="N188" s="260"/>
      <c r="O188" s="260"/>
    </row>
    <row r="189" spans="2:15">
      <c r="B189" s="260" t="s">
        <v>81</v>
      </c>
      <c r="C189" s="261">
        <v>45534</v>
      </c>
      <c r="D189" s="260">
        <v>1944</v>
      </c>
      <c r="E189" s="260" t="s">
        <v>172</v>
      </c>
      <c r="F189" s="260" t="s">
        <v>165</v>
      </c>
      <c r="G189" s="260">
        <v>914125</v>
      </c>
      <c r="H189" s="489"/>
      <c r="I189" s="310">
        <v>241.39</v>
      </c>
      <c r="J189" s="489"/>
      <c r="K189" s="502"/>
      <c r="L189" s="260"/>
      <c r="M189" s="260"/>
      <c r="N189" s="260"/>
      <c r="O189" s="260"/>
    </row>
    <row r="190" spans="2:15">
      <c r="B190" s="260" t="s">
        <v>81</v>
      </c>
      <c r="C190" s="261">
        <v>45534</v>
      </c>
      <c r="D190" s="260">
        <v>1944</v>
      </c>
      <c r="E190" s="260" t="s">
        <v>172</v>
      </c>
      <c r="F190" s="260" t="s">
        <v>164</v>
      </c>
      <c r="G190" s="260">
        <v>914124</v>
      </c>
      <c r="H190" s="489"/>
      <c r="I190" s="310">
        <v>259.06</v>
      </c>
      <c r="J190" s="489"/>
      <c r="K190" s="502"/>
      <c r="L190" s="260"/>
      <c r="M190" s="260"/>
      <c r="N190" s="260"/>
      <c r="O190" s="260"/>
    </row>
    <row r="191" spans="2:15">
      <c r="B191" s="260" t="s">
        <v>81</v>
      </c>
      <c r="C191" s="261">
        <v>45535</v>
      </c>
      <c r="D191" s="260">
        <v>1944</v>
      </c>
      <c r="E191" s="260" t="s">
        <v>172</v>
      </c>
      <c r="F191" s="260" t="s">
        <v>149</v>
      </c>
      <c r="G191" s="260">
        <v>964706</v>
      </c>
      <c r="H191" s="489"/>
      <c r="I191" s="311">
        <v>343.125</v>
      </c>
      <c r="J191" s="489"/>
      <c r="K191" s="502"/>
      <c r="L191" s="260"/>
      <c r="M191" s="260"/>
      <c r="N191" s="260"/>
      <c r="O191" s="260"/>
    </row>
    <row r="192" spans="2:15" ht="15" thickBot="1">
      <c r="B192" s="260" t="s">
        <v>81</v>
      </c>
      <c r="C192" s="261">
        <v>45534</v>
      </c>
      <c r="D192" s="260">
        <v>1944</v>
      </c>
      <c r="E192" s="260" t="s">
        <v>172</v>
      </c>
      <c r="F192" s="260" t="s">
        <v>167</v>
      </c>
      <c r="G192" s="260">
        <v>968795</v>
      </c>
      <c r="H192" s="490"/>
      <c r="I192" s="311"/>
      <c r="J192" s="490"/>
      <c r="K192" s="503"/>
      <c r="L192" s="260"/>
      <c r="M192" s="260"/>
      <c r="N192" s="260"/>
      <c r="O192" s="260"/>
    </row>
    <row r="193" spans="2:15">
      <c r="B193" s="104" t="s">
        <v>81</v>
      </c>
      <c r="C193" s="259">
        <v>45534</v>
      </c>
      <c r="D193" s="104">
        <v>1945</v>
      </c>
      <c r="E193" s="104" t="s">
        <v>172</v>
      </c>
      <c r="F193" s="104" t="s">
        <v>142</v>
      </c>
      <c r="G193" s="104">
        <v>963544</v>
      </c>
      <c r="H193" s="549">
        <v>3488.625</v>
      </c>
      <c r="I193" s="258">
        <v>444.51</v>
      </c>
      <c r="J193" s="549">
        <f>H193-(SUM(I193:I198))</f>
        <v>1416.924</v>
      </c>
      <c r="K193" s="552">
        <f>(SUM(I193:I198))/H193</f>
        <v>0.59384456626894555</v>
      </c>
      <c r="L193" s="104"/>
      <c r="M193" s="104"/>
      <c r="N193" s="104"/>
      <c r="O193" s="104"/>
    </row>
    <row r="194" spans="2:15">
      <c r="B194" s="104" t="s">
        <v>81</v>
      </c>
      <c r="C194" s="259">
        <v>45534</v>
      </c>
      <c r="D194" s="104">
        <v>1945</v>
      </c>
      <c r="E194" s="104" t="s">
        <v>172</v>
      </c>
      <c r="F194" s="104" t="s">
        <v>143</v>
      </c>
      <c r="G194" s="104">
        <v>963409</v>
      </c>
      <c r="H194" s="550"/>
      <c r="I194" s="223">
        <v>459.7000000000001</v>
      </c>
      <c r="J194" s="550"/>
      <c r="K194" s="553"/>
      <c r="L194" s="104"/>
      <c r="M194" s="104"/>
      <c r="N194" s="104"/>
      <c r="O194" s="104"/>
    </row>
    <row r="195" spans="2:15" ht="15" thickBot="1">
      <c r="B195" s="104" t="s">
        <v>81</v>
      </c>
      <c r="C195" s="259">
        <v>45534</v>
      </c>
      <c r="D195" s="104">
        <v>1945</v>
      </c>
      <c r="E195" s="104" t="s">
        <v>172</v>
      </c>
      <c r="F195" s="104" t="s">
        <v>166</v>
      </c>
      <c r="G195" s="104">
        <v>914147</v>
      </c>
      <c r="H195" s="550"/>
      <c r="I195" s="225">
        <v>380.69800000000004</v>
      </c>
      <c r="J195" s="550"/>
      <c r="K195" s="553"/>
      <c r="L195" s="104"/>
      <c r="M195" s="104"/>
      <c r="N195" s="104"/>
      <c r="O195" s="104"/>
    </row>
    <row r="196" spans="2:15">
      <c r="B196" s="104" t="s">
        <v>81</v>
      </c>
      <c r="C196" s="259">
        <v>45534</v>
      </c>
      <c r="D196" s="104">
        <v>1945</v>
      </c>
      <c r="E196" s="104" t="s">
        <v>172</v>
      </c>
      <c r="F196" s="104" t="s">
        <v>165</v>
      </c>
      <c r="G196" s="104">
        <v>914125</v>
      </c>
      <c r="H196" s="550"/>
      <c r="I196" s="223">
        <v>224.43499999999997</v>
      </c>
      <c r="J196" s="550"/>
      <c r="K196" s="553"/>
      <c r="L196" s="104"/>
      <c r="M196" s="104"/>
      <c r="N196" s="104"/>
      <c r="O196" s="104"/>
    </row>
    <row r="197" spans="2:15">
      <c r="B197" s="104" t="s">
        <v>81</v>
      </c>
      <c r="C197" s="259">
        <v>45534</v>
      </c>
      <c r="D197" s="104">
        <v>1945</v>
      </c>
      <c r="E197" s="104" t="s">
        <v>172</v>
      </c>
      <c r="F197" s="104" t="s">
        <v>149</v>
      </c>
      <c r="G197" s="104">
        <v>964706</v>
      </c>
      <c r="H197" s="550"/>
      <c r="I197" s="223">
        <v>353.72799999999995</v>
      </c>
      <c r="J197" s="550"/>
      <c r="K197" s="553"/>
      <c r="L197" s="104"/>
      <c r="M197" s="104"/>
      <c r="N197" s="104"/>
      <c r="O197" s="104"/>
    </row>
    <row r="198" spans="2:15">
      <c r="B198" s="104" t="s">
        <v>81</v>
      </c>
      <c r="C198" s="259">
        <v>45534</v>
      </c>
      <c r="D198" s="104">
        <v>1945</v>
      </c>
      <c r="E198" s="104" t="s">
        <v>172</v>
      </c>
      <c r="F198" s="104" t="s">
        <v>164</v>
      </c>
      <c r="G198" s="104">
        <v>914124</v>
      </c>
      <c r="H198" s="551"/>
      <c r="I198" s="223">
        <v>208.63000000000002</v>
      </c>
      <c r="J198" s="551"/>
      <c r="K198" s="554"/>
      <c r="L198" s="104"/>
      <c r="M198" s="104"/>
      <c r="N198" s="104"/>
      <c r="O198" s="104"/>
    </row>
    <row r="199" spans="2:15">
      <c r="B199" s="303" t="s">
        <v>81</v>
      </c>
      <c r="C199" s="304">
        <v>45348</v>
      </c>
      <c r="D199" s="303">
        <v>497</v>
      </c>
      <c r="E199" s="303" t="s">
        <v>172</v>
      </c>
      <c r="F199" s="303" t="s">
        <v>250</v>
      </c>
      <c r="G199" s="303">
        <v>700685</v>
      </c>
      <c r="H199" s="312">
        <v>1153.8900000000001</v>
      </c>
      <c r="I199" s="303"/>
      <c r="J199" s="303">
        <f>H199-(SUM(I199))</f>
        <v>1153.8900000000001</v>
      </c>
      <c r="K199" s="303">
        <f>(SUM(I199))/H199</f>
        <v>0</v>
      </c>
      <c r="L199" s="303"/>
      <c r="M199" s="303"/>
      <c r="N199" s="303"/>
      <c r="O199" s="303"/>
    </row>
  </sheetData>
  <mergeCells count="49">
    <mergeCell ref="H185:H192"/>
    <mergeCell ref="J185:J192"/>
    <mergeCell ref="K185:K192"/>
    <mergeCell ref="H193:H198"/>
    <mergeCell ref="J193:J198"/>
    <mergeCell ref="K193:K198"/>
    <mergeCell ref="H172:H184"/>
    <mergeCell ref="J172:J184"/>
    <mergeCell ref="K172:K184"/>
    <mergeCell ref="L155:L171"/>
    <mergeCell ref="N155:N171"/>
    <mergeCell ref="H120:H137"/>
    <mergeCell ref="J120:J137"/>
    <mergeCell ref="K120:K137"/>
    <mergeCell ref="L114:L119"/>
    <mergeCell ref="N114:N119"/>
    <mergeCell ref="L138:L154"/>
    <mergeCell ref="N138:N154"/>
    <mergeCell ref="O138:O154"/>
    <mergeCell ref="O155:O171"/>
    <mergeCell ref="K54:K96"/>
    <mergeCell ref="O114:O119"/>
    <mergeCell ref="Q3:U3"/>
    <mergeCell ref="H54:H96"/>
    <mergeCell ref="J54:J96"/>
    <mergeCell ref="H25:H29"/>
    <mergeCell ref="H16:H24"/>
    <mergeCell ref="J16:J24"/>
    <mergeCell ref="O30:O53"/>
    <mergeCell ref="L30:L53"/>
    <mergeCell ref="N30:N53"/>
    <mergeCell ref="K16:K24"/>
    <mergeCell ref="L25:L29"/>
    <mergeCell ref="N25:N29"/>
    <mergeCell ref="O25:O29"/>
    <mergeCell ref="H2:K2"/>
    <mergeCell ref="H5:H15"/>
    <mergeCell ref="J5:J15"/>
    <mergeCell ref="K5:K15"/>
    <mergeCell ref="L2:O2"/>
    <mergeCell ref="H110:H113"/>
    <mergeCell ref="J110:J113"/>
    <mergeCell ref="H97:H103"/>
    <mergeCell ref="J97:J103"/>
    <mergeCell ref="K97:K103"/>
    <mergeCell ref="H104:H109"/>
    <mergeCell ref="J104:J109"/>
    <mergeCell ref="K104:K109"/>
    <mergeCell ref="K110:K11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T108"/>
  <sheetViews>
    <sheetView tabSelected="1" topLeftCell="A10" zoomScale="70" zoomScaleNormal="70" workbookViewId="0">
      <selection activeCell="A14" sqref="A14"/>
    </sheetView>
  </sheetViews>
  <sheetFormatPr defaultColWidth="11.42578125" defaultRowHeight="14.45"/>
  <cols>
    <col min="3" max="3" width="51.140625" customWidth="1"/>
    <col min="5" max="5" width="12" bestFit="1" customWidth="1"/>
    <col min="6" max="6" width="17.42578125" bestFit="1" customWidth="1"/>
    <col min="7" max="7" width="12" bestFit="1" customWidth="1"/>
    <col min="9" max="9" width="12" bestFit="1" customWidth="1"/>
    <col min="10" max="10" width="13" style="5" bestFit="1" customWidth="1"/>
    <col min="11" max="11" width="14.5703125" customWidth="1"/>
    <col min="12" max="12" width="14" bestFit="1" customWidth="1"/>
    <col min="13" max="13" width="11.85546875" bestFit="1" customWidth="1"/>
    <col min="14" max="14" width="11.42578125" style="1"/>
    <col min="16" max="16" width="13" bestFit="1" customWidth="1"/>
  </cols>
  <sheetData>
    <row r="1" spans="2:20">
      <c r="J1"/>
    </row>
    <row r="2" spans="2:20">
      <c r="J2"/>
    </row>
    <row r="3" spans="2:20">
      <c r="J3"/>
    </row>
    <row r="4" spans="2:20">
      <c r="J4"/>
    </row>
    <row r="5" spans="2:20">
      <c r="B5" s="555" t="s">
        <v>251</v>
      </c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T5">
        <f>SUM(H5:H204)</f>
        <v>3525.66</v>
      </c>
    </row>
    <row r="6" spans="2:20"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</row>
    <row r="7" spans="2:20">
      <c r="B7" s="477">
        <f>+Resumen!C4</f>
        <v>45657</v>
      </c>
      <c r="C7" s="477"/>
      <c r="D7" s="477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</row>
    <row r="8" spans="2:20" ht="15" thickBot="1">
      <c r="J8"/>
    </row>
    <row r="9" spans="2:20" ht="15" thickBot="1">
      <c r="E9" s="556" t="s">
        <v>252</v>
      </c>
      <c r="F9" s="557"/>
      <c r="G9" s="558"/>
      <c r="H9" s="556" t="s">
        <v>253</v>
      </c>
      <c r="I9" s="557"/>
      <c r="J9" s="558"/>
      <c r="K9" s="556" t="s">
        <v>36</v>
      </c>
      <c r="L9" s="557"/>
      <c r="M9" s="557"/>
      <c r="N9" s="557"/>
      <c r="O9" s="557"/>
      <c r="P9" s="558"/>
    </row>
    <row r="10" spans="2:20" ht="43.9" thickBot="1">
      <c r="B10" s="50" t="s">
        <v>37</v>
      </c>
      <c r="C10" s="51" t="s">
        <v>254</v>
      </c>
      <c r="D10" s="52" t="s">
        <v>255</v>
      </c>
      <c r="E10" s="53" t="s">
        <v>41</v>
      </c>
      <c r="F10" s="53" t="s">
        <v>256</v>
      </c>
      <c r="G10" s="53" t="s">
        <v>42</v>
      </c>
      <c r="H10" s="52" t="s">
        <v>257</v>
      </c>
      <c r="I10" s="52" t="s">
        <v>258</v>
      </c>
      <c r="J10" s="54" t="s">
        <v>259</v>
      </c>
      <c r="K10" s="55" t="s">
        <v>41</v>
      </c>
      <c r="L10" s="53" t="s">
        <v>256</v>
      </c>
      <c r="M10" s="53" t="s">
        <v>42</v>
      </c>
      <c r="N10" s="52" t="s">
        <v>257</v>
      </c>
      <c r="O10" s="52" t="s">
        <v>258</v>
      </c>
      <c r="P10" s="54" t="s">
        <v>259</v>
      </c>
    </row>
    <row r="11" spans="2:20" ht="15" thickBot="1">
      <c r="B11" s="562" t="s">
        <v>48</v>
      </c>
      <c r="C11" s="66" t="s">
        <v>260</v>
      </c>
      <c r="D11" s="56" t="s">
        <v>51</v>
      </c>
      <c r="E11" s="76">
        <v>4687.0050000000001</v>
      </c>
      <c r="F11" s="118">
        <f>-1592.374-3488.625</f>
        <v>-5080.9989999999998</v>
      </c>
      <c r="G11" s="6">
        <f>+E11+F11</f>
        <v>-393.99399999999969</v>
      </c>
      <c r="H11" s="2"/>
      <c r="I11" s="6">
        <f>+G11-H11</f>
        <v>-393.99399999999969</v>
      </c>
      <c r="J11" s="29">
        <f t="shared" ref="J11:J16" si="0">+H11/G11</f>
        <v>0</v>
      </c>
      <c r="K11" s="64">
        <f>E11</f>
        <v>4687.0050000000001</v>
      </c>
      <c r="L11" s="42">
        <f t="shared" ref="L11:L12" si="1">F11</f>
        <v>-5080.9989999999998</v>
      </c>
      <c r="M11" s="62">
        <f t="shared" ref="M11:M16" si="2">+K11+L11</f>
        <v>-393.99399999999969</v>
      </c>
      <c r="N11" s="42">
        <f>H11</f>
        <v>0</v>
      </c>
      <c r="O11" s="62">
        <f>+M11-N11</f>
        <v>-393.99399999999969</v>
      </c>
      <c r="P11" s="60">
        <f t="shared" ref="P11:P18" si="3">+N11/M11</f>
        <v>0</v>
      </c>
    </row>
    <row r="12" spans="2:20">
      <c r="B12" s="564"/>
      <c r="C12" s="449" t="s">
        <v>261</v>
      </c>
      <c r="D12" s="56" t="s">
        <v>51</v>
      </c>
      <c r="E12" s="84">
        <v>128674.246</v>
      </c>
      <c r="F12" s="142">
        <f>-11000</f>
        <v>-11000</v>
      </c>
      <c r="G12" s="143">
        <f>+E12+F12</f>
        <v>117674.246</v>
      </c>
      <c r="H12" s="174">
        <v>525.21400000000006</v>
      </c>
      <c r="I12" s="143">
        <f>+G12-H12</f>
        <v>117149.03199999999</v>
      </c>
      <c r="J12" s="144">
        <f t="shared" si="0"/>
        <v>4.4632875744111426E-3</v>
      </c>
      <c r="K12" s="145">
        <f>E12</f>
        <v>128674.246</v>
      </c>
      <c r="L12" s="146">
        <f t="shared" si="1"/>
        <v>-11000</v>
      </c>
      <c r="M12" s="147">
        <f t="shared" si="2"/>
        <v>117674.246</v>
      </c>
      <c r="N12" s="146">
        <f>H12</f>
        <v>525.21400000000006</v>
      </c>
      <c r="O12" s="147">
        <f>+M12-N12</f>
        <v>117149.03199999999</v>
      </c>
      <c r="P12" s="148">
        <f>+N12/M12</f>
        <v>4.4632875744111426E-3</v>
      </c>
    </row>
    <row r="13" spans="2:20">
      <c r="B13" s="564"/>
      <c r="C13" s="449" t="s">
        <v>262</v>
      </c>
      <c r="D13" s="56" t="s">
        <v>51</v>
      </c>
      <c r="E13" s="127">
        <v>379422.01500000001</v>
      </c>
      <c r="F13" s="140">
        <f>-70000-15000-15000-8000</f>
        <v>-108000</v>
      </c>
      <c r="G13" s="123">
        <f t="shared" ref="G13" si="4">+E13+F13</f>
        <v>271422.01500000001</v>
      </c>
      <c r="H13" s="174">
        <v>3000.4459999999999</v>
      </c>
      <c r="I13" s="123">
        <f>+G13-H13</f>
        <v>268421.56900000002</v>
      </c>
      <c r="J13" s="149">
        <f t="shared" si="0"/>
        <v>1.105454176220746E-2</v>
      </c>
      <c r="K13" s="150">
        <f>E13</f>
        <v>379422.01500000001</v>
      </c>
      <c r="L13" s="104">
        <f>F13</f>
        <v>-108000</v>
      </c>
      <c r="M13" s="128">
        <f t="shared" si="2"/>
        <v>271422.01500000001</v>
      </c>
      <c r="N13" s="104">
        <f t="shared" ref="N13:N14" si="5">H13</f>
        <v>3000.4459999999999</v>
      </c>
      <c r="O13" s="128">
        <f>+M13-N13</f>
        <v>268421.56900000002</v>
      </c>
      <c r="P13" s="108">
        <f>+N13/M13</f>
        <v>1.105454176220746E-2</v>
      </c>
    </row>
    <row r="14" spans="2:20">
      <c r="B14" s="564"/>
      <c r="C14" s="152" t="s">
        <v>263</v>
      </c>
      <c r="D14" s="56" t="s">
        <v>51</v>
      </c>
      <c r="E14" s="127">
        <v>16498.478999999999</v>
      </c>
      <c r="F14" s="140">
        <f>-16731.47-1153.89</f>
        <v>-17885.36</v>
      </c>
      <c r="G14" s="123">
        <f>+E14+F14</f>
        <v>-1386.8810000000012</v>
      </c>
      <c r="H14" s="141"/>
      <c r="I14" s="123">
        <f>+G14-H14</f>
        <v>-1386.8810000000012</v>
      </c>
      <c r="J14" s="149">
        <f t="shared" si="0"/>
        <v>0</v>
      </c>
      <c r="K14" s="150">
        <f t="shared" ref="K14:K15" si="6">E14</f>
        <v>16498.478999999999</v>
      </c>
      <c r="L14" s="104">
        <f>F14</f>
        <v>-17885.36</v>
      </c>
      <c r="M14" s="128">
        <f t="shared" si="2"/>
        <v>-1386.8810000000012</v>
      </c>
      <c r="N14" s="104">
        <f t="shared" si="5"/>
        <v>0</v>
      </c>
      <c r="O14" s="128">
        <f>+M14-N14</f>
        <v>-1386.8810000000012</v>
      </c>
      <c r="P14" s="108">
        <f>+N14/M14</f>
        <v>0</v>
      </c>
    </row>
    <row r="15" spans="2:20">
      <c r="B15" s="565"/>
      <c r="C15" s="152" t="s">
        <v>264</v>
      </c>
      <c r="D15" s="56" t="s">
        <v>51</v>
      </c>
      <c r="E15" s="127">
        <v>0</v>
      </c>
      <c r="F15" s="140"/>
      <c r="G15" s="123">
        <f>F15</f>
        <v>0</v>
      </c>
      <c r="H15" s="141"/>
      <c r="I15" s="123">
        <f t="shared" ref="I15" si="7">+G15-H15</f>
        <v>0</v>
      </c>
      <c r="J15" s="149" t="e">
        <f t="shared" si="0"/>
        <v>#DIV/0!</v>
      </c>
      <c r="K15" s="150">
        <f t="shared" si="6"/>
        <v>0</v>
      </c>
      <c r="L15" s="104">
        <f>F15</f>
        <v>0</v>
      </c>
      <c r="M15" s="128">
        <f t="shared" si="2"/>
        <v>0</v>
      </c>
      <c r="N15" s="104">
        <f t="shared" ref="N15" si="8">H15</f>
        <v>0</v>
      </c>
      <c r="O15" s="128">
        <f t="shared" ref="O15" si="9">+M15-N15</f>
        <v>0</v>
      </c>
      <c r="P15" s="108" t="e">
        <f t="shared" ref="P15" si="10">+N15/M15</f>
        <v>#DIV/0!</v>
      </c>
    </row>
    <row r="16" spans="2:20" ht="49.5" customHeight="1" thickBot="1">
      <c r="B16" s="566"/>
      <c r="C16" s="449" t="s">
        <v>265</v>
      </c>
      <c r="D16" s="56" t="s">
        <v>51</v>
      </c>
      <c r="E16" s="151">
        <v>2927.15</v>
      </c>
      <c r="F16" s="140">
        <v>-3173.2089999999998</v>
      </c>
      <c r="G16" s="123">
        <f>+E16+F16</f>
        <v>-246.05899999999974</v>
      </c>
      <c r="H16" s="124"/>
      <c r="I16" s="123">
        <f>+G16-H16</f>
        <v>-246.05899999999974</v>
      </c>
      <c r="J16" s="149">
        <f t="shared" si="0"/>
        <v>0</v>
      </c>
      <c r="K16" s="150">
        <f>E16</f>
        <v>2927.15</v>
      </c>
      <c r="L16" s="104">
        <f>F16</f>
        <v>-3173.2089999999998</v>
      </c>
      <c r="M16" s="128">
        <f t="shared" si="2"/>
        <v>-246.05899999999974</v>
      </c>
      <c r="N16" s="104">
        <f>H16</f>
        <v>0</v>
      </c>
      <c r="O16" s="128">
        <f>+M16-N16</f>
        <v>-246.05899999999974</v>
      </c>
      <c r="P16" s="108">
        <f t="shared" si="3"/>
        <v>0</v>
      </c>
    </row>
    <row r="17" spans="2:16" ht="15" thickBot="1">
      <c r="B17" s="7"/>
      <c r="C17" s="8"/>
      <c r="D17" s="96"/>
      <c r="E17" s="97">
        <f>SUM(E11:E16)</f>
        <v>532208.89500000002</v>
      </c>
      <c r="F17" s="118"/>
      <c r="G17" s="99"/>
      <c r="H17" s="98"/>
      <c r="I17" s="98"/>
      <c r="J17" s="100"/>
      <c r="K17" s="99">
        <f>SUM(K11:K16)</f>
        <v>532208.89500000002</v>
      </c>
      <c r="L17" s="250">
        <f>SUM(L11:L16)</f>
        <v>-145139.568</v>
      </c>
      <c r="M17" s="101">
        <f>SUM(M11:M16)</f>
        <v>387069.32699999999</v>
      </c>
      <c r="N17" s="102">
        <f>SUM(N11:N16)</f>
        <v>3525.66</v>
      </c>
      <c r="O17" s="101">
        <f>SUM(O11:O16)</f>
        <v>383543.66700000002</v>
      </c>
      <c r="P17" s="31">
        <f t="shared" si="3"/>
        <v>9.1086008476202497E-3</v>
      </c>
    </row>
    <row r="18" spans="2:16" ht="20.100000000000001" customHeight="1" thickBot="1">
      <c r="B18" s="562" t="s">
        <v>55</v>
      </c>
      <c r="C18" s="67" t="s">
        <v>266</v>
      </c>
      <c r="D18" s="56" t="s">
        <v>51</v>
      </c>
      <c r="E18" s="83">
        <v>251.79</v>
      </c>
      <c r="F18" s="88"/>
      <c r="G18" s="6">
        <f>+E18+F18</f>
        <v>251.79</v>
      </c>
      <c r="H18" s="2"/>
      <c r="I18" s="6">
        <f>+G18-H18</f>
        <v>251.79</v>
      </c>
      <c r="J18" s="93">
        <f>+H18/G18</f>
        <v>0</v>
      </c>
      <c r="K18" s="94">
        <f>+E18</f>
        <v>251.79</v>
      </c>
      <c r="L18" s="95">
        <f>+F18</f>
        <v>0</v>
      </c>
      <c r="M18" s="94">
        <f>+K18+L18</f>
        <v>251.79</v>
      </c>
      <c r="N18" s="95">
        <f>+H18</f>
        <v>0</v>
      </c>
      <c r="O18" s="94">
        <f>+M18-N18</f>
        <v>251.79</v>
      </c>
      <c r="P18" s="27">
        <f t="shared" si="3"/>
        <v>0</v>
      </c>
    </row>
    <row r="19" spans="2:16" ht="20.100000000000001" customHeight="1" thickBot="1">
      <c r="B19" s="563"/>
      <c r="C19" s="82" t="s">
        <v>267</v>
      </c>
      <c r="D19" s="56" t="s">
        <v>51</v>
      </c>
      <c r="E19" s="83">
        <v>1342.8130000000001</v>
      </c>
      <c r="F19" s="88"/>
      <c r="G19" s="6">
        <f>+E19+F19</f>
        <v>1342.8130000000001</v>
      </c>
      <c r="H19" s="2"/>
      <c r="I19" s="6">
        <f>+G19-H19</f>
        <v>1342.8130000000001</v>
      </c>
      <c r="J19" s="89">
        <f>+H19/G19</f>
        <v>0</v>
      </c>
      <c r="K19" s="90">
        <f>+E19</f>
        <v>1342.8130000000001</v>
      </c>
      <c r="L19" s="91">
        <f>+F19</f>
        <v>0</v>
      </c>
      <c r="M19" s="92">
        <f>+K19+L19</f>
        <v>1342.8130000000001</v>
      </c>
      <c r="N19" s="91">
        <f>+H19</f>
        <v>0</v>
      </c>
      <c r="O19" s="92">
        <f>+M19-N19</f>
        <v>1342.8130000000001</v>
      </c>
      <c r="P19" s="27">
        <f t="shared" ref="P19" si="11">+N19/M19</f>
        <v>0</v>
      </c>
    </row>
    <row r="20" spans="2:16" ht="20.100000000000001" customHeight="1" thickBot="1">
      <c r="B20" s="564"/>
      <c r="C20" s="450" t="s">
        <v>268</v>
      </c>
      <c r="D20" s="126" t="s">
        <v>51</v>
      </c>
      <c r="E20" s="127">
        <v>179.85</v>
      </c>
      <c r="F20" s="128"/>
      <c r="G20" s="123">
        <f t="shared" ref="G20:G33" si="12">+E20+F20</f>
        <v>179.85</v>
      </c>
      <c r="H20" s="124"/>
      <c r="I20" s="123">
        <f t="shared" ref="I20:I33" si="13">+G20-H20</f>
        <v>179.85</v>
      </c>
      <c r="J20" s="16">
        <f t="shared" ref="J20:J33" si="14">+H20/G20</f>
        <v>0</v>
      </c>
      <c r="K20" s="28">
        <f t="shared" ref="K20:K33" si="15">+E20</f>
        <v>179.85</v>
      </c>
      <c r="L20" s="22">
        <f t="shared" ref="L20:L31" si="16">+F20</f>
        <v>0</v>
      </c>
      <c r="M20" s="21">
        <f t="shared" ref="M20:M31" si="17">+K20+L20</f>
        <v>179.85</v>
      </c>
      <c r="N20" s="22">
        <f t="shared" ref="N20:N31" si="18">+H20</f>
        <v>0</v>
      </c>
      <c r="O20" s="21">
        <f t="shared" ref="O20:O31" si="19">+M20-N20</f>
        <v>179.85</v>
      </c>
      <c r="P20" s="27">
        <f t="shared" ref="P20:P31" si="20">+N20/M20</f>
        <v>0</v>
      </c>
    </row>
    <row r="21" spans="2:16" ht="20.100000000000001" customHeight="1" thickBot="1">
      <c r="B21" s="564"/>
      <c r="C21" s="451" t="s">
        <v>269</v>
      </c>
      <c r="D21" s="126" t="s">
        <v>51</v>
      </c>
      <c r="E21" s="127">
        <v>10490.727000000001</v>
      </c>
      <c r="F21" s="128"/>
      <c r="G21" s="123">
        <f t="shared" si="12"/>
        <v>10490.727000000001</v>
      </c>
      <c r="H21" s="124"/>
      <c r="I21" s="123">
        <f t="shared" si="13"/>
        <v>10490.727000000001</v>
      </c>
      <c r="J21" s="16">
        <f t="shared" si="14"/>
        <v>0</v>
      </c>
      <c r="K21" s="28">
        <f t="shared" si="15"/>
        <v>10490.727000000001</v>
      </c>
      <c r="L21" s="22">
        <f t="shared" si="16"/>
        <v>0</v>
      </c>
      <c r="M21" s="21">
        <f t="shared" si="17"/>
        <v>10490.727000000001</v>
      </c>
      <c r="N21" s="22">
        <f t="shared" si="18"/>
        <v>0</v>
      </c>
      <c r="O21" s="21">
        <f t="shared" si="19"/>
        <v>10490.727000000001</v>
      </c>
      <c r="P21" s="27">
        <f t="shared" si="20"/>
        <v>0</v>
      </c>
    </row>
    <row r="22" spans="2:16" ht="20.100000000000001" customHeight="1" thickBot="1">
      <c r="B22" s="564"/>
      <c r="C22" s="451" t="s">
        <v>270</v>
      </c>
      <c r="D22" s="451" t="s">
        <v>51</v>
      </c>
      <c r="E22" s="127">
        <v>77.460195999999996</v>
      </c>
      <c r="F22" s="128"/>
      <c r="G22" s="123">
        <f t="shared" si="12"/>
        <v>77.460195999999996</v>
      </c>
      <c r="H22" s="124"/>
      <c r="I22" s="123">
        <f t="shared" si="13"/>
        <v>77.460195999999996</v>
      </c>
      <c r="J22" s="16">
        <f t="shared" si="14"/>
        <v>0</v>
      </c>
      <c r="K22" s="28">
        <f t="shared" si="15"/>
        <v>77.460195999999996</v>
      </c>
      <c r="L22" s="22">
        <f t="shared" si="16"/>
        <v>0</v>
      </c>
      <c r="M22" s="21">
        <f t="shared" si="17"/>
        <v>77.460195999999996</v>
      </c>
      <c r="N22" s="22">
        <f t="shared" si="18"/>
        <v>0</v>
      </c>
      <c r="O22" s="21">
        <f t="shared" si="19"/>
        <v>77.460195999999996</v>
      </c>
      <c r="P22" s="27">
        <f t="shared" si="20"/>
        <v>0</v>
      </c>
    </row>
    <row r="23" spans="2:16" ht="20.100000000000001" customHeight="1" thickBot="1">
      <c r="B23" s="564"/>
      <c r="C23" s="451" t="s">
        <v>271</v>
      </c>
      <c r="D23" s="126" t="s">
        <v>51</v>
      </c>
      <c r="E23" s="79">
        <v>649.05700000000002</v>
      </c>
      <c r="F23" s="128"/>
      <c r="G23" s="123">
        <f t="shared" si="12"/>
        <v>649.05700000000002</v>
      </c>
      <c r="H23" s="124"/>
      <c r="I23" s="123">
        <f t="shared" si="13"/>
        <v>649.05700000000002</v>
      </c>
      <c r="J23" s="16">
        <f t="shared" si="14"/>
        <v>0</v>
      </c>
      <c r="K23" s="28">
        <f t="shared" si="15"/>
        <v>649.05700000000002</v>
      </c>
      <c r="L23" s="22">
        <f t="shared" si="16"/>
        <v>0</v>
      </c>
      <c r="M23" s="21">
        <f t="shared" si="17"/>
        <v>649.05700000000002</v>
      </c>
      <c r="N23" s="22">
        <f t="shared" si="18"/>
        <v>0</v>
      </c>
      <c r="O23" s="21">
        <f t="shared" si="19"/>
        <v>649.05700000000002</v>
      </c>
      <c r="P23" s="27">
        <f t="shared" si="20"/>
        <v>0</v>
      </c>
    </row>
    <row r="24" spans="2:16" ht="20.100000000000001" customHeight="1" thickBot="1">
      <c r="B24" s="564"/>
      <c r="C24" s="451" t="s">
        <v>272</v>
      </c>
      <c r="D24" s="126" t="s">
        <v>51</v>
      </c>
      <c r="E24" s="127">
        <v>18.54853</v>
      </c>
      <c r="F24" s="128"/>
      <c r="G24" s="123">
        <f t="shared" si="12"/>
        <v>18.54853</v>
      </c>
      <c r="H24" s="124"/>
      <c r="I24" s="123">
        <f t="shared" si="13"/>
        <v>18.54853</v>
      </c>
      <c r="J24" s="16">
        <f t="shared" si="14"/>
        <v>0</v>
      </c>
      <c r="K24" s="28">
        <f t="shared" si="15"/>
        <v>18.54853</v>
      </c>
      <c r="L24" s="22">
        <f t="shared" si="16"/>
        <v>0</v>
      </c>
      <c r="M24" s="21">
        <f t="shared" si="17"/>
        <v>18.54853</v>
      </c>
      <c r="N24" s="22">
        <f t="shared" si="18"/>
        <v>0</v>
      </c>
      <c r="O24" s="21">
        <f t="shared" si="19"/>
        <v>18.54853</v>
      </c>
      <c r="P24" s="27">
        <f t="shared" si="20"/>
        <v>0</v>
      </c>
    </row>
    <row r="25" spans="2:16" ht="20.100000000000001" customHeight="1" thickBot="1">
      <c r="B25" s="564"/>
      <c r="C25" s="450" t="s">
        <v>273</v>
      </c>
      <c r="D25" s="126" t="s">
        <v>51</v>
      </c>
      <c r="E25" s="127">
        <v>95.92</v>
      </c>
      <c r="F25" s="128"/>
      <c r="G25" s="123">
        <f t="shared" si="12"/>
        <v>95.92</v>
      </c>
      <c r="H25" s="124"/>
      <c r="I25" s="123">
        <f t="shared" si="13"/>
        <v>95.92</v>
      </c>
      <c r="J25" s="16">
        <f t="shared" si="14"/>
        <v>0</v>
      </c>
      <c r="K25" s="28">
        <f t="shared" si="15"/>
        <v>95.92</v>
      </c>
      <c r="L25" s="22">
        <f t="shared" si="16"/>
        <v>0</v>
      </c>
      <c r="M25" s="21">
        <f t="shared" si="17"/>
        <v>95.92</v>
      </c>
      <c r="N25" s="22">
        <f t="shared" si="18"/>
        <v>0</v>
      </c>
      <c r="O25" s="21">
        <f t="shared" si="19"/>
        <v>95.92</v>
      </c>
      <c r="P25" s="27">
        <f t="shared" si="20"/>
        <v>0</v>
      </c>
    </row>
    <row r="26" spans="2:16" ht="20.100000000000001" customHeight="1" thickBot="1">
      <c r="B26" s="564"/>
      <c r="C26" s="451" t="s">
        <v>274</v>
      </c>
      <c r="D26" s="126" t="s">
        <v>51</v>
      </c>
      <c r="E26" s="127">
        <v>59.95</v>
      </c>
      <c r="F26" s="128"/>
      <c r="G26" s="123">
        <f t="shared" si="12"/>
        <v>59.95</v>
      </c>
      <c r="H26" s="124"/>
      <c r="I26" s="123">
        <f t="shared" si="13"/>
        <v>59.95</v>
      </c>
      <c r="J26" s="16">
        <f t="shared" si="14"/>
        <v>0</v>
      </c>
      <c r="K26" s="28">
        <f t="shared" si="15"/>
        <v>59.95</v>
      </c>
      <c r="L26" s="22">
        <f t="shared" si="16"/>
        <v>0</v>
      </c>
      <c r="M26" s="21">
        <f t="shared" si="17"/>
        <v>59.95</v>
      </c>
      <c r="N26" s="22">
        <f t="shared" si="18"/>
        <v>0</v>
      </c>
      <c r="O26" s="21">
        <f t="shared" si="19"/>
        <v>59.95</v>
      </c>
      <c r="P26" s="27">
        <f t="shared" si="20"/>
        <v>0</v>
      </c>
    </row>
    <row r="27" spans="2:16" ht="20.100000000000001" customHeight="1" thickBot="1">
      <c r="B27" s="564"/>
      <c r="C27" s="450" t="s">
        <v>275</v>
      </c>
      <c r="D27" s="126" t="s">
        <v>51</v>
      </c>
      <c r="E27" s="127">
        <v>95.92</v>
      </c>
      <c r="F27" s="128"/>
      <c r="G27" s="123">
        <f t="shared" si="12"/>
        <v>95.92</v>
      </c>
      <c r="H27" s="124"/>
      <c r="I27" s="123">
        <f t="shared" si="13"/>
        <v>95.92</v>
      </c>
      <c r="J27" s="16">
        <f t="shared" si="14"/>
        <v>0</v>
      </c>
      <c r="K27" s="28">
        <f t="shared" si="15"/>
        <v>95.92</v>
      </c>
      <c r="L27" s="22">
        <f t="shared" si="16"/>
        <v>0</v>
      </c>
      <c r="M27" s="21">
        <f t="shared" si="17"/>
        <v>95.92</v>
      </c>
      <c r="N27" s="22">
        <f t="shared" si="18"/>
        <v>0</v>
      </c>
      <c r="O27" s="21">
        <f t="shared" si="19"/>
        <v>95.92</v>
      </c>
      <c r="P27" s="27">
        <f t="shared" si="20"/>
        <v>0</v>
      </c>
    </row>
    <row r="28" spans="2:16" ht="20.100000000000001" customHeight="1" thickBot="1">
      <c r="B28" s="564"/>
      <c r="C28" s="451" t="s">
        <v>276</v>
      </c>
      <c r="D28" s="126" t="s">
        <v>51</v>
      </c>
      <c r="E28" s="127">
        <v>2.2397320000000001</v>
      </c>
      <c r="F28" s="128">
        <f>-0.307</f>
        <v>-0.307</v>
      </c>
      <c r="G28" s="123">
        <f t="shared" si="12"/>
        <v>1.9327320000000001</v>
      </c>
      <c r="H28" s="124"/>
      <c r="I28" s="123">
        <f t="shared" si="13"/>
        <v>1.9327320000000001</v>
      </c>
      <c r="J28" s="16">
        <f t="shared" si="14"/>
        <v>0</v>
      </c>
      <c r="K28" s="28">
        <f t="shared" si="15"/>
        <v>2.2397320000000001</v>
      </c>
      <c r="L28" s="22">
        <f t="shared" si="16"/>
        <v>-0.307</v>
      </c>
      <c r="M28" s="21">
        <f t="shared" si="17"/>
        <v>1.9327320000000001</v>
      </c>
      <c r="N28" s="22">
        <f t="shared" si="18"/>
        <v>0</v>
      </c>
      <c r="O28" s="21">
        <f t="shared" si="19"/>
        <v>1.9327320000000001</v>
      </c>
      <c r="P28" s="27">
        <f t="shared" si="20"/>
        <v>0</v>
      </c>
    </row>
    <row r="29" spans="2:16" ht="20.100000000000001" customHeight="1" thickBot="1">
      <c r="B29" s="564"/>
      <c r="C29" s="451" t="s">
        <v>277</v>
      </c>
      <c r="D29" s="126" t="s">
        <v>51</v>
      </c>
      <c r="E29" s="127">
        <v>10207.06302</v>
      </c>
      <c r="F29" s="380">
        <f>-3000</f>
        <v>-3000</v>
      </c>
      <c r="G29" s="123">
        <f>+E29+F29</f>
        <v>7207.0630199999996</v>
      </c>
      <c r="H29" s="124"/>
      <c r="I29" s="123">
        <f>+G29-H29</f>
        <v>7207.0630199999996</v>
      </c>
      <c r="J29" s="16">
        <f t="shared" si="14"/>
        <v>0</v>
      </c>
      <c r="K29" s="28">
        <f t="shared" si="15"/>
        <v>10207.06302</v>
      </c>
      <c r="L29" s="22">
        <f t="shared" si="16"/>
        <v>-3000</v>
      </c>
      <c r="M29" s="21">
        <f>+K29+L29</f>
        <v>7207.0630199999996</v>
      </c>
      <c r="N29" s="22">
        <f t="shared" si="18"/>
        <v>0</v>
      </c>
      <c r="O29" s="21">
        <f t="shared" si="19"/>
        <v>7207.0630199999996</v>
      </c>
      <c r="P29" s="27">
        <f>+N29/M29</f>
        <v>0</v>
      </c>
    </row>
    <row r="30" spans="2:16" ht="20.100000000000001" customHeight="1" thickBot="1">
      <c r="B30" s="564"/>
      <c r="C30" s="451" t="s">
        <v>278</v>
      </c>
      <c r="D30" s="126" t="s">
        <v>279</v>
      </c>
      <c r="E30" s="127">
        <v>0</v>
      </c>
      <c r="F30" s="128">
        <f>0.307</f>
        <v>0.307</v>
      </c>
      <c r="G30" s="123">
        <f t="shared" si="12"/>
        <v>0.307</v>
      </c>
      <c r="H30" s="124"/>
      <c r="I30" s="123">
        <f t="shared" si="13"/>
        <v>0.307</v>
      </c>
      <c r="J30" s="16">
        <f t="shared" si="14"/>
        <v>0</v>
      </c>
      <c r="K30" s="28">
        <f t="shared" si="15"/>
        <v>0</v>
      </c>
      <c r="L30" s="129">
        <f>F30</f>
        <v>0.307</v>
      </c>
      <c r="M30" s="21">
        <f t="shared" si="17"/>
        <v>0.307</v>
      </c>
      <c r="N30" s="22">
        <f>H30</f>
        <v>0</v>
      </c>
      <c r="O30" s="21">
        <f t="shared" si="19"/>
        <v>0.307</v>
      </c>
      <c r="P30" s="27">
        <f t="shared" si="20"/>
        <v>0</v>
      </c>
    </row>
    <row r="31" spans="2:16" ht="20.100000000000001" customHeight="1" thickBot="1">
      <c r="B31" s="564"/>
      <c r="C31" s="451" t="s">
        <v>280</v>
      </c>
      <c r="D31" s="126" t="s">
        <v>51</v>
      </c>
      <c r="E31" s="127">
        <v>275.77</v>
      </c>
      <c r="F31" s="128"/>
      <c r="G31" s="123">
        <f t="shared" si="12"/>
        <v>275.77</v>
      </c>
      <c r="H31" s="124"/>
      <c r="I31" s="123">
        <f t="shared" si="13"/>
        <v>275.77</v>
      </c>
      <c r="J31" s="16">
        <f t="shared" si="14"/>
        <v>0</v>
      </c>
      <c r="K31" s="28">
        <f t="shared" si="15"/>
        <v>275.77</v>
      </c>
      <c r="L31" s="22">
        <f t="shared" si="16"/>
        <v>0</v>
      </c>
      <c r="M31" s="21">
        <f t="shared" si="17"/>
        <v>275.77</v>
      </c>
      <c r="N31" s="22">
        <f t="shared" si="18"/>
        <v>0</v>
      </c>
      <c r="O31" s="21">
        <f t="shared" si="19"/>
        <v>275.77</v>
      </c>
      <c r="P31" s="27">
        <f t="shared" si="20"/>
        <v>0</v>
      </c>
    </row>
    <row r="32" spans="2:16" s="174" customFormat="1" ht="20.100000000000001" customHeight="1" thickBot="1">
      <c r="B32" s="565"/>
      <c r="C32" s="188" t="s">
        <v>281</v>
      </c>
      <c r="D32" s="452" t="s">
        <v>51</v>
      </c>
      <c r="E32" s="189">
        <v>0</v>
      </c>
      <c r="F32" s="190">
        <f>296.713-296.713</f>
        <v>0</v>
      </c>
      <c r="G32" s="184">
        <f t="shared" si="12"/>
        <v>0</v>
      </c>
      <c r="H32" s="183"/>
      <c r="I32" s="184">
        <f t="shared" si="13"/>
        <v>0</v>
      </c>
      <c r="J32" s="191" t="e">
        <f>+H32/G32</f>
        <v>#DIV/0!</v>
      </c>
      <c r="K32" s="192">
        <f t="shared" si="15"/>
        <v>0</v>
      </c>
      <c r="L32" s="22">
        <f t="shared" ref="L32:L33" si="21">+F32</f>
        <v>0</v>
      </c>
      <c r="M32" s="21">
        <f t="shared" ref="M32:M33" si="22">+K32+L32</f>
        <v>0</v>
      </c>
      <c r="N32" s="22">
        <f t="shared" ref="N32:N33" si="23">+H32</f>
        <v>0</v>
      </c>
      <c r="O32" s="21">
        <f t="shared" ref="O32:O33" si="24">+M32-N32</f>
        <v>0</v>
      </c>
      <c r="P32" s="27" t="e">
        <f t="shared" ref="P32:P33" si="25">+N32/M32</f>
        <v>#DIV/0!</v>
      </c>
    </row>
    <row r="33" spans="2:16" s="174" customFormat="1" ht="20.100000000000001" customHeight="1" thickBot="1">
      <c r="B33" s="565"/>
      <c r="C33" s="188" t="s">
        <v>282</v>
      </c>
      <c r="D33" s="452" t="s">
        <v>51</v>
      </c>
      <c r="E33" s="189">
        <v>0</v>
      </c>
      <c r="F33" s="190">
        <f>296.713-296.713</f>
        <v>0</v>
      </c>
      <c r="G33" s="184">
        <f t="shared" si="12"/>
        <v>0</v>
      </c>
      <c r="H33" s="183"/>
      <c r="I33" s="184">
        <f t="shared" si="13"/>
        <v>0</v>
      </c>
      <c r="J33" s="191" t="e">
        <f t="shared" si="14"/>
        <v>#DIV/0!</v>
      </c>
      <c r="K33" s="192">
        <f t="shared" si="15"/>
        <v>0</v>
      </c>
      <c r="L33" s="22">
        <f t="shared" si="21"/>
        <v>0</v>
      </c>
      <c r="M33" s="21">
        <f t="shared" si="22"/>
        <v>0</v>
      </c>
      <c r="N33" s="22">
        <f t="shared" si="23"/>
        <v>0</v>
      </c>
      <c r="O33" s="21">
        <f t="shared" si="24"/>
        <v>0</v>
      </c>
      <c r="P33" s="27" t="e">
        <f t="shared" si="25"/>
        <v>#DIV/0!</v>
      </c>
    </row>
    <row r="34" spans="2:16" ht="20.100000000000001" customHeight="1" thickBot="1">
      <c r="B34" s="566"/>
      <c r="C34" s="453" t="s">
        <v>283</v>
      </c>
      <c r="D34" s="126" t="s">
        <v>51</v>
      </c>
      <c r="E34" s="84">
        <v>232.89136199999999</v>
      </c>
      <c r="F34" s="85">
        <f>-296.713+296.713</f>
        <v>0</v>
      </c>
      <c r="G34" s="123">
        <f t="shared" ref="G34" si="26">+E34+F34</f>
        <v>232.89136199999999</v>
      </c>
      <c r="H34" s="124"/>
      <c r="I34" s="123">
        <f t="shared" ref="I34" si="27">+G34-H34</f>
        <v>232.89136199999999</v>
      </c>
      <c r="J34" s="16">
        <f t="shared" ref="J34" si="28">+H34/G34</f>
        <v>0</v>
      </c>
      <c r="K34" s="28">
        <f t="shared" ref="K34" si="29">+E34</f>
        <v>232.89136199999999</v>
      </c>
      <c r="L34" s="22">
        <f t="shared" ref="L34" si="30">+F34</f>
        <v>0</v>
      </c>
      <c r="M34" s="21">
        <f t="shared" ref="M34" si="31">+K34+L34</f>
        <v>232.89136199999999</v>
      </c>
      <c r="N34" s="22">
        <f t="shared" ref="N34" si="32">+H34</f>
        <v>0</v>
      </c>
      <c r="O34" s="21">
        <f t="shared" ref="O34" si="33">+M34-N34</f>
        <v>232.89136199999999</v>
      </c>
      <c r="P34" s="27">
        <f t="shared" ref="P34" si="34">+N34/M34</f>
        <v>0</v>
      </c>
    </row>
    <row r="35" spans="2:16" ht="15" thickBot="1">
      <c r="B35" s="7"/>
      <c r="C35" s="10"/>
      <c r="D35" s="9"/>
      <c r="E35" s="87">
        <f>SUM(E18:E34)</f>
        <v>23979.99984</v>
      </c>
      <c r="F35" s="3"/>
      <c r="G35" s="3"/>
      <c r="H35" s="3"/>
      <c r="I35" s="3"/>
      <c r="J35" s="17"/>
      <c r="K35" s="35">
        <f>SUM(K18:K34)</f>
        <v>23979.99984</v>
      </c>
      <c r="L35" s="251">
        <f>SUM(L18:L34)</f>
        <v>-3000</v>
      </c>
      <c r="M35" s="35">
        <f>SUM(M18:M34)</f>
        <v>20979.99984</v>
      </c>
      <c r="N35" s="40">
        <f>SUM(N18:N34)</f>
        <v>0</v>
      </c>
      <c r="O35" s="35">
        <f>SUM(O18:O34)</f>
        <v>20979.99984</v>
      </c>
      <c r="P35" s="20">
        <f t="shared" ref="P35:P40" si="35">+N35/M35</f>
        <v>0</v>
      </c>
    </row>
    <row r="36" spans="2:16" ht="15" thickBot="1">
      <c r="B36" s="567" t="s">
        <v>64</v>
      </c>
      <c r="C36" s="65" t="s">
        <v>284</v>
      </c>
      <c r="D36" s="12" t="s">
        <v>51</v>
      </c>
      <c r="E36" s="13">
        <v>9.7617960000000004</v>
      </c>
      <c r="F36" s="4"/>
      <c r="G36" s="15">
        <f>+E36+F36</f>
        <v>9.7617960000000004</v>
      </c>
      <c r="H36" s="4"/>
      <c r="I36" s="15">
        <f>+G36-H36</f>
        <v>9.7617960000000004</v>
      </c>
      <c r="J36" s="25">
        <f>+H36/G36</f>
        <v>0</v>
      </c>
      <c r="K36" s="61">
        <f t="shared" ref="K36:L38" si="36">E36</f>
        <v>9.7617960000000004</v>
      </c>
      <c r="L36" s="42">
        <f t="shared" si="36"/>
        <v>0</v>
      </c>
      <c r="M36" s="62">
        <f>+K36+L36</f>
        <v>9.7617960000000004</v>
      </c>
      <c r="N36" s="42">
        <f>H36</f>
        <v>0</v>
      </c>
      <c r="O36" s="62">
        <f>+M36-N36</f>
        <v>9.7617960000000004</v>
      </c>
      <c r="P36" s="63">
        <f t="shared" si="35"/>
        <v>0</v>
      </c>
    </row>
    <row r="37" spans="2:16" ht="15" thickBot="1">
      <c r="B37" s="568"/>
      <c r="C37" s="454" t="s">
        <v>285</v>
      </c>
      <c r="D37" s="12" t="s">
        <v>51</v>
      </c>
      <c r="E37" s="445">
        <v>626.17638599999998</v>
      </c>
      <c r="F37" s="124">
        <f>-500</f>
        <v>-500</v>
      </c>
      <c r="G37" s="123">
        <f>+E37+F37</f>
        <v>126.17638599999998</v>
      </c>
      <c r="H37" s="455"/>
      <c r="I37" s="123">
        <f>+G37-H37</f>
        <v>126.17638599999998</v>
      </c>
      <c r="J37" s="26">
        <f>+H37/G37</f>
        <v>0</v>
      </c>
      <c r="K37" s="61">
        <f t="shared" si="36"/>
        <v>626.17638599999998</v>
      </c>
      <c r="L37" s="42">
        <f t="shared" si="36"/>
        <v>-500</v>
      </c>
      <c r="M37" s="62">
        <f>+K37+L37</f>
        <v>126.17638599999998</v>
      </c>
      <c r="N37" s="42">
        <f>H37</f>
        <v>0</v>
      </c>
      <c r="O37" s="62">
        <f>+M37-N37</f>
        <v>126.17638599999998</v>
      </c>
      <c r="P37" s="63">
        <f t="shared" si="35"/>
        <v>0</v>
      </c>
    </row>
    <row r="38" spans="2:16">
      <c r="B38" s="568"/>
      <c r="C38" s="454" t="s">
        <v>286</v>
      </c>
      <c r="D38" s="12" t="s">
        <v>51</v>
      </c>
      <c r="E38" s="445">
        <v>2334.0618180000001</v>
      </c>
      <c r="F38" s="124">
        <f>-800-800</f>
        <v>-1600</v>
      </c>
      <c r="G38" s="123">
        <f>+E38+F38</f>
        <v>734.06181800000013</v>
      </c>
      <c r="H38" s="455"/>
      <c r="I38" s="123">
        <f>+G38-H38</f>
        <v>734.06181800000013</v>
      </c>
      <c r="J38" s="26">
        <f>+H38/G38</f>
        <v>0</v>
      </c>
      <c r="K38" s="61">
        <f t="shared" si="36"/>
        <v>2334.0618180000001</v>
      </c>
      <c r="L38" s="42">
        <f t="shared" si="36"/>
        <v>-1600</v>
      </c>
      <c r="M38" s="62">
        <f>+K38+L38</f>
        <v>734.06181800000013</v>
      </c>
      <c r="N38" s="42">
        <f>H38</f>
        <v>0</v>
      </c>
      <c r="O38" s="62">
        <f>+M38-N38</f>
        <v>734.06181800000013</v>
      </c>
      <c r="P38" s="63">
        <f t="shared" si="35"/>
        <v>0</v>
      </c>
    </row>
    <row r="39" spans="2:16" ht="15" thickBot="1">
      <c r="B39" s="7"/>
      <c r="C39" s="11"/>
      <c r="D39" s="9"/>
      <c r="E39" s="77">
        <f>SUM(E36:E38)</f>
        <v>2970</v>
      </c>
      <c r="F39" s="3"/>
      <c r="G39" s="3"/>
      <c r="H39" s="3"/>
      <c r="I39" s="3"/>
      <c r="J39" s="20"/>
      <c r="K39" s="32">
        <f>SUM(K36:K38)</f>
        <v>2970</v>
      </c>
      <c r="L39" s="252">
        <f>SUM(L36:L38)</f>
        <v>-2100</v>
      </c>
      <c r="M39" s="32">
        <f>SUM(M36:M38)</f>
        <v>870.00000000000011</v>
      </c>
      <c r="N39" s="32">
        <f>SUM(N36:N38)</f>
        <v>0</v>
      </c>
      <c r="O39" s="32">
        <f>SUM(O36:O38)</f>
        <v>870.00000000000011</v>
      </c>
      <c r="P39" s="41">
        <f t="shared" si="35"/>
        <v>0</v>
      </c>
    </row>
    <row r="40" spans="2:16">
      <c r="B40" s="559" t="s">
        <v>65</v>
      </c>
      <c r="C40" s="65" t="s">
        <v>267</v>
      </c>
      <c r="D40" s="14" t="s">
        <v>279</v>
      </c>
      <c r="E40" s="122">
        <v>338.84636799999998</v>
      </c>
      <c r="F40" s="4"/>
      <c r="G40" s="15">
        <f>+E40+F40</f>
        <v>338.84636799999998</v>
      </c>
      <c r="H40" s="4"/>
      <c r="I40" s="15">
        <f>+G40-H40</f>
        <v>338.84636799999998</v>
      </c>
      <c r="J40" s="18">
        <f>+H40/G40</f>
        <v>0</v>
      </c>
      <c r="K40" s="23">
        <f>+E40</f>
        <v>338.84636799999998</v>
      </c>
      <c r="L40" s="4">
        <f>+F40</f>
        <v>0</v>
      </c>
      <c r="M40" s="15">
        <f>+K40+L40</f>
        <v>338.84636799999998</v>
      </c>
      <c r="N40" s="42">
        <f t="shared" ref="N40:N48" si="37">+H40</f>
        <v>0</v>
      </c>
      <c r="O40" s="15">
        <f>+M40-N40</f>
        <v>338.84636799999998</v>
      </c>
      <c r="P40" s="18">
        <f t="shared" si="35"/>
        <v>0</v>
      </c>
    </row>
    <row r="41" spans="2:16">
      <c r="B41" s="560"/>
      <c r="C41" s="454" t="s">
        <v>269</v>
      </c>
      <c r="D41" s="121" t="s">
        <v>279</v>
      </c>
      <c r="E41" s="122">
        <v>1475.2805760000001</v>
      </c>
      <c r="F41" s="124">
        <f>-890</f>
        <v>-890</v>
      </c>
      <c r="G41" s="123">
        <f t="shared" ref="G41:G50" si="38">+E41+F41</f>
        <v>585.28057600000011</v>
      </c>
      <c r="H41" s="124"/>
      <c r="I41" s="123">
        <f t="shared" ref="I41:I50" si="39">+G41-H41</f>
        <v>585.28057600000011</v>
      </c>
      <c r="J41" s="19">
        <f t="shared" ref="J41:J50" si="40">+H41/G41</f>
        <v>0</v>
      </c>
      <c r="K41" s="24">
        <f t="shared" ref="K41:K50" si="41">+E41</f>
        <v>1475.2805760000001</v>
      </c>
      <c r="L41" s="124">
        <f>+F41</f>
        <v>-890</v>
      </c>
      <c r="M41" s="123">
        <f t="shared" ref="M41:M49" si="42">+K41+L41</f>
        <v>585.28057600000011</v>
      </c>
      <c r="N41" s="104">
        <f t="shared" si="37"/>
        <v>0</v>
      </c>
      <c r="O41" s="123">
        <f t="shared" ref="O41:O48" si="43">+M41-N41</f>
        <v>585.28057600000011</v>
      </c>
      <c r="P41" s="19">
        <f t="shared" ref="P41:P48" si="44">+N41/M41</f>
        <v>0</v>
      </c>
    </row>
    <row r="42" spans="2:16">
      <c r="B42" s="560"/>
      <c r="C42" s="454" t="s">
        <v>274</v>
      </c>
      <c r="D42" s="121" t="s">
        <v>279</v>
      </c>
      <c r="E42" s="122">
        <v>0.248</v>
      </c>
      <c r="F42" s="124"/>
      <c r="G42" s="123">
        <f t="shared" si="38"/>
        <v>0.248</v>
      </c>
      <c r="H42" s="124"/>
      <c r="I42" s="123">
        <f t="shared" si="39"/>
        <v>0.248</v>
      </c>
      <c r="J42" s="19">
        <f t="shared" si="40"/>
        <v>0</v>
      </c>
      <c r="K42" s="24">
        <f t="shared" si="41"/>
        <v>0.248</v>
      </c>
      <c r="L42" s="124">
        <f t="shared" ref="L42:L48" si="45">+F42</f>
        <v>0</v>
      </c>
      <c r="M42" s="123">
        <f t="shared" si="42"/>
        <v>0.248</v>
      </c>
      <c r="N42" s="104">
        <f t="shared" si="37"/>
        <v>0</v>
      </c>
      <c r="O42" s="123">
        <f t="shared" si="43"/>
        <v>0.248</v>
      </c>
      <c r="P42" s="19">
        <f t="shared" si="44"/>
        <v>0</v>
      </c>
    </row>
    <row r="43" spans="2:16">
      <c r="B43" s="560"/>
      <c r="C43" s="454" t="s">
        <v>287</v>
      </c>
      <c r="D43" s="121" t="s">
        <v>279</v>
      </c>
      <c r="E43" s="122">
        <v>9.4993920000000003</v>
      </c>
      <c r="F43" s="124"/>
      <c r="G43" s="123">
        <f t="shared" si="38"/>
        <v>9.4993920000000003</v>
      </c>
      <c r="H43" s="124"/>
      <c r="I43" s="123">
        <f t="shared" si="39"/>
        <v>9.4993920000000003</v>
      </c>
      <c r="J43" s="19">
        <f t="shared" si="40"/>
        <v>0</v>
      </c>
      <c r="K43" s="24">
        <f t="shared" si="41"/>
        <v>9.4993920000000003</v>
      </c>
      <c r="L43" s="124">
        <f t="shared" si="45"/>
        <v>0</v>
      </c>
      <c r="M43" s="123">
        <f t="shared" si="42"/>
        <v>9.4993920000000003</v>
      </c>
      <c r="N43" s="104">
        <f t="shared" si="37"/>
        <v>0</v>
      </c>
      <c r="O43" s="123">
        <f t="shared" si="43"/>
        <v>9.4993920000000003</v>
      </c>
      <c r="P43" s="19">
        <f t="shared" si="44"/>
        <v>0</v>
      </c>
    </row>
    <row r="44" spans="2:16">
      <c r="B44" s="560"/>
      <c r="C44" s="180" t="s">
        <v>288</v>
      </c>
      <c r="D44" s="121" t="s">
        <v>279</v>
      </c>
      <c r="E44" s="122">
        <v>15.024800000000001</v>
      </c>
      <c r="F44" s="124"/>
      <c r="G44" s="123">
        <f t="shared" si="38"/>
        <v>15.024800000000001</v>
      </c>
      <c r="H44" s="124"/>
      <c r="I44" s="123">
        <f t="shared" si="39"/>
        <v>15.024800000000001</v>
      </c>
      <c r="J44" s="19">
        <f t="shared" si="40"/>
        <v>0</v>
      </c>
      <c r="K44" s="24">
        <f t="shared" si="41"/>
        <v>15.024800000000001</v>
      </c>
      <c r="L44" s="124">
        <f t="shared" si="45"/>
        <v>0</v>
      </c>
      <c r="M44" s="123">
        <f t="shared" si="42"/>
        <v>15.024800000000001</v>
      </c>
      <c r="N44" s="104">
        <f t="shared" si="37"/>
        <v>0</v>
      </c>
      <c r="O44" s="123">
        <f t="shared" si="43"/>
        <v>15.024800000000001</v>
      </c>
      <c r="P44" s="19">
        <f t="shared" si="44"/>
        <v>0</v>
      </c>
    </row>
    <row r="45" spans="2:16" s="174" customFormat="1">
      <c r="B45" s="560"/>
      <c r="C45" s="180" t="s">
        <v>282</v>
      </c>
      <c r="D45" s="181" t="s">
        <v>279</v>
      </c>
      <c r="E45" s="182">
        <v>4.9219999999999997</v>
      </c>
      <c r="F45" s="183">
        <f>2.977-4.9216</f>
        <v>-1.9445999999999999</v>
      </c>
      <c r="G45" s="184">
        <f t="shared" si="38"/>
        <v>2.9773999999999998</v>
      </c>
      <c r="H45" s="183"/>
      <c r="I45" s="184">
        <f t="shared" si="39"/>
        <v>2.9773999999999998</v>
      </c>
      <c r="J45" s="185">
        <f t="shared" si="40"/>
        <v>0</v>
      </c>
      <c r="K45" s="186">
        <f t="shared" si="41"/>
        <v>4.9219999999999997</v>
      </c>
      <c r="L45" s="124">
        <f t="shared" si="45"/>
        <v>-1.9445999999999999</v>
      </c>
      <c r="M45" s="184"/>
      <c r="N45" s="134"/>
      <c r="O45" s="184"/>
      <c r="P45" s="185"/>
    </row>
    <row r="46" spans="2:16">
      <c r="B46" s="560"/>
      <c r="C46" s="120" t="s">
        <v>283</v>
      </c>
      <c r="D46" s="121" t="s">
        <v>279</v>
      </c>
      <c r="E46" s="122">
        <v>0</v>
      </c>
      <c r="F46" s="124">
        <f>-2.977+4.9216</f>
        <v>1.9445999999999999</v>
      </c>
      <c r="G46" s="123">
        <f t="shared" si="38"/>
        <v>1.9445999999999999</v>
      </c>
      <c r="H46" s="124"/>
      <c r="I46" s="123">
        <f t="shared" si="39"/>
        <v>1.9445999999999999</v>
      </c>
      <c r="J46" s="19">
        <f t="shared" si="40"/>
        <v>0</v>
      </c>
      <c r="K46" s="24">
        <f t="shared" si="41"/>
        <v>0</v>
      </c>
      <c r="L46" s="124">
        <f t="shared" si="45"/>
        <v>1.9445999999999999</v>
      </c>
      <c r="M46" s="123">
        <f t="shared" si="42"/>
        <v>1.9445999999999999</v>
      </c>
      <c r="N46" s="104">
        <f t="shared" si="37"/>
        <v>0</v>
      </c>
      <c r="O46" s="123">
        <f t="shared" si="43"/>
        <v>1.9445999999999999</v>
      </c>
      <c r="P46" s="19">
        <f t="shared" si="44"/>
        <v>0</v>
      </c>
    </row>
    <row r="47" spans="2:16">
      <c r="B47" s="560"/>
      <c r="C47" s="120" t="s">
        <v>289</v>
      </c>
      <c r="D47" s="121" t="s">
        <v>279</v>
      </c>
      <c r="E47" s="122">
        <v>633.27668000000006</v>
      </c>
      <c r="F47" s="124">
        <f>-380</f>
        <v>-380</v>
      </c>
      <c r="G47" s="123">
        <f t="shared" si="38"/>
        <v>253.27668000000006</v>
      </c>
      <c r="H47" s="124"/>
      <c r="I47" s="123">
        <f t="shared" si="39"/>
        <v>253.27668000000006</v>
      </c>
      <c r="J47" s="19">
        <f t="shared" si="40"/>
        <v>0</v>
      </c>
      <c r="K47" s="24">
        <f t="shared" si="41"/>
        <v>633.27668000000006</v>
      </c>
      <c r="L47" s="124">
        <f>+F47</f>
        <v>-380</v>
      </c>
      <c r="M47" s="123">
        <f t="shared" si="42"/>
        <v>253.27668000000006</v>
      </c>
      <c r="N47" s="104">
        <f t="shared" si="37"/>
        <v>0</v>
      </c>
      <c r="O47" s="123">
        <f t="shared" si="43"/>
        <v>253.27668000000006</v>
      </c>
      <c r="P47" s="19">
        <f t="shared" si="44"/>
        <v>0</v>
      </c>
    </row>
    <row r="48" spans="2:16">
      <c r="B48" s="560"/>
      <c r="C48" s="120" t="s">
        <v>290</v>
      </c>
      <c r="D48" s="121" t="s">
        <v>279</v>
      </c>
      <c r="E48" s="456">
        <v>0</v>
      </c>
      <c r="F48" s="124"/>
      <c r="G48" s="123">
        <f t="shared" si="38"/>
        <v>0</v>
      </c>
      <c r="H48" s="124"/>
      <c r="I48" s="123">
        <f t="shared" si="39"/>
        <v>0</v>
      </c>
      <c r="J48" s="19" t="e">
        <f t="shared" si="40"/>
        <v>#DIV/0!</v>
      </c>
      <c r="K48" s="24">
        <f t="shared" si="41"/>
        <v>0</v>
      </c>
      <c r="L48" s="124">
        <f t="shared" si="45"/>
        <v>0</v>
      </c>
      <c r="M48" s="123">
        <f t="shared" si="42"/>
        <v>0</v>
      </c>
      <c r="N48" s="104">
        <f t="shared" si="37"/>
        <v>0</v>
      </c>
      <c r="O48" s="123">
        <f t="shared" si="43"/>
        <v>0</v>
      </c>
      <c r="P48" s="19" t="e">
        <f t="shared" si="44"/>
        <v>#DIV/0!</v>
      </c>
    </row>
    <row r="49" spans="2:18">
      <c r="B49" s="561"/>
      <c r="C49" s="120" t="s">
        <v>278</v>
      </c>
      <c r="D49" s="121" t="s">
        <v>279</v>
      </c>
      <c r="E49" s="122">
        <v>0</v>
      </c>
      <c r="F49" s="86">
        <v>0.13500000000000001</v>
      </c>
      <c r="G49" s="123">
        <f t="shared" si="38"/>
        <v>0.13500000000000001</v>
      </c>
      <c r="H49" s="124"/>
      <c r="I49" s="123">
        <f t="shared" si="39"/>
        <v>0.13500000000000001</v>
      </c>
      <c r="J49" s="19">
        <f t="shared" si="40"/>
        <v>0</v>
      </c>
      <c r="K49" s="24">
        <f t="shared" si="41"/>
        <v>0</v>
      </c>
      <c r="L49" s="124">
        <f>+F49</f>
        <v>0.13500000000000001</v>
      </c>
      <c r="M49" s="123">
        <f t="shared" si="42"/>
        <v>0.13500000000000001</v>
      </c>
      <c r="N49" s="104">
        <f t="shared" ref="N49" si="46">+H49</f>
        <v>0</v>
      </c>
      <c r="O49" s="123">
        <f t="shared" ref="O49" si="47">+M49-N49</f>
        <v>0.13500000000000001</v>
      </c>
      <c r="P49" s="19">
        <f t="shared" ref="P49" si="48">+N49/M49</f>
        <v>0</v>
      </c>
    </row>
    <row r="50" spans="2:18">
      <c r="B50" s="561"/>
      <c r="C50" s="187" t="s">
        <v>281</v>
      </c>
      <c r="D50" s="121" t="s">
        <v>279</v>
      </c>
      <c r="E50" s="122">
        <v>0</v>
      </c>
      <c r="F50" s="86">
        <f>4.9216-4.9216</f>
        <v>0</v>
      </c>
      <c r="G50" s="123">
        <f t="shared" si="38"/>
        <v>0</v>
      </c>
      <c r="H50" s="124"/>
      <c r="I50" s="123">
        <f t="shared" si="39"/>
        <v>0</v>
      </c>
      <c r="J50" s="19" t="e">
        <f t="shared" si="40"/>
        <v>#DIV/0!</v>
      </c>
      <c r="K50" s="24">
        <f t="shared" si="41"/>
        <v>0</v>
      </c>
      <c r="L50" s="124">
        <f>+F50</f>
        <v>0</v>
      </c>
      <c r="M50" s="123">
        <f t="shared" ref="M50" si="49">+K50+L50</f>
        <v>0</v>
      </c>
      <c r="N50" s="104">
        <f t="shared" ref="N50" si="50">+H50</f>
        <v>0</v>
      </c>
      <c r="O50" s="123">
        <f t="shared" ref="O50" si="51">+M50-N50</f>
        <v>0</v>
      </c>
      <c r="P50" s="19" t="e">
        <f t="shared" ref="P50" si="52">+N50/M50</f>
        <v>#DIV/0!</v>
      </c>
    </row>
    <row r="51" spans="2:18">
      <c r="B51" s="561"/>
      <c r="C51" s="120" t="s">
        <v>291</v>
      </c>
      <c r="D51" s="121" t="s">
        <v>279</v>
      </c>
      <c r="E51" s="122">
        <v>2.9018480000000002</v>
      </c>
      <c r="F51" s="86">
        <f>-0.135</f>
        <v>-0.13500000000000001</v>
      </c>
      <c r="G51" s="123">
        <f t="shared" ref="G51" si="53">+E51+F51</f>
        <v>2.7668480000000004</v>
      </c>
      <c r="H51" s="124"/>
      <c r="I51" s="123">
        <f t="shared" ref="I51" si="54">+G51-H51</f>
        <v>2.7668480000000004</v>
      </c>
      <c r="J51" s="19">
        <f t="shared" ref="J51" si="55">+H51/G51</f>
        <v>0</v>
      </c>
      <c r="K51" s="24">
        <f t="shared" ref="K51" si="56">+E51</f>
        <v>2.9018480000000002</v>
      </c>
      <c r="L51" s="124">
        <f t="shared" ref="L51" si="57">+F51</f>
        <v>-0.13500000000000001</v>
      </c>
      <c r="M51" s="123">
        <f t="shared" ref="M51" si="58">+K51+L51</f>
        <v>2.7668480000000004</v>
      </c>
      <c r="N51" s="104">
        <f t="shared" ref="N51" si="59">+H51</f>
        <v>0</v>
      </c>
      <c r="O51" s="123">
        <f t="shared" ref="O51" si="60">+M51-N51</f>
        <v>2.7668480000000004</v>
      </c>
      <c r="P51" s="19">
        <f t="shared" ref="P51" si="61">+N51/M51</f>
        <v>0</v>
      </c>
    </row>
    <row r="52" spans="2:18">
      <c r="E52" s="78">
        <f>SUM(E40:E51)</f>
        <v>2479.9996639999999</v>
      </c>
      <c r="F52">
        <f>SUM(F40:F51)</f>
        <v>-1270</v>
      </c>
      <c r="K52" s="33">
        <f>SUM(K40:K51)</f>
        <v>2479.9996639999999</v>
      </c>
      <c r="L52" s="253">
        <f>SUM(L40:L51)</f>
        <v>-1270</v>
      </c>
      <c r="M52" s="33">
        <f>SUM(M40:M51)</f>
        <v>1207.0222640000002</v>
      </c>
      <c r="N52" s="44">
        <f>SUM(N40:N51)</f>
        <v>0</v>
      </c>
      <c r="O52" s="33">
        <f>SUM(O40:O51)</f>
        <v>1207.0222640000002</v>
      </c>
      <c r="P52" s="34">
        <f>+N52/M52</f>
        <v>0</v>
      </c>
    </row>
    <row r="54" spans="2:18">
      <c r="J54"/>
      <c r="K54" s="119"/>
    </row>
    <row r="55" spans="2:18">
      <c r="E55" s="122"/>
      <c r="J55"/>
      <c r="K55" s="119"/>
      <c r="Q55" s="117"/>
      <c r="R55" s="117"/>
    </row>
    <row r="56" spans="2:18">
      <c r="B56" s="1"/>
      <c r="J56"/>
      <c r="K56" s="119"/>
      <c r="Q56" s="117"/>
      <c r="R56" s="117"/>
    </row>
    <row r="57" spans="2:18">
      <c r="J57"/>
      <c r="K57" s="119"/>
      <c r="Q57" s="117"/>
      <c r="R57" s="117"/>
    </row>
    <row r="58" spans="2:18" ht="16.5" customHeight="1">
      <c r="J58"/>
      <c r="K58" s="119"/>
      <c r="M58" s="1"/>
      <c r="N58"/>
      <c r="Q58" s="117"/>
      <c r="R58" s="117"/>
    </row>
    <row r="59" spans="2:18" ht="15" customHeight="1">
      <c r="J59"/>
      <c r="K59" s="119"/>
      <c r="M59" s="1"/>
      <c r="N59"/>
      <c r="Q59" s="117"/>
      <c r="R59" s="117"/>
    </row>
    <row r="60" spans="2:18" ht="15.75" customHeight="1">
      <c r="J60"/>
      <c r="K60" s="119"/>
      <c r="M60" s="1"/>
      <c r="N60"/>
      <c r="Q60" s="117"/>
      <c r="R60" s="117"/>
    </row>
    <row r="61" spans="2:18">
      <c r="J61"/>
      <c r="K61" s="119"/>
      <c r="N61"/>
      <c r="Q61" s="117"/>
      <c r="R61" s="117"/>
    </row>
    <row r="62" spans="2:18">
      <c r="C62" s="30"/>
      <c r="J62"/>
      <c r="K62" s="119"/>
      <c r="N62"/>
      <c r="Q62" s="117"/>
      <c r="R62" s="117"/>
    </row>
    <row r="63" spans="2:18">
      <c r="C63" s="30"/>
      <c r="J63"/>
      <c r="K63" s="119"/>
      <c r="N63"/>
      <c r="Q63" s="117"/>
      <c r="R63" s="117"/>
    </row>
    <row r="64" spans="2:18">
      <c r="C64" s="30"/>
      <c r="J64"/>
      <c r="K64" s="119"/>
      <c r="N64"/>
      <c r="Q64" s="117"/>
      <c r="R64" s="117"/>
    </row>
    <row r="65" spans="3:18">
      <c r="C65" s="30"/>
      <c r="J65"/>
      <c r="K65" s="119"/>
      <c r="N65"/>
      <c r="Q65" s="117"/>
      <c r="R65" s="117"/>
    </row>
    <row r="66" spans="3:18">
      <c r="C66" s="30"/>
      <c r="J66"/>
      <c r="K66" s="119"/>
      <c r="N66"/>
      <c r="Q66" s="117"/>
      <c r="R66" s="117"/>
    </row>
    <row r="67" spans="3:18">
      <c r="C67" s="30"/>
      <c r="J67"/>
      <c r="K67" s="119"/>
      <c r="N67"/>
      <c r="Q67" s="117"/>
      <c r="R67" s="117"/>
    </row>
    <row r="68" spans="3:18">
      <c r="C68" s="30"/>
      <c r="J68"/>
      <c r="K68" s="119"/>
      <c r="N68"/>
      <c r="Q68" s="117"/>
      <c r="R68" s="117"/>
    </row>
    <row r="69" spans="3:18">
      <c r="C69" s="30"/>
      <c r="J69"/>
      <c r="K69" s="119"/>
      <c r="N69"/>
      <c r="Q69" s="117"/>
      <c r="R69" s="117"/>
    </row>
    <row r="70" spans="3:18">
      <c r="C70" s="30"/>
      <c r="J70"/>
      <c r="K70" s="119"/>
      <c r="N70"/>
      <c r="Q70" s="117"/>
      <c r="R70" s="117"/>
    </row>
    <row r="71" spans="3:18">
      <c r="C71" s="30"/>
      <c r="J71"/>
      <c r="K71" s="119"/>
      <c r="N71"/>
      <c r="Q71" s="117"/>
      <c r="R71" s="117"/>
    </row>
    <row r="72" spans="3:18">
      <c r="C72" s="30"/>
      <c r="J72"/>
      <c r="K72" s="119"/>
      <c r="N72"/>
      <c r="Q72" s="117"/>
      <c r="R72" s="117"/>
    </row>
    <row r="73" spans="3:18">
      <c r="C73" s="30"/>
      <c r="J73"/>
      <c r="K73" s="119"/>
      <c r="N73"/>
      <c r="Q73" s="117"/>
      <c r="R73" s="117"/>
    </row>
    <row r="74" spans="3:18">
      <c r="C74" s="30"/>
      <c r="J74"/>
      <c r="K74" s="119"/>
      <c r="N74"/>
      <c r="Q74" s="117"/>
      <c r="R74" s="117"/>
    </row>
    <row r="75" spans="3:18">
      <c r="C75" s="30"/>
      <c r="J75"/>
      <c r="K75" s="119"/>
      <c r="N75"/>
      <c r="Q75" s="117"/>
      <c r="R75" s="117"/>
    </row>
    <row r="76" spans="3:18">
      <c r="C76" s="30"/>
      <c r="J76"/>
      <c r="K76" s="119"/>
      <c r="N76"/>
      <c r="Q76" s="117"/>
      <c r="R76" s="117"/>
    </row>
    <row r="77" spans="3:18">
      <c r="C77" s="30"/>
      <c r="J77"/>
      <c r="K77" s="119"/>
      <c r="N77"/>
      <c r="Q77" s="117"/>
      <c r="R77" s="117"/>
    </row>
    <row r="78" spans="3:18">
      <c r="C78" s="30"/>
      <c r="J78"/>
      <c r="K78" s="119"/>
      <c r="N78"/>
      <c r="Q78" s="117"/>
      <c r="R78" s="117"/>
    </row>
    <row r="79" spans="3:18">
      <c r="C79" s="30"/>
      <c r="J79"/>
      <c r="K79" s="119"/>
      <c r="N79"/>
      <c r="Q79" s="117"/>
      <c r="R79" s="117"/>
    </row>
    <row r="80" spans="3:18">
      <c r="C80" s="30"/>
      <c r="J80"/>
      <c r="K80" s="119"/>
      <c r="N80"/>
      <c r="Q80" s="117"/>
      <c r="R80" s="117"/>
    </row>
    <row r="81" spans="3:18">
      <c r="C81" s="30"/>
      <c r="J81"/>
      <c r="K81" s="119"/>
      <c r="N81"/>
      <c r="Q81" s="117"/>
      <c r="R81" s="117"/>
    </row>
    <row r="82" spans="3:18">
      <c r="C82" s="30"/>
      <c r="J82"/>
      <c r="K82" s="119"/>
      <c r="N82"/>
      <c r="Q82" s="117"/>
      <c r="R82" s="117"/>
    </row>
    <row r="83" spans="3:18">
      <c r="C83" s="30"/>
      <c r="J83"/>
      <c r="K83" s="119"/>
      <c r="N83"/>
      <c r="Q83" s="117"/>
      <c r="R83" s="117"/>
    </row>
    <row r="84" spans="3:18">
      <c r="C84" s="30"/>
      <c r="J84"/>
      <c r="K84" s="119"/>
      <c r="N84"/>
      <c r="Q84" s="117"/>
      <c r="R84" s="117"/>
    </row>
    <row r="85" spans="3:18">
      <c r="C85" s="30"/>
      <c r="J85"/>
      <c r="K85" s="119"/>
      <c r="N85"/>
      <c r="Q85" s="117"/>
      <c r="R85" s="117"/>
    </row>
    <row r="86" spans="3:18">
      <c r="C86" s="30"/>
      <c r="J86"/>
      <c r="K86" s="119"/>
      <c r="N86"/>
      <c r="Q86" s="117"/>
      <c r="R86" s="117"/>
    </row>
    <row r="87" spans="3:18">
      <c r="C87" s="30"/>
      <c r="J87"/>
      <c r="K87" s="119"/>
      <c r="N87"/>
      <c r="Q87" s="117"/>
      <c r="R87" s="117"/>
    </row>
    <row r="88" spans="3:18">
      <c r="C88" s="30"/>
      <c r="J88"/>
      <c r="K88" s="119"/>
      <c r="N88"/>
      <c r="Q88" s="117"/>
      <c r="R88" s="117"/>
    </row>
    <row r="89" spans="3:18">
      <c r="C89" s="30"/>
      <c r="J89"/>
      <c r="K89" s="119"/>
      <c r="N89"/>
      <c r="Q89" s="117"/>
      <c r="R89" s="117"/>
    </row>
    <row r="90" spans="3:18">
      <c r="C90" s="30"/>
      <c r="J90"/>
      <c r="K90" s="119"/>
      <c r="N90"/>
      <c r="Q90" s="117"/>
      <c r="R90" s="117"/>
    </row>
    <row r="91" spans="3:18">
      <c r="J91"/>
      <c r="K91" s="119"/>
      <c r="N91"/>
      <c r="Q91" s="117"/>
      <c r="R91" s="117"/>
    </row>
    <row r="92" spans="3:18">
      <c r="J92"/>
      <c r="K92" s="119"/>
      <c r="N92"/>
      <c r="Q92" s="117"/>
      <c r="R92" s="117"/>
    </row>
    <row r="93" spans="3:18">
      <c r="J93"/>
      <c r="K93" s="119"/>
      <c r="N93"/>
      <c r="Q93" s="117"/>
      <c r="R93" s="117"/>
    </row>
    <row r="94" spans="3:18">
      <c r="J94"/>
      <c r="K94" s="119"/>
      <c r="N94"/>
      <c r="Q94" s="117"/>
      <c r="R94" s="117"/>
    </row>
    <row r="95" spans="3:18">
      <c r="J95"/>
      <c r="K95" s="119"/>
      <c r="N95"/>
      <c r="Q95" s="117"/>
      <c r="R95" s="117"/>
    </row>
    <row r="96" spans="3:18">
      <c r="J96"/>
      <c r="K96" s="119"/>
      <c r="N96"/>
      <c r="Q96" s="117"/>
      <c r="R96" s="117"/>
    </row>
    <row r="97" spans="6:18">
      <c r="F97" s="117"/>
      <c r="J97"/>
      <c r="N97"/>
      <c r="Q97" s="117"/>
      <c r="R97" s="117"/>
    </row>
    <row r="98" spans="6:18">
      <c r="J98"/>
      <c r="N98"/>
      <c r="Q98" s="117"/>
      <c r="R98" s="117"/>
    </row>
    <row r="99" spans="6:18">
      <c r="J99"/>
      <c r="N99"/>
    </row>
    <row r="100" spans="6:18">
      <c r="J100"/>
      <c r="N100"/>
    </row>
    <row r="101" spans="6:18">
      <c r="J101"/>
      <c r="N101"/>
    </row>
    <row r="102" spans="6:18">
      <c r="J102"/>
      <c r="N102"/>
    </row>
    <row r="103" spans="6:18">
      <c r="J103"/>
      <c r="N103"/>
    </row>
    <row r="104" spans="6:18">
      <c r="J104"/>
      <c r="N104"/>
    </row>
    <row r="105" spans="6:18">
      <c r="J105"/>
      <c r="N105"/>
    </row>
    <row r="106" spans="6:18">
      <c r="J106"/>
      <c r="N106"/>
    </row>
    <row r="107" spans="6:18" ht="15" customHeight="1">
      <c r="J107"/>
    </row>
    <row r="108" spans="6:18" ht="15.75" customHeight="1">
      <c r="J108"/>
    </row>
  </sheetData>
  <sortState xmlns:xlrd2="http://schemas.microsoft.com/office/spreadsheetml/2017/richdata2" ref="C16:C32">
    <sortCondition ref="C16"/>
  </sortState>
  <mergeCells count="9">
    <mergeCell ref="B5:P6"/>
    <mergeCell ref="B7:P7"/>
    <mergeCell ref="H9:J9"/>
    <mergeCell ref="E9:G9"/>
    <mergeCell ref="B40:B51"/>
    <mergeCell ref="K9:P9"/>
    <mergeCell ref="B18:B34"/>
    <mergeCell ref="B36:B38"/>
    <mergeCell ref="B11:B16"/>
  </mergeCells>
  <conditionalFormatting sqref="J11:J51 P11:P52">
    <cfRule type="cellIs" dxfId="4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M36 M35:O35 M11 G12 M18 M46:M48 G38 M31 M20:M28 M40:M44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I32"/>
  <sheetViews>
    <sheetView zoomScaleNormal="100" workbookViewId="0">
      <selection activeCell="F25" sqref="F25"/>
    </sheetView>
  </sheetViews>
  <sheetFormatPr defaultColWidth="11.42578125" defaultRowHeight="14.45"/>
  <cols>
    <col min="1" max="1" width="28.85546875" bestFit="1" customWidth="1"/>
    <col min="2" max="2" width="14.28515625" customWidth="1"/>
    <col min="3" max="3" width="36" customWidth="1"/>
    <col min="4" max="4" width="23.85546875" bestFit="1" customWidth="1"/>
    <col min="5" max="5" width="14.42578125" customWidth="1"/>
    <col min="8" max="8" width="14.140625" customWidth="1"/>
    <col min="9" max="9" width="21.28515625" bestFit="1" customWidth="1"/>
  </cols>
  <sheetData>
    <row r="2" spans="1:9" ht="18">
      <c r="A2" s="233" t="s">
        <v>292</v>
      </c>
      <c r="B2" s="233" t="s">
        <v>172</v>
      </c>
      <c r="C2" s="233" t="s">
        <v>293</v>
      </c>
    </row>
    <row r="3" spans="1:9" ht="21.75" customHeight="1">
      <c r="A3" s="135" t="s">
        <v>34</v>
      </c>
      <c r="B3" s="135">
        <v>579818</v>
      </c>
      <c r="C3" s="179">
        <v>30551.501</v>
      </c>
    </row>
    <row r="4" spans="1:9" ht="21.75" customHeight="1">
      <c r="A4" s="234" t="s">
        <v>294</v>
      </c>
      <c r="B4" s="234" t="s">
        <v>172</v>
      </c>
      <c r="C4" s="234" t="s">
        <v>293</v>
      </c>
    </row>
    <row r="5" spans="1:9" ht="21.75" customHeight="1">
      <c r="A5" s="135" t="s">
        <v>34</v>
      </c>
      <c r="B5" s="135">
        <v>2970</v>
      </c>
      <c r="C5" s="179">
        <v>2480</v>
      </c>
    </row>
    <row r="8" spans="1:9" ht="18">
      <c r="A8" s="137" t="s">
        <v>295</v>
      </c>
      <c r="B8" s="137" t="s">
        <v>76</v>
      </c>
      <c r="C8" s="138" t="s">
        <v>296</v>
      </c>
      <c r="D8" s="137" t="s">
        <v>297</v>
      </c>
      <c r="E8" s="137" t="s">
        <v>298</v>
      </c>
      <c r="F8" s="137" t="s">
        <v>172</v>
      </c>
      <c r="G8" s="137" t="s">
        <v>293</v>
      </c>
      <c r="H8" s="137" t="s">
        <v>34</v>
      </c>
      <c r="I8" s="136"/>
    </row>
    <row r="9" spans="1:9" ht="18">
      <c r="A9" s="153">
        <v>1514</v>
      </c>
      <c r="B9" s="154">
        <v>45474</v>
      </c>
      <c r="C9" s="139" t="s">
        <v>263</v>
      </c>
      <c r="D9" s="176" t="s">
        <v>299</v>
      </c>
      <c r="E9" s="155">
        <v>5.0000000000000001E-4</v>
      </c>
      <c r="F9" s="153">
        <f>E9*B3</f>
        <v>289.90899999999999</v>
      </c>
      <c r="G9" s="153"/>
      <c r="H9" s="153">
        <f>SUM(F9:G9)</f>
        <v>289.90899999999999</v>
      </c>
      <c r="I9" s="136"/>
    </row>
    <row r="10" spans="1:9" ht="18">
      <c r="A10" s="153">
        <v>1512</v>
      </c>
      <c r="B10" s="154">
        <v>45474</v>
      </c>
      <c r="C10" s="139" t="s">
        <v>263</v>
      </c>
      <c r="D10" s="176" t="s">
        <v>299</v>
      </c>
      <c r="E10" s="155">
        <v>1.5E-3</v>
      </c>
      <c r="F10" s="153">
        <f>B3*E10</f>
        <v>869.72699999999998</v>
      </c>
      <c r="G10" s="153"/>
      <c r="H10" s="153">
        <f>SUM(F10:G10)</f>
        <v>869.72699999999998</v>
      </c>
      <c r="I10" s="136"/>
    </row>
    <row r="11" spans="1:9" s="163" customFormat="1" ht="18">
      <c r="A11" s="158">
        <v>1515</v>
      </c>
      <c r="B11" s="159">
        <v>45474</v>
      </c>
      <c r="C11" s="160" t="s">
        <v>263</v>
      </c>
      <c r="D11" s="177" t="s">
        <v>299</v>
      </c>
      <c r="E11" s="161">
        <v>1.5E-3</v>
      </c>
      <c r="F11" s="158">
        <f>B3*E11</f>
        <v>869.72699999999998</v>
      </c>
      <c r="G11" s="158"/>
      <c r="H11" s="158">
        <f>SUM(F11:G11)</f>
        <v>869.72699999999998</v>
      </c>
      <c r="I11" s="162"/>
    </row>
    <row r="12" spans="1:9" ht="18">
      <c r="A12" s="158">
        <v>1516</v>
      </c>
      <c r="B12" s="159">
        <v>45474</v>
      </c>
      <c r="C12" s="160" t="s">
        <v>263</v>
      </c>
      <c r="D12" s="177" t="s">
        <v>299</v>
      </c>
      <c r="E12" s="161">
        <v>1.5E-3</v>
      </c>
      <c r="F12" s="158">
        <f>E12*B3</f>
        <v>869.72699999999998</v>
      </c>
      <c r="G12" s="158"/>
      <c r="H12" s="158">
        <f>SUM(F12:G12)</f>
        <v>869.72699999999998</v>
      </c>
      <c r="I12" s="162"/>
    </row>
    <row r="13" spans="1:9" ht="18">
      <c r="A13" s="158">
        <v>1513</v>
      </c>
      <c r="B13" s="159">
        <v>45474</v>
      </c>
      <c r="C13" s="160" t="s">
        <v>263</v>
      </c>
      <c r="D13" s="177" t="s">
        <v>299</v>
      </c>
      <c r="E13" s="164">
        <v>4.0000000000000001E-3</v>
      </c>
      <c r="F13" s="158">
        <f>E13*B3</f>
        <v>2319.2719999999999</v>
      </c>
      <c r="G13" s="158"/>
      <c r="H13" s="158">
        <f>SUM(F13:G13)</f>
        <v>2319.2719999999999</v>
      </c>
      <c r="I13" s="136"/>
    </row>
    <row r="14" spans="1:9" ht="18">
      <c r="A14" s="153"/>
      <c r="B14" s="153"/>
      <c r="C14" s="156"/>
      <c r="D14" s="153"/>
      <c r="E14" s="153"/>
      <c r="F14" s="153"/>
      <c r="G14" s="153"/>
      <c r="H14" s="153"/>
      <c r="I14" s="136"/>
    </row>
    <row r="15" spans="1:9">
      <c r="A15" s="140"/>
      <c r="B15" s="140"/>
      <c r="C15" s="157"/>
      <c r="D15" s="140"/>
      <c r="E15" s="140"/>
      <c r="F15" s="140"/>
      <c r="G15" s="140"/>
      <c r="H15" s="140"/>
    </row>
    <row r="16" spans="1:9">
      <c r="A16" s="140">
        <v>2192</v>
      </c>
      <c r="B16" s="175">
        <v>45572</v>
      </c>
      <c r="C16" s="157" t="s">
        <v>300</v>
      </c>
      <c r="D16" s="140" t="s">
        <v>301</v>
      </c>
      <c r="E16" s="232">
        <v>9.7119000000000007E-3</v>
      </c>
      <c r="F16" s="140"/>
      <c r="G16" s="140">
        <f>C3*E16</f>
        <v>296.71312256190004</v>
      </c>
      <c r="H16" s="231">
        <f>G16</f>
        <v>296.71312256190004</v>
      </c>
    </row>
    <row r="17" spans="1:8">
      <c r="A17" s="140">
        <v>2193</v>
      </c>
      <c r="B17" s="175">
        <v>45572</v>
      </c>
      <c r="C17" s="157" t="s">
        <v>300</v>
      </c>
      <c r="D17" s="140" t="s">
        <v>301</v>
      </c>
      <c r="E17" s="178">
        <v>1.9845000000000002E-3</v>
      </c>
      <c r="F17" s="140"/>
      <c r="G17" s="140">
        <f>E17*C5</f>
        <v>4.9215600000000004</v>
      </c>
      <c r="H17" s="230">
        <f>G17</f>
        <v>4.9215600000000004</v>
      </c>
    </row>
    <row r="18" spans="1:8">
      <c r="A18" s="140"/>
      <c r="B18" s="140"/>
      <c r="C18" s="157"/>
      <c r="D18" s="140"/>
      <c r="E18" s="140"/>
      <c r="F18" s="140"/>
      <c r="G18" s="140"/>
      <c r="H18" s="140"/>
    </row>
    <row r="19" spans="1:8">
      <c r="A19" s="140">
        <v>2410</v>
      </c>
      <c r="B19" s="175">
        <v>45593</v>
      </c>
      <c r="C19" s="157" t="s">
        <v>301</v>
      </c>
      <c r="D19" s="140" t="s">
        <v>302</v>
      </c>
      <c r="E19" s="140">
        <v>9.7119000000000007E-3</v>
      </c>
      <c r="F19" s="140"/>
      <c r="G19" s="140">
        <f>E19*C3</f>
        <v>296.71312256190004</v>
      </c>
      <c r="H19" s="140">
        <f>G19</f>
        <v>296.71312256190004</v>
      </c>
    </row>
    <row r="20" spans="1:8">
      <c r="A20" s="140">
        <v>2409</v>
      </c>
      <c r="B20" s="175">
        <v>45593</v>
      </c>
      <c r="C20" s="157" t="s">
        <v>301</v>
      </c>
      <c r="D20" s="140" t="s">
        <v>302</v>
      </c>
      <c r="E20" s="140">
        <v>1.9845000000000002E-3</v>
      </c>
      <c r="F20" s="140"/>
      <c r="G20" s="140">
        <f>E20*C5</f>
        <v>4.9215600000000004</v>
      </c>
      <c r="H20" s="140">
        <f>G20</f>
        <v>4.9215600000000004</v>
      </c>
    </row>
    <row r="21" spans="1:8">
      <c r="A21" s="140"/>
      <c r="B21" s="140"/>
      <c r="C21" s="157"/>
      <c r="D21" s="140"/>
      <c r="E21" s="140"/>
      <c r="F21" s="140"/>
      <c r="G21" s="140"/>
      <c r="H21" s="140"/>
    </row>
    <row r="22" spans="1:8">
      <c r="A22" s="140"/>
      <c r="B22" s="140"/>
      <c r="C22" s="157"/>
      <c r="D22" s="140"/>
      <c r="E22" s="140"/>
      <c r="F22" s="140"/>
      <c r="G22" s="140"/>
      <c r="H22" s="140"/>
    </row>
    <row r="23" spans="1:8">
      <c r="A23" s="140"/>
      <c r="B23" s="140"/>
      <c r="C23" s="157"/>
      <c r="D23" s="140"/>
      <c r="E23" s="140"/>
      <c r="F23" s="140"/>
      <c r="G23" s="140"/>
      <c r="H23" s="140"/>
    </row>
    <row r="24" spans="1:8">
      <c r="A24" s="140"/>
      <c r="B24" s="140"/>
      <c r="C24" s="157"/>
      <c r="D24" s="140"/>
      <c r="E24" s="140"/>
      <c r="F24" s="140"/>
      <c r="G24" s="140"/>
      <c r="H24" s="140"/>
    </row>
    <row r="25" spans="1:8">
      <c r="A25" s="140"/>
      <c r="B25" s="140"/>
      <c r="C25" s="157"/>
      <c r="D25" s="140"/>
      <c r="E25" s="140"/>
      <c r="F25" s="140"/>
      <c r="G25" s="140"/>
      <c r="H25" s="140"/>
    </row>
    <row r="26" spans="1:8">
      <c r="A26" s="140"/>
      <c r="B26" s="140"/>
      <c r="C26" s="157"/>
      <c r="D26" s="140"/>
      <c r="E26" s="140"/>
      <c r="F26" s="140"/>
      <c r="G26" s="140"/>
      <c r="H26" s="140"/>
    </row>
    <row r="27" spans="1:8">
      <c r="A27" s="140"/>
      <c r="B27" s="140"/>
      <c r="C27" s="157"/>
      <c r="D27" s="140"/>
      <c r="E27" s="140"/>
      <c r="F27" s="140"/>
      <c r="G27" s="140"/>
      <c r="H27" s="140"/>
    </row>
    <row r="28" spans="1:8">
      <c r="A28" s="140"/>
      <c r="B28" s="140"/>
      <c r="C28" s="157"/>
      <c r="D28" s="140"/>
      <c r="E28" s="140"/>
      <c r="F28" s="140"/>
      <c r="G28" s="140"/>
      <c r="H28" s="140"/>
    </row>
    <row r="29" spans="1:8">
      <c r="A29" s="140"/>
      <c r="B29" s="140"/>
      <c r="C29" s="157"/>
      <c r="D29" s="140"/>
      <c r="E29" s="140"/>
      <c r="F29" s="140"/>
      <c r="G29" s="140"/>
      <c r="H29" s="140"/>
    </row>
    <row r="30" spans="1:8">
      <c r="A30" s="140"/>
      <c r="B30" s="140"/>
      <c r="C30" s="157"/>
      <c r="D30" s="140"/>
      <c r="E30" s="140"/>
      <c r="F30" s="140"/>
      <c r="G30" s="140"/>
      <c r="H30" s="140"/>
    </row>
    <row r="31" spans="1:8">
      <c r="A31" s="140"/>
      <c r="B31" s="140"/>
      <c r="C31" s="157"/>
      <c r="D31" s="140"/>
      <c r="E31" s="140"/>
      <c r="F31" s="140"/>
      <c r="G31" s="140"/>
      <c r="H31" s="140"/>
    </row>
    <row r="32" spans="1:8">
      <c r="A32" s="140"/>
      <c r="B32" s="140"/>
      <c r="C32" s="157"/>
      <c r="D32" s="140"/>
      <c r="E32" s="140"/>
      <c r="F32" s="140"/>
      <c r="G32" s="140"/>
      <c r="H32" s="140"/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53D3-3792-4434-A734-464E36A2240D}">
  <dimension ref="B2:S47"/>
  <sheetViews>
    <sheetView topLeftCell="A34" workbookViewId="0">
      <selection activeCell="N38" sqref="N38"/>
    </sheetView>
  </sheetViews>
  <sheetFormatPr defaultColWidth="9.140625" defaultRowHeight="14.45"/>
  <cols>
    <col min="1" max="1" width="6.28515625" customWidth="1"/>
    <col min="2" max="2" width="17.28515625" customWidth="1"/>
    <col min="3" max="3" width="16.140625" customWidth="1"/>
    <col min="4" max="4" width="11.85546875" customWidth="1"/>
    <col min="5" max="5" width="11" customWidth="1"/>
    <col min="6" max="6" width="12.5703125" customWidth="1"/>
    <col min="7" max="7" width="13.28515625" customWidth="1"/>
    <col min="8" max="8" width="15.5703125" customWidth="1"/>
    <col min="9" max="9" width="10.85546875" customWidth="1"/>
    <col min="10" max="10" width="11" bestFit="1" customWidth="1"/>
    <col min="11" max="11" width="8.7109375" customWidth="1"/>
    <col min="12" max="12" width="19.5703125" customWidth="1"/>
    <col min="13" max="13" width="13" customWidth="1"/>
    <col min="14" max="14" width="14.85546875" customWidth="1"/>
    <col min="15" max="15" width="14.140625" customWidth="1"/>
    <col min="16" max="16" width="11" bestFit="1" customWidth="1"/>
    <col min="17" max="17" width="11.85546875" customWidth="1"/>
    <col min="18" max="18" width="12.140625" customWidth="1"/>
    <col min="19" max="19" width="11" bestFit="1" customWidth="1"/>
  </cols>
  <sheetData>
    <row r="2" spans="2:18" ht="30.75" customHeight="1">
      <c r="B2" s="477">
        <f ca="1">TODAY()</f>
        <v>45755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</row>
    <row r="4" spans="2:18" hidden="1">
      <c r="M4" s="478" t="s">
        <v>36</v>
      </c>
      <c r="N4" s="478"/>
      <c r="O4" s="478"/>
      <c r="P4" s="478"/>
      <c r="Q4" s="478"/>
      <c r="R4" s="478"/>
    </row>
    <row r="5" spans="2:18" ht="28.9" hidden="1">
      <c r="B5" s="320" t="s">
        <v>37</v>
      </c>
      <c r="C5" s="321" t="s">
        <v>38</v>
      </c>
      <c r="D5" s="321" t="s">
        <v>39</v>
      </c>
      <c r="E5" s="321" t="s">
        <v>40</v>
      </c>
      <c r="F5" s="320" t="s">
        <v>41</v>
      </c>
      <c r="G5" s="321" t="s">
        <v>6</v>
      </c>
      <c r="H5" s="320" t="s">
        <v>42</v>
      </c>
      <c r="I5" s="320" t="s">
        <v>43</v>
      </c>
      <c r="J5" s="320" t="s">
        <v>45</v>
      </c>
      <c r="K5" s="321" t="s">
        <v>46</v>
      </c>
      <c r="L5" s="321" t="s">
        <v>47</v>
      </c>
      <c r="M5" s="322" t="s">
        <v>41</v>
      </c>
      <c r="N5" s="323" t="s">
        <v>6</v>
      </c>
      <c r="O5" s="323" t="s">
        <v>42</v>
      </c>
      <c r="P5" s="323" t="s">
        <v>8</v>
      </c>
      <c r="Q5" s="323" t="s">
        <v>9</v>
      </c>
      <c r="R5" s="323" t="s">
        <v>46</v>
      </c>
    </row>
    <row r="6" spans="2:18" ht="43.15" hidden="1">
      <c r="B6" s="320" t="s">
        <v>48</v>
      </c>
      <c r="C6" s="324" t="s">
        <v>303</v>
      </c>
      <c r="D6" s="325" t="s">
        <v>304</v>
      </c>
      <c r="E6" s="196" t="s">
        <v>51</v>
      </c>
      <c r="F6" s="197">
        <v>73151</v>
      </c>
      <c r="G6" s="197">
        <v>6887</v>
      </c>
      <c r="H6" s="197">
        <f>+F6+G6</f>
        <v>80038</v>
      </c>
      <c r="I6" s="193">
        <v>80038</v>
      </c>
      <c r="J6" s="197">
        <f>+H6-I6</f>
        <v>0</v>
      </c>
      <c r="K6" s="326">
        <f>+I6/H6</f>
        <v>1</v>
      </c>
      <c r="L6" s="327"/>
      <c r="M6" s="328">
        <f>F6</f>
        <v>73151</v>
      </c>
      <c r="N6" s="328">
        <f>G6</f>
        <v>6887</v>
      </c>
      <c r="O6" s="328">
        <f>+M6+N6</f>
        <v>80038</v>
      </c>
      <c r="P6" s="328">
        <f>I6</f>
        <v>80038</v>
      </c>
      <c r="Q6" s="328">
        <f>+O6-P6</f>
        <v>0</v>
      </c>
      <c r="R6" s="329">
        <f>+P6/O6</f>
        <v>1</v>
      </c>
    </row>
    <row r="7" spans="2:18" hidden="1">
      <c r="B7" s="330"/>
    </row>
    <row r="8" spans="2:18" hidden="1">
      <c r="B8" s="330"/>
    </row>
    <row r="9" spans="2:18" hidden="1">
      <c r="B9" s="330"/>
    </row>
    <row r="10" spans="2:18" hidden="1">
      <c r="B10" s="330"/>
    </row>
    <row r="11" spans="2:18" hidden="1">
      <c r="B11" s="330"/>
    </row>
    <row r="12" spans="2:18" hidden="1">
      <c r="B12" s="330"/>
    </row>
    <row r="13" spans="2:18" hidden="1">
      <c r="B13" s="330"/>
    </row>
    <row r="14" spans="2:18" hidden="1">
      <c r="B14" s="330"/>
    </row>
    <row r="15" spans="2:18" hidden="1">
      <c r="B15" s="330"/>
    </row>
    <row r="16" spans="2:18" hidden="1">
      <c r="B16" s="330"/>
    </row>
    <row r="17" spans="2:19" hidden="1">
      <c r="B17" s="330"/>
    </row>
    <row r="18" spans="2:19" hidden="1">
      <c r="B18" s="330"/>
    </row>
    <row r="19" spans="2:19" hidden="1">
      <c r="B19" s="330"/>
    </row>
    <row r="20" spans="2:19" hidden="1">
      <c r="B20" s="330"/>
    </row>
    <row r="21" spans="2:19" hidden="1">
      <c r="B21" s="330"/>
    </row>
    <row r="22" spans="2:19" hidden="1">
      <c r="B22" s="330"/>
    </row>
    <row r="23" spans="2:19" hidden="1">
      <c r="B23" s="330"/>
    </row>
    <row r="24" spans="2:19" hidden="1">
      <c r="H24" s="198"/>
      <c r="N24" s="331"/>
    </row>
    <row r="25" spans="2:19" ht="20.100000000000001" hidden="1" customHeight="1">
      <c r="B25" s="124"/>
      <c r="C25" s="124"/>
      <c r="D25" s="332" t="s">
        <v>43</v>
      </c>
      <c r="G25" s="331"/>
      <c r="H25" s="198"/>
      <c r="L25" s="331"/>
      <c r="P25" s="331"/>
      <c r="Q25" s="331"/>
      <c r="R25" s="331"/>
    </row>
    <row r="26" spans="2:19" ht="28.9" hidden="1">
      <c r="B26" s="324" t="s">
        <v>54</v>
      </c>
      <c r="C26" s="196" t="s">
        <v>51</v>
      </c>
      <c r="D26" s="333">
        <v>1000</v>
      </c>
      <c r="G26" s="331"/>
      <c r="H26" s="198"/>
      <c r="J26" s="198"/>
      <c r="K26" s="198"/>
      <c r="M26" s="331"/>
      <c r="N26" s="331"/>
    </row>
    <row r="27" spans="2:19" ht="15.75" customHeight="1">
      <c r="B27" s="49"/>
      <c r="C27" s="36"/>
      <c r="D27" s="334"/>
      <c r="G27" s="331"/>
      <c r="H27" s="198"/>
      <c r="J27" s="198"/>
      <c r="K27" s="198"/>
      <c r="M27" s="331"/>
      <c r="N27" s="331"/>
    </row>
    <row r="28" spans="2:19" ht="15.75" customHeight="1">
      <c r="B28" s="49"/>
      <c r="C28" s="36"/>
      <c r="D28" s="334"/>
      <c r="G28" s="331"/>
      <c r="H28" s="198"/>
      <c r="J28" s="198"/>
      <c r="K28" s="198"/>
      <c r="M28" s="331"/>
      <c r="N28" s="331"/>
    </row>
    <row r="29" spans="2:19" ht="18">
      <c r="B29" s="569" t="s">
        <v>305</v>
      </c>
      <c r="C29" s="569"/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</row>
    <row r="30" spans="2:19" ht="28.9">
      <c r="B30" s="335" t="s">
        <v>37</v>
      </c>
      <c r="C30" s="336" t="s">
        <v>38</v>
      </c>
      <c r="D30" s="336" t="s">
        <v>39</v>
      </c>
      <c r="E30" s="336" t="s">
        <v>40</v>
      </c>
      <c r="F30" s="335" t="s">
        <v>306</v>
      </c>
      <c r="G30" s="336" t="s">
        <v>6</v>
      </c>
      <c r="H30" s="335" t="s">
        <v>42</v>
      </c>
      <c r="I30" s="335" t="s">
        <v>43</v>
      </c>
      <c r="J30" s="335" t="s">
        <v>45</v>
      </c>
      <c r="K30" s="336" t="s">
        <v>46</v>
      </c>
      <c r="L30" s="336" t="s">
        <v>47</v>
      </c>
      <c r="M30" s="335" t="s">
        <v>41</v>
      </c>
      <c r="N30" s="336" t="s">
        <v>6</v>
      </c>
      <c r="O30" s="336" t="s">
        <v>42</v>
      </c>
      <c r="P30" s="336" t="s">
        <v>8</v>
      </c>
      <c r="Q30" s="336" t="s">
        <v>9</v>
      </c>
      <c r="R30" s="336" t="s">
        <v>46</v>
      </c>
    </row>
    <row r="31" spans="2:19" ht="43.15">
      <c r="B31" s="335" t="s">
        <v>48</v>
      </c>
      <c r="C31" s="337" t="s">
        <v>303</v>
      </c>
      <c r="D31" s="338" t="s">
        <v>304</v>
      </c>
      <c r="E31" s="339" t="s">
        <v>51</v>
      </c>
      <c r="F31" s="340">
        <v>2174.1109999999999</v>
      </c>
      <c r="G31" s="340"/>
      <c r="H31" s="340">
        <f>+F31</f>
        <v>2174.1109999999999</v>
      </c>
      <c r="I31" s="341">
        <v>2174.1109999999999</v>
      </c>
      <c r="J31" s="197">
        <f>+H31-I31</f>
        <v>0</v>
      </c>
      <c r="K31" s="326">
        <f>+I31/H31</f>
        <v>1</v>
      </c>
      <c r="L31" s="327"/>
      <c r="M31" s="328">
        <f>F31</f>
        <v>2174.1109999999999</v>
      </c>
      <c r="N31" s="328">
        <f>G31</f>
        <v>0</v>
      </c>
      <c r="O31" s="328">
        <f>+M31+N31</f>
        <v>2174.1109999999999</v>
      </c>
      <c r="P31" s="328">
        <f>I31</f>
        <v>2174.1109999999999</v>
      </c>
      <c r="Q31" s="328">
        <f>+O31-P31</f>
        <v>0</v>
      </c>
      <c r="R31" s="329">
        <f>+P31/O31</f>
        <v>1</v>
      </c>
      <c r="S31" s="342"/>
    </row>
    <row r="32" spans="2:19">
      <c r="H32" s="343"/>
      <c r="J32" s="331"/>
      <c r="L32" s="331"/>
      <c r="M32" s="331"/>
      <c r="N32" s="331"/>
    </row>
    <row r="33" spans="2:19">
      <c r="H33" s="343"/>
      <c r="J33" s="331"/>
      <c r="L33" s="331"/>
      <c r="M33" s="331"/>
      <c r="N33" s="331"/>
    </row>
    <row r="34" spans="2:19">
      <c r="H34" s="343"/>
      <c r="J34" s="331"/>
      <c r="L34" s="331"/>
      <c r="M34" s="331"/>
      <c r="N34" s="331"/>
    </row>
    <row r="35" spans="2:19">
      <c r="H35" s="343"/>
      <c r="J35" s="331"/>
      <c r="L35" s="331"/>
      <c r="M35" s="331"/>
      <c r="N35" s="331"/>
    </row>
    <row r="36" spans="2:19" ht="43.15">
      <c r="B36" s="344" t="s">
        <v>307</v>
      </c>
      <c r="C36" s="344" t="s">
        <v>308</v>
      </c>
      <c r="D36" s="344" t="s">
        <v>309</v>
      </c>
      <c r="E36" s="335" t="s">
        <v>43</v>
      </c>
      <c r="F36" s="335" t="s">
        <v>45</v>
      </c>
      <c r="G36" s="345"/>
      <c r="H36" s="198"/>
      <c r="I36" s="198"/>
      <c r="K36" s="198"/>
      <c r="L36" s="335" t="s">
        <v>75</v>
      </c>
      <c r="M36" s="335" t="s">
        <v>310</v>
      </c>
      <c r="N36" s="335" t="s">
        <v>43</v>
      </c>
      <c r="O36" s="335" t="s">
        <v>45</v>
      </c>
      <c r="P36" s="343"/>
    </row>
    <row r="37" spans="2:19" s="1" customFormat="1" ht="43.15" hidden="1">
      <c r="B37" s="346" t="s">
        <v>311</v>
      </c>
      <c r="C37" s="346" t="s">
        <v>312</v>
      </c>
      <c r="D37" s="347">
        <v>2174.1110000000044</v>
      </c>
      <c r="E37" s="348">
        <v>2174.1109999999999</v>
      </c>
      <c r="F37" s="128">
        <f>+D37-E37</f>
        <v>4.5474735088646412E-12</v>
      </c>
      <c r="L37" s="349" t="s">
        <v>313</v>
      </c>
      <c r="M37" s="128">
        <v>74436</v>
      </c>
      <c r="N37" s="199">
        <v>64636.555999999997</v>
      </c>
      <c r="O37" s="128">
        <f>+M37-N37</f>
        <v>9799.4440000000031</v>
      </c>
      <c r="P37" s="350"/>
      <c r="Q37" s="350"/>
      <c r="R37" s="351"/>
      <c r="S37" s="352"/>
    </row>
    <row r="38" spans="2:19" s="1" customFormat="1">
      <c r="B38" s="49"/>
      <c r="C38" s="49"/>
      <c r="D38" s="49"/>
      <c r="E38" s="353"/>
      <c r="F38" s="354"/>
      <c r="L38" s="349" t="s">
        <v>314</v>
      </c>
      <c r="M38" s="128">
        <f>+E37</f>
        <v>2174.1109999999999</v>
      </c>
      <c r="N38" s="199">
        <v>2174.1109999999999</v>
      </c>
      <c r="O38" s="128">
        <f>+M38-N38</f>
        <v>0</v>
      </c>
      <c r="P38" s="350"/>
      <c r="Q38" s="350"/>
      <c r="R38" s="351"/>
      <c r="S38" s="352"/>
    </row>
    <row r="39" spans="2:19" s="1" customFormat="1" ht="31.5" hidden="1" customHeight="1">
      <c r="L39" s="355" t="s">
        <v>315</v>
      </c>
      <c r="M39" s="128">
        <v>177904.679</v>
      </c>
      <c r="N39" s="199">
        <v>41410.622000000003</v>
      </c>
      <c r="O39" s="128">
        <f>+M39-N39</f>
        <v>136494.057</v>
      </c>
      <c r="R39" s="350"/>
      <c r="S39" s="352"/>
    </row>
    <row r="40" spans="2:19" s="1" customFormat="1" ht="28.9">
      <c r="B40" s="344" t="s">
        <v>78</v>
      </c>
      <c r="C40" s="344" t="s">
        <v>77</v>
      </c>
      <c r="D40" s="344" t="s">
        <v>316</v>
      </c>
      <c r="E40" s="344" t="s">
        <v>317</v>
      </c>
      <c r="F40" s="344" t="s">
        <v>318</v>
      </c>
      <c r="G40" s="344" t="s">
        <v>319</v>
      </c>
      <c r="H40" s="344" t="s">
        <v>320</v>
      </c>
      <c r="I40" s="320" t="s">
        <v>321</v>
      </c>
      <c r="J40" s="320" t="s">
        <v>322</v>
      </c>
      <c r="L40" s="349" t="s">
        <v>323</v>
      </c>
      <c r="M40" s="356">
        <v>24095.665000000001</v>
      </c>
      <c r="N40" s="199">
        <f>+I44</f>
        <v>23615.548000000003</v>
      </c>
      <c r="O40" s="128">
        <f>+M40-N40</f>
        <v>480.11699999999837</v>
      </c>
      <c r="P40" s="350"/>
      <c r="Q40" s="350">
        <f>+N38+N40+N41-N44</f>
        <v>-69907.733999999982</v>
      </c>
      <c r="R40" s="350"/>
    </row>
    <row r="41" spans="2:19" ht="28.9">
      <c r="B41" s="357" t="s">
        <v>13</v>
      </c>
      <c r="C41" s="357" t="s">
        <v>324</v>
      </c>
      <c r="D41" s="357" t="s">
        <v>325</v>
      </c>
      <c r="E41" s="358">
        <v>10000</v>
      </c>
      <c r="F41" s="358">
        <v>4400.8209999999999</v>
      </c>
      <c r="G41" s="359">
        <v>0.44009999999999999</v>
      </c>
      <c r="H41" s="360">
        <v>5599.1409999999996</v>
      </c>
      <c r="I41" s="361">
        <v>5599.14</v>
      </c>
      <c r="J41" s="362">
        <f>+H41-I41</f>
        <v>9.9999999929423211E-4</v>
      </c>
      <c r="L41" s="349" t="s">
        <v>315</v>
      </c>
      <c r="M41" s="363">
        <v>86638.467000000019</v>
      </c>
      <c r="N41" s="364">
        <f>+'[2]Cesiones Indv y Colect Anchovet'!I102</f>
        <v>81997.30700000003</v>
      </c>
      <c r="O41" s="140"/>
      <c r="P41" s="331"/>
      <c r="Q41" s="331"/>
      <c r="R41" s="365"/>
    </row>
    <row r="42" spans="2:19" ht="28.9">
      <c r="B42" s="357" t="s">
        <v>13</v>
      </c>
      <c r="C42" s="357" t="s">
        <v>326</v>
      </c>
      <c r="D42" s="357" t="s">
        <v>325</v>
      </c>
      <c r="E42" s="358">
        <v>2000</v>
      </c>
      <c r="F42" s="357">
        <v>191.387</v>
      </c>
      <c r="G42" s="359">
        <v>9.5699999999999993E-2</v>
      </c>
      <c r="H42" s="360">
        <v>1808.6130000000001</v>
      </c>
      <c r="I42" s="103">
        <f>+'[2]REMANENTE ANCHOVETA 2023'!I5</f>
        <v>1404.883</v>
      </c>
      <c r="J42" s="362">
        <f>+H42-I42</f>
        <v>403.73</v>
      </c>
      <c r="L42" s="349" t="s">
        <v>327</v>
      </c>
      <c r="M42" s="124"/>
      <c r="N42" s="364">
        <v>69907.733999999997</v>
      </c>
      <c r="O42" s="128"/>
      <c r="R42" s="331"/>
      <c r="S42" s="198"/>
    </row>
    <row r="43" spans="2:19" ht="43.15">
      <c r="B43" s="357" t="s">
        <v>13</v>
      </c>
      <c r="C43" s="357" t="s">
        <v>328</v>
      </c>
      <c r="D43" s="357" t="s">
        <v>329</v>
      </c>
      <c r="E43" s="358">
        <v>17756.297999999999</v>
      </c>
      <c r="F43" s="358">
        <v>1068.425</v>
      </c>
      <c r="G43" s="359">
        <v>6.0199999999999997E-2</v>
      </c>
      <c r="H43" s="360">
        <v>16687.873</v>
      </c>
      <c r="I43" s="103">
        <f>+'[2]REMANENTE ANCHOVETA 2023'!L6</f>
        <v>16611.525000000001</v>
      </c>
      <c r="J43" s="366">
        <f>+H43-I43</f>
        <v>76.347999999998137</v>
      </c>
      <c r="M43" s="331">
        <f>+N38+N40+N41</f>
        <v>107786.96600000003</v>
      </c>
      <c r="N43" s="331">
        <f>+N38+N40+N41+N42</f>
        <v>177694.7</v>
      </c>
      <c r="O43" s="343">
        <f>+N38+N40+N41+N42</f>
        <v>177694.7</v>
      </c>
      <c r="S43" s="331"/>
    </row>
    <row r="44" spans="2:19" ht="25.5" customHeight="1">
      <c r="B44" s="367" t="s">
        <v>34</v>
      </c>
      <c r="C44" s="367"/>
      <c r="D44" s="367"/>
      <c r="E44" s="368">
        <f>SUM(E41:E43)</f>
        <v>29756.297999999999</v>
      </c>
      <c r="F44" s="368">
        <f t="shared" ref="F44:H44" si="0">SUM(F41:F43)</f>
        <v>5660.6329999999998</v>
      </c>
      <c r="G44" s="368">
        <f t="shared" si="0"/>
        <v>0.59599999999999997</v>
      </c>
      <c r="H44" s="369">
        <f t="shared" si="0"/>
        <v>24095.627</v>
      </c>
      <c r="I44" s="370">
        <f>SUM(I41:I43)</f>
        <v>23615.548000000003</v>
      </c>
      <c r="J44" s="371">
        <f>SUM(J41:J43)</f>
        <v>480.07899999999745</v>
      </c>
      <c r="M44" s="331">
        <f>+M43-N44</f>
        <v>-69907.733999999982</v>
      </c>
      <c r="N44" s="372">
        <v>177694.7</v>
      </c>
      <c r="O44" s="331">
        <f>+O43-N44</f>
        <v>0</v>
      </c>
      <c r="S44" s="331"/>
    </row>
    <row r="45" spans="2:19">
      <c r="H45" s="343"/>
      <c r="N45" s="331"/>
      <c r="O45" s="331"/>
    </row>
    <row r="46" spans="2:19">
      <c r="C46" s="198"/>
      <c r="H46" s="373"/>
      <c r="I46" s="374"/>
      <c r="M46" s="331">
        <f>+N38+N40+N41</f>
        <v>107786.96600000003</v>
      </c>
      <c r="N46" s="331">
        <f>+N43-N44</f>
        <v>0</v>
      </c>
      <c r="O46" s="331"/>
    </row>
    <row r="47" spans="2:19">
      <c r="D47" s="44"/>
      <c r="M47" s="331">
        <f>+M46-N44</f>
        <v>-69907.733999999982</v>
      </c>
    </row>
  </sheetData>
  <mergeCells count="3">
    <mergeCell ref="B2:R2"/>
    <mergeCell ref="M4:R4"/>
    <mergeCell ref="B29:R29"/>
  </mergeCells>
  <conditionalFormatting sqref="J6">
    <cfRule type="cellIs" dxfId="3" priority="4" operator="lessThan">
      <formula>0</formula>
    </cfRule>
  </conditionalFormatting>
  <conditionalFormatting sqref="J31">
    <cfRule type="cellIs" dxfId="2" priority="2" operator="lessThan">
      <formula>0</formula>
    </cfRule>
  </conditionalFormatting>
  <conditionalFormatting sqref="K6 R6">
    <cfRule type="cellIs" dxfId="1" priority="3" operator="greaterThan">
      <formula>0.9</formula>
    </cfRule>
  </conditionalFormatting>
  <conditionalFormatting sqref="K31 R31">
    <cfRule type="cellIs" dxfId="0" priority="1" operator="greaterThan">
      <formula>0.9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B77"/>
  <sheetViews>
    <sheetView workbookViewId="0">
      <selection activeCell="AC67" sqref="AC67"/>
    </sheetView>
  </sheetViews>
  <sheetFormatPr defaultColWidth="11.42578125" defaultRowHeight="14.45"/>
  <cols>
    <col min="2" max="2" width="14.7109375" bestFit="1" customWidth="1"/>
    <col min="6" max="6" width="23.28515625" customWidth="1"/>
    <col min="10" max="10" width="18.28515625" customWidth="1"/>
    <col min="13" max="14" width="11.42578125" hidden="1" customWidth="1"/>
    <col min="15" max="15" width="12.7109375" hidden="1" customWidth="1"/>
    <col min="17" max="24" width="11.42578125" hidden="1" customWidth="1"/>
    <col min="25" max="27" width="0" hidden="1" customWidth="1"/>
  </cols>
  <sheetData>
    <row r="1" spans="2:28" ht="15" thickBot="1"/>
    <row r="2" spans="2:28" ht="15" thickBot="1">
      <c r="B2" s="36"/>
      <c r="C2" s="36"/>
      <c r="D2" s="36"/>
      <c r="E2" s="36"/>
      <c r="F2" s="36"/>
      <c r="G2" s="36"/>
      <c r="H2" s="504" t="s">
        <v>68</v>
      </c>
      <c r="I2" s="505"/>
      <c r="J2" s="505"/>
      <c r="K2" s="590"/>
      <c r="L2" s="505" t="s">
        <v>69</v>
      </c>
      <c r="M2" s="505"/>
      <c r="N2" s="505"/>
      <c r="O2" s="590"/>
    </row>
    <row r="3" spans="2:28" ht="15" thickBot="1">
      <c r="B3" s="36"/>
      <c r="C3" s="36"/>
      <c r="D3" s="36"/>
      <c r="E3" s="36"/>
      <c r="F3" s="36"/>
      <c r="G3" s="36"/>
      <c r="H3" s="43" t="s">
        <v>70</v>
      </c>
      <c r="I3" s="43" t="s">
        <v>71</v>
      </c>
      <c r="J3" s="43" t="s">
        <v>72</v>
      </c>
      <c r="K3" s="43" t="s">
        <v>73</v>
      </c>
      <c r="L3" s="200" t="s">
        <v>70</v>
      </c>
      <c r="M3" s="200" t="s">
        <v>71</v>
      </c>
      <c r="N3" s="200" t="s">
        <v>72</v>
      </c>
      <c r="O3" s="200" t="s">
        <v>73</v>
      </c>
    </row>
    <row r="4" spans="2:28" ht="29.45" thickBot="1">
      <c r="B4" s="201" t="s">
        <v>75</v>
      </c>
      <c r="C4" s="202" t="s">
        <v>76</v>
      </c>
      <c r="D4" s="203" t="s">
        <v>77</v>
      </c>
      <c r="E4" s="202" t="s">
        <v>78</v>
      </c>
      <c r="F4" s="202" t="s">
        <v>79</v>
      </c>
      <c r="G4" s="202" t="s">
        <v>80</v>
      </c>
      <c r="H4" s="202" t="s">
        <v>12</v>
      </c>
      <c r="I4" s="202" t="s">
        <v>12</v>
      </c>
      <c r="J4" s="202" t="s">
        <v>12</v>
      </c>
      <c r="K4" s="202" t="s">
        <v>12</v>
      </c>
      <c r="L4" s="204" t="s">
        <v>24</v>
      </c>
      <c r="M4" s="204" t="s">
        <v>24</v>
      </c>
      <c r="N4" s="204" t="s">
        <v>24</v>
      </c>
      <c r="O4" s="205" t="s">
        <v>24</v>
      </c>
    </row>
    <row r="5" spans="2:28" s="1" customFormat="1" ht="42.75" customHeight="1" thickBot="1">
      <c r="B5" s="206" t="s">
        <v>330</v>
      </c>
      <c r="C5" s="207"/>
      <c r="D5" s="236">
        <v>1294</v>
      </c>
      <c r="E5" s="208" t="s">
        <v>128</v>
      </c>
      <c r="F5" s="208" t="s">
        <v>187</v>
      </c>
      <c r="G5" s="209">
        <v>700966</v>
      </c>
      <c r="H5" s="208">
        <v>1808.6130000000001</v>
      </c>
      <c r="I5" s="210">
        <v>1404.883</v>
      </c>
      <c r="J5" s="208">
        <f>+H5-I5</f>
        <v>403.73</v>
      </c>
      <c r="K5" s="211">
        <f>+J5/H5</f>
        <v>0.22322630656751888</v>
      </c>
      <c r="L5" s="208">
        <f>+I5</f>
        <v>1404.883</v>
      </c>
      <c r="M5" s="208"/>
      <c r="N5" s="208"/>
      <c r="O5" s="212"/>
      <c r="Q5" s="213"/>
      <c r="R5" s="213"/>
      <c r="S5" s="213"/>
      <c r="T5" s="213"/>
    </row>
    <row r="6" spans="2:28">
      <c r="B6" s="591" t="s">
        <v>330</v>
      </c>
      <c r="C6" s="594"/>
      <c r="D6" s="597">
        <v>422</v>
      </c>
      <c r="E6" s="598" t="s">
        <v>128</v>
      </c>
      <c r="F6" s="214" t="s">
        <v>83</v>
      </c>
      <c r="G6" s="214">
        <v>701438</v>
      </c>
      <c r="H6" s="598">
        <v>16687.863000000001</v>
      </c>
      <c r="I6" s="215">
        <v>2117.1839999999997</v>
      </c>
      <c r="J6" s="598">
        <f>H6-(I6+I7+I8+I9+I10+I11+I12+I13)</f>
        <v>76.337999999999738</v>
      </c>
      <c r="K6" s="599">
        <f>(I6+I7+I8+I9+I10+I11+I12+I13)/H6</f>
        <v>0.99542553770965159</v>
      </c>
      <c r="L6" s="216">
        <f>+I6+I7+I8+I9+I10+I11+I12+I13</f>
        <v>16611.525000000001</v>
      </c>
      <c r="M6" s="314">
        <f>+H6-L6</f>
        <v>76.337999999999738</v>
      </c>
      <c r="N6" s="214"/>
      <c r="O6" s="216"/>
      <c r="W6" s="217"/>
      <c r="AB6" s="217"/>
    </row>
    <row r="7" spans="2:28">
      <c r="B7" s="592"/>
      <c r="C7" s="595"/>
      <c r="D7" s="582"/>
      <c r="E7" s="508"/>
      <c r="F7" s="103" t="s">
        <v>91</v>
      </c>
      <c r="G7" s="103">
        <v>969068</v>
      </c>
      <c r="H7" s="508"/>
      <c r="I7" s="218">
        <v>2400.3390000000004</v>
      </c>
      <c r="J7" s="508"/>
      <c r="K7" s="573"/>
      <c r="L7" s="219"/>
      <c r="M7" s="315"/>
      <c r="N7" s="103"/>
      <c r="O7" s="219"/>
      <c r="W7" s="217"/>
      <c r="AB7" s="217"/>
    </row>
    <row r="8" spans="2:28">
      <c r="B8" s="592"/>
      <c r="C8" s="595"/>
      <c r="D8" s="582"/>
      <c r="E8" s="508"/>
      <c r="F8" s="103" t="s">
        <v>92</v>
      </c>
      <c r="G8" s="103">
        <v>699329</v>
      </c>
      <c r="H8" s="508"/>
      <c r="I8" s="218">
        <v>1250.6589999999997</v>
      </c>
      <c r="J8" s="508"/>
      <c r="K8" s="573"/>
      <c r="L8" s="219"/>
      <c r="M8" s="315"/>
      <c r="N8" s="103"/>
      <c r="O8" s="219"/>
      <c r="W8" s="217"/>
    </row>
    <row r="9" spans="2:28">
      <c r="B9" s="592"/>
      <c r="C9" s="595"/>
      <c r="D9" s="582"/>
      <c r="E9" s="508"/>
      <c r="F9" s="103" t="s">
        <v>90</v>
      </c>
      <c r="G9" s="103">
        <v>968447</v>
      </c>
      <c r="H9" s="508"/>
      <c r="I9" s="218">
        <v>3984.1919999999996</v>
      </c>
      <c r="J9" s="508"/>
      <c r="K9" s="573"/>
      <c r="L9" s="219"/>
      <c r="M9" s="315"/>
      <c r="N9" s="103"/>
      <c r="O9" s="219"/>
      <c r="W9" s="217"/>
      <c r="AB9" s="217"/>
    </row>
    <row r="10" spans="2:28">
      <c r="B10" s="592"/>
      <c r="C10" s="595"/>
      <c r="D10" s="582"/>
      <c r="E10" s="508"/>
      <c r="F10" s="103" t="s">
        <v>88</v>
      </c>
      <c r="G10" s="103">
        <v>968274</v>
      </c>
      <c r="H10" s="508"/>
      <c r="I10" s="218">
        <v>679.00399999999991</v>
      </c>
      <c r="J10" s="508"/>
      <c r="K10" s="573"/>
      <c r="L10" s="219"/>
      <c r="M10" s="315"/>
      <c r="N10" s="103"/>
      <c r="O10" s="219"/>
      <c r="W10" s="217"/>
    </row>
    <row r="11" spans="2:28">
      <c r="B11" s="592"/>
      <c r="C11" s="595"/>
      <c r="D11" s="582"/>
      <c r="E11" s="508"/>
      <c r="F11" s="103" t="s">
        <v>85</v>
      </c>
      <c r="G11" s="103">
        <v>699687</v>
      </c>
      <c r="H11" s="508"/>
      <c r="I11" s="218">
        <v>2263.6640000000002</v>
      </c>
      <c r="J11" s="508"/>
      <c r="K11" s="573"/>
      <c r="L11" s="219"/>
      <c r="M11" s="315"/>
      <c r="N11" s="103"/>
      <c r="O11" s="219"/>
      <c r="W11" s="217"/>
    </row>
    <row r="12" spans="2:28">
      <c r="B12" s="592"/>
      <c r="C12" s="595"/>
      <c r="D12" s="582"/>
      <c r="E12" s="508"/>
      <c r="F12" s="103" t="s">
        <v>96</v>
      </c>
      <c r="G12" s="103">
        <v>700798</v>
      </c>
      <c r="H12" s="508"/>
      <c r="I12" s="218">
        <v>1152.258</v>
      </c>
      <c r="J12" s="508"/>
      <c r="K12" s="573"/>
      <c r="L12" s="219"/>
      <c r="M12" s="315"/>
      <c r="N12" s="103"/>
      <c r="O12" s="219"/>
      <c r="W12" s="217"/>
      <c r="AB12" s="217"/>
    </row>
    <row r="13" spans="2:28" ht="15" thickBot="1">
      <c r="B13" s="593"/>
      <c r="C13" s="596"/>
      <c r="D13" s="583"/>
      <c r="E13" s="571"/>
      <c r="F13" s="224" t="s">
        <v>87</v>
      </c>
      <c r="G13" s="224">
        <v>967544</v>
      </c>
      <c r="H13" s="571"/>
      <c r="I13" s="316">
        <v>2764.2249999999995</v>
      </c>
      <c r="J13" s="571"/>
      <c r="K13" s="574"/>
      <c r="L13" s="226"/>
      <c r="M13" s="317"/>
      <c r="N13" s="209"/>
      <c r="O13" s="220"/>
      <c r="W13" s="217"/>
      <c r="AB13" s="217"/>
    </row>
    <row r="14" spans="2:28" ht="24" customHeight="1">
      <c r="B14" s="575" t="s">
        <v>330</v>
      </c>
      <c r="C14" s="578"/>
      <c r="D14" s="581">
        <v>359</v>
      </c>
      <c r="E14" s="570"/>
      <c r="F14" s="227" t="s">
        <v>331</v>
      </c>
      <c r="G14" s="227">
        <v>956794</v>
      </c>
      <c r="H14" s="584">
        <v>5599.1409999999996</v>
      </c>
      <c r="I14" s="318">
        <v>3033.798000000002</v>
      </c>
      <c r="J14" s="586">
        <f>+H14-I14-I15-I16-I17-I18-I19-I20-I21-I22-I23-I24-I25-I26-I27-I28-I29-I30-I31-I32-I33-I34-I35-I36-I37-I38-I39-I40-I41-I42-I43-I44-I45-I46-I47-I48-I49-I50-I51-I52-I53-I54-I55-I56</f>
        <v>-2.3874235921539366E-12</v>
      </c>
      <c r="K14" s="572">
        <f>(I14+I15+I16+I17+I18+I19+I20+I21+I22+I23+I24+I25+I26+I27+I28+I29+I30+I31+I32+I33+I34+I35+I36+I37+I38+I39+I40+I41+I42+I43+I44+I45+I46+I47+I48+I49+I50+I51+I52+I53+I54+I55+I56)/H14</f>
        <v>1.0000000000000002</v>
      </c>
      <c r="L14" s="227">
        <f>+I14+I15+I47+I52</f>
        <v>5599.1410000000014</v>
      </c>
      <c r="M14" s="235">
        <f>+H14-L14</f>
        <v>0</v>
      </c>
      <c r="N14" s="214"/>
      <c r="O14" s="216"/>
    </row>
    <row r="15" spans="2:28" ht="24" customHeight="1">
      <c r="B15" s="576"/>
      <c r="C15" s="579"/>
      <c r="D15" s="582"/>
      <c r="E15" s="508"/>
      <c r="F15" s="103" t="s">
        <v>332</v>
      </c>
      <c r="G15" s="103">
        <v>961261</v>
      </c>
      <c r="H15" s="584"/>
      <c r="I15" s="218">
        <v>1824.0139999999999</v>
      </c>
      <c r="J15" s="587"/>
      <c r="K15" s="573"/>
      <c r="L15" s="103"/>
      <c r="M15" s="103"/>
      <c r="N15" s="103"/>
      <c r="O15" s="219"/>
    </row>
    <row r="16" spans="2:28" ht="24" customHeight="1">
      <c r="B16" s="576"/>
      <c r="C16" s="579"/>
      <c r="D16" s="582"/>
      <c r="E16" s="508"/>
      <c r="F16" s="103" t="s">
        <v>333</v>
      </c>
      <c r="G16" s="103">
        <v>701585</v>
      </c>
      <c r="H16" s="584"/>
      <c r="I16" s="218"/>
      <c r="J16" s="587"/>
      <c r="K16" s="573"/>
      <c r="L16" s="103"/>
      <c r="M16" s="103"/>
      <c r="N16" s="103"/>
      <c r="O16" s="219"/>
    </row>
    <row r="17" spans="2:15" ht="24" customHeight="1">
      <c r="B17" s="576"/>
      <c r="C17" s="579"/>
      <c r="D17" s="582"/>
      <c r="E17" s="508"/>
      <c r="F17" s="103" t="s">
        <v>334</v>
      </c>
      <c r="G17" s="103">
        <v>701311</v>
      </c>
      <c r="H17" s="584"/>
      <c r="I17" s="218"/>
      <c r="J17" s="587"/>
      <c r="K17" s="573"/>
      <c r="L17" s="104"/>
      <c r="M17" s="104"/>
      <c r="N17" s="104"/>
      <c r="O17" s="221"/>
    </row>
    <row r="18" spans="2:15" ht="24" customHeight="1">
      <c r="B18" s="576"/>
      <c r="C18" s="579"/>
      <c r="D18" s="582"/>
      <c r="E18" s="508"/>
      <c r="F18" s="103" t="s">
        <v>335</v>
      </c>
      <c r="G18" s="103">
        <v>913564</v>
      </c>
      <c r="H18" s="584"/>
      <c r="I18" s="218"/>
      <c r="J18" s="587"/>
      <c r="K18" s="573"/>
      <c r="L18" s="104"/>
      <c r="M18" s="104"/>
      <c r="N18" s="104"/>
      <c r="O18" s="221"/>
    </row>
    <row r="19" spans="2:15" ht="24" customHeight="1">
      <c r="B19" s="576"/>
      <c r="C19" s="579"/>
      <c r="D19" s="582"/>
      <c r="E19" s="508"/>
      <c r="F19" s="103" t="s">
        <v>336</v>
      </c>
      <c r="G19" s="103">
        <v>967834</v>
      </c>
      <c r="H19" s="584"/>
      <c r="I19" s="218"/>
      <c r="J19" s="587"/>
      <c r="K19" s="573"/>
      <c r="L19" s="140"/>
      <c r="M19" s="140"/>
      <c r="N19" s="140"/>
      <c r="O19" s="222"/>
    </row>
    <row r="20" spans="2:15" ht="24" customHeight="1">
      <c r="B20" s="576"/>
      <c r="C20" s="579"/>
      <c r="D20" s="582"/>
      <c r="E20" s="508"/>
      <c r="F20" s="103" t="s">
        <v>337</v>
      </c>
      <c r="G20" s="103">
        <v>965747</v>
      </c>
      <c r="H20" s="584"/>
      <c r="I20" s="218"/>
      <c r="J20" s="587"/>
      <c r="K20" s="573"/>
      <c r="L20" s="140"/>
      <c r="M20" s="140"/>
      <c r="N20" s="140"/>
      <c r="O20" s="222"/>
    </row>
    <row r="21" spans="2:15" ht="24" customHeight="1">
      <c r="B21" s="576"/>
      <c r="C21" s="579"/>
      <c r="D21" s="582"/>
      <c r="E21" s="508"/>
      <c r="F21" s="103" t="s">
        <v>338</v>
      </c>
      <c r="G21" s="103">
        <v>701521</v>
      </c>
      <c r="H21" s="584"/>
      <c r="I21" s="223"/>
      <c r="J21" s="587"/>
      <c r="K21" s="573"/>
      <c r="L21" s="140"/>
      <c r="M21" s="140"/>
      <c r="N21" s="140"/>
      <c r="O21" s="222"/>
    </row>
    <row r="22" spans="2:15" ht="24" customHeight="1">
      <c r="B22" s="576"/>
      <c r="C22" s="579"/>
      <c r="D22" s="582"/>
      <c r="E22" s="508"/>
      <c r="F22" s="103" t="s">
        <v>339</v>
      </c>
      <c r="G22" s="103">
        <v>969720</v>
      </c>
      <c r="H22" s="584"/>
      <c r="I22" s="223"/>
      <c r="J22" s="587"/>
      <c r="K22" s="573"/>
      <c r="L22" s="140"/>
      <c r="M22" s="140"/>
      <c r="N22" s="140"/>
      <c r="O22" s="222"/>
    </row>
    <row r="23" spans="2:15" ht="24" customHeight="1">
      <c r="B23" s="576"/>
      <c r="C23" s="579"/>
      <c r="D23" s="582"/>
      <c r="E23" s="508"/>
      <c r="F23" s="103" t="s">
        <v>340</v>
      </c>
      <c r="G23" s="103">
        <v>961059</v>
      </c>
      <c r="H23" s="584"/>
      <c r="I23" s="223"/>
      <c r="J23" s="587"/>
      <c r="K23" s="573"/>
      <c r="L23" s="140"/>
      <c r="M23" s="140"/>
      <c r="N23" s="140"/>
      <c r="O23" s="222"/>
    </row>
    <row r="24" spans="2:15" ht="24" customHeight="1">
      <c r="B24" s="576"/>
      <c r="C24" s="579"/>
      <c r="D24" s="582"/>
      <c r="E24" s="508"/>
      <c r="F24" s="103" t="s">
        <v>341</v>
      </c>
      <c r="G24" s="103">
        <v>700047</v>
      </c>
      <c r="H24" s="584"/>
      <c r="I24" s="218"/>
      <c r="J24" s="587"/>
      <c r="K24" s="573"/>
      <c r="L24" s="140"/>
      <c r="M24" s="140"/>
      <c r="N24" s="140"/>
      <c r="O24" s="222"/>
    </row>
    <row r="25" spans="2:15" ht="24" customHeight="1">
      <c r="B25" s="576"/>
      <c r="C25" s="579"/>
      <c r="D25" s="582"/>
      <c r="E25" s="508"/>
      <c r="F25" s="103" t="s">
        <v>342</v>
      </c>
      <c r="G25" s="103">
        <v>963544</v>
      </c>
      <c r="H25" s="584"/>
      <c r="I25" s="223"/>
      <c r="J25" s="587"/>
      <c r="K25" s="573"/>
      <c r="L25" s="140"/>
      <c r="M25" s="140"/>
      <c r="N25" s="140"/>
      <c r="O25" s="222"/>
    </row>
    <row r="26" spans="2:15" ht="24" customHeight="1">
      <c r="B26" s="576"/>
      <c r="C26" s="579"/>
      <c r="D26" s="582"/>
      <c r="E26" s="508"/>
      <c r="F26" s="103" t="s">
        <v>343</v>
      </c>
      <c r="G26" s="103">
        <v>963409</v>
      </c>
      <c r="H26" s="584"/>
      <c r="I26" s="223"/>
      <c r="J26" s="587"/>
      <c r="K26" s="573"/>
      <c r="L26" s="140"/>
      <c r="M26" s="140"/>
      <c r="N26" s="140"/>
      <c r="O26" s="222"/>
    </row>
    <row r="27" spans="2:15" ht="24" customHeight="1">
      <c r="B27" s="576"/>
      <c r="C27" s="579"/>
      <c r="D27" s="582"/>
      <c r="E27" s="508"/>
      <c r="F27" s="103" t="s">
        <v>344</v>
      </c>
      <c r="G27" s="103">
        <v>700857</v>
      </c>
      <c r="H27" s="584"/>
      <c r="I27" s="223"/>
      <c r="J27" s="587"/>
      <c r="K27" s="573"/>
      <c r="L27" s="140"/>
      <c r="M27" s="140"/>
      <c r="N27" s="140"/>
      <c r="O27" s="222"/>
    </row>
    <row r="28" spans="2:15" ht="24" customHeight="1">
      <c r="B28" s="576"/>
      <c r="C28" s="579"/>
      <c r="D28" s="582"/>
      <c r="E28" s="508"/>
      <c r="F28" s="103" t="s">
        <v>345</v>
      </c>
      <c r="G28" s="103">
        <v>698422</v>
      </c>
      <c r="H28" s="584"/>
      <c r="I28" s="223"/>
      <c r="J28" s="587"/>
      <c r="K28" s="573"/>
      <c r="L28" s="140"/>
      <c r="M28" s="140"/>
      <c r="N28" s="140"/>
      <c r="O28" s="222"/>
    </row>
    <row r="29" spans="2:15" ht="24" customHeight="1">
      <c r="B29" s="576"/>
      <c r="C29" s="579"/>
      <c r="D29" s="582"/>
      <c r="E29" s="508"/>
      <c r="F29" s="103" t="s">
        <v>346</v>
      </c>
      <c r="G29" s="103">
        <v>964506</v>
      </c>
      <c r="H29" s="584"/>
      <c r="I29" s="223"/>
      <c r="J29" s="587"/>
      <c r="K29" s="573"/>
      <c r="L29" s="140"/>
      <c r="M29" s="140"/>
      <c r="N29" s="140"/>
      <c r="O29" s="222"/>
    </row>
    <row r="30" spans="2:15" ht="24" customHeight="1">
      <c r="B30" s="576"/>
      <c r="C30" s="579"/>
      <c r="D30" s="582"/>
      <c r="E30" s="508"/>
      <c r="F30" s="103" t="s">
        <v>347</v>
      </c>
      <c r="G30" s="103">
        <v>701006</v>
      </c>
      <c r="H30" s="584"/>
      <c r="I30" s="218"/>
      <c r="J30" s="587"/>
      <c r="K30" s="573"/>
      <c r="L30" s="140"/>
      <c r="M30" s="140"/>
      <c r="N30" s="140"/>
      <c r="O30" s="222"/>
    </row>
    <row r="31" spans="2:15" ht="24" customHeight="1">
      <c r="B31" s="576"/>
      <c r="C31" s="579"/>
      <c r="D31" s="582"/>
      <c r="E31" s="508"/>
      <c r="F31" s="103" t="s">
        <v>348</v>
      </c>
      <c r="G31" s="103">
        <v>964706</v>
      </c>
      <c r="H31" s="584"/>
      <c r="I31" s="223"/>
      <c r="J31" s="587"/>
      <c r="K31" s="573"/>
      <c r="L31" s="140"/>
      <c r="M31" s="140"/>
      <c r="N31" s="140"/>
      <c r="O31" s="222"/>
    </row>
    <row r="32" spans="2:15" ht="24" customHeight="1">
      <c r="B32" s="576"/>
      <c r="C32" s="579"/>
      <c r="D32" s="582"/>
      <c r="E32" s="508"/>
      <c r="F32" s="103" t="s">
        <v>349</v>
      </c>
      <c r="G32" s="103">
        <v>700133</v>
      </c>
      <c r="H32" s="584"/>
      <c r="I32" s="223"/>
      <c r="J32" s="587"/>
      <c r="K32" s="573"/>
      <c r="L32" s="140"/>
      <c r="M32" s="140"/>
      <c r="N32" s="140"/>
      <c r="O32" s="222"/>
    </row>
    <row r="33" spans="2:15" ht="24" customHeight="1">
      <c r="B33" s="576"/>
      <c r="C33" s="579"/>
      <c r="D33" s="582"/>
      <c r="E33" s="508"/>
      <c r="F33" s="103" t="s">
        <v>350</v>
      </c>
      <c r="G33" s="103">
        <v>968781</v>
      </c>
      <c r="H33" s="584"/>
      <c r="I33" s="223"/>
      <c r="J33" s="587"/>
      <c r="K33" s="573"/>
      <c r="L33" s="140"/>
      <c r="M33" s="140"/>
      <c r="N33" s="140"/>
      <c r="O33" s="222"/>
    </row>
    <row r="34" spans="2:15" ht="24" customHeight="1">
      <c r="B34" s="576"/>
      <c r="C34" s="579"/>
      <c r="D34" s="582"/>
      <c r="E34" s="508"/>
      <c r="F34" s="103" t="s">
        <v>351</v>
      </c>
      <c r="G34" s="103">
        <v>699115</v>
      </c>
      <c r="H34" s="584"/>
      <c r="I34" s="223"/>
      <c r="J34" s="587"/>
      <c r="K34" s="573"/>
      <c r="L34" s="140"/>
      <c r="M34" s="140"/>
      <c r="N34" s="140"/>
      <c r="O34" s="222"/>
    </row>
    <row r="35" spans="2:15" ht="24" customHeight="1">
      <c r="B35" s="576"/>
      <c r="C35" s="579"/>
      <c r="D35" s="582"/>
      <c r="E35" s="508"/>
      <c r="F35" s="103" t="s">
        <v>352</v>
      </c>
      <c r="G35" s="103">
        <v>966916</v>
      </c>
      <c r="H35" s="584"/>
      <c r="I35" s="223"/>
      <c r="J35" s="587"/>
      <c r="K35" s="573"/>
      <c r="L35" s="140"/>
      <c r="M35" s="140"/>
      <c r="N35" s="140"/>
      <c r="O35" s="222"/>
    </row>
    <row r="36" spans="2:15" ht="24" customHeight="1">
      <c r="B36" s="576"/>
      <c r="C36" s="579"/>
      <c r="D36" s="582"/>
      <c r="E36" s="508"/>
      <c r="F36" s="103" t="s">
        <v>353</v>
      </c>
      <c r="G36" s="103">
        <v>969314</v>
      </c>
      <c r="H36" s="584"/>
      <c r="I36" s="223"/>
      <c r="J36" s="587"/>
      <c r="K36" s="573"/>
      <c r="L36" s="140"/>
      <c r="M36" s="140"/>
      <c r="N36" s="140"/>
      <c r="O36" s="222"/>
    </row>
    <row r="37" spans="2:15" ht="24" customHeight="1">
      <c r="B37" s="576"/>
      <c r="C37" s="579"/>
      <c r="D37" s="582"/>
      <c r="E37" s="508"/>
      <c r="F37" s="103" t="s">
        <v>354</v>
      </c>
      <c r="G37" s="103">
        <v>701275</v>
      </c>
      <c r="H37" s="584"/>
      <c r="I37" s="223"/>
      <c r="J37" s="587"/>
      <c r="K37" s="573"/>
      <c r="L37" s="140"/>
      <c r="M37" s="140"/>
      <c r="N37" s="140"/>
      <c r="O37" s="222"/>
    </row>
    <row r="38" spans="2:15" ht="24" customHeight="1">
      <c r="B38" s="576"/>
      <c r="C38" s="579"/>
      <c r="D38" s="582"/>
      <c r="E38" s="508"/>
      <c r="F38" s="103" t="s">
        <v>355</v>
      </c>
      <c r="G38" s="103">
        <v>700665</v>
      </c>
      <c r="H38" s="584"/>
      <c r="I38" s="218"/>
      <c r="J38" s="587"/>
      <c r="K38" s="573"/>
      <c r="L38" s="140"/>
      <c r="M38" s="140"/>
      <c r="N38" s="140"/>
      <c r="O38" s="222"/>
    </row>
    <row r="39" spans="2:15" ht="24" customHeight="1">
      <c r="B39" s="576"/>
      <c r="C39" s="579"/>
      <c r="D39" s="582"/>
      <c r="E39" s="508"/>
      <c r="F39" s="103" t="s">
        <v>356</v>
      </c>
      <c r="G39" s="103">
        <v>953852</v>
      </c>
      <c r="H39" s="584"/>
      <c r="I39" s="223"/>
      <c r="J39" s="587"/>
      <c r="K39" s="573"/>
      <c r="L39" s="140"/>
      <c r="M39" s="140"/>
      <c r="N39" s="140"/>
      <c r="O39" s="222"/>
    </row>
    <row r="40" spans="2:15" ht="24" customHeight="1">
      <c r="B40" s="576"/>
      <c r="C40" s="579"/>
      <c r="D40" s="582"/>
      <c r="E40" s="508"/>
      <c r="F40" s="103" t="s">
        <v>357</v>
      </c>
      <c r="G40" s="103">
        <v>698348</v>
      </c>
      <c r="H40" s="584"/>
      <c r="I40" s="223"/>
      <c r="J40" s="587"/>
      <c r="K40" s="573"/>
      <c r="L40" s="140"/>
      <c r="M40" s="140"/>
      <c r="N40" s="140"/>
      <c r="O40" s="222"/>
    </row>
    <row r="41" spans="2:15" ht="24" customHeight="1">
      <c r="B41" s="576"/>
      <c r="C41" s="579"/>
      <c r="D41" s="582"/>
      <c r="E41" s="508"/>
      <c r="F41" s="103" t="s">
        <v>358</v>
      </c>
      <c r="G41" s="103">
        <v>955856</v>
      </c>
      <c r="H41" s="584"/>
      <c r="I41" s="223"/>
      <c r="J41" s="587"/>
      <c r="K41" s="573"/>
      <c r="L41" s="140"/>
      <c r="M41" s="140"/>
      <c r="N41" s="140"/>
      <c r="O41" s="222"/>
    </row>
    <row r="42" spans="2:15" ht="24" customHeight="1">
      <c r="B42" s="576"/>
      <c r="C42" s="579"/>
      <c r="D42" s="582"/>
      <c r="E42" s="508"/>
      <c r="F42" s="103" t="s">
        <v>359</v>
      </c>
      <c r="G42" s="103">
        <v>700057</v>
      </c>
      <c r="H42" s="584"/>
      <c r="I42" s="223"/>
      <c r="J42" s="587"/>
      <c r="K42" s="573"/>
      <c r="L42" s="140"/>
      <c r="M42" s="140"/>
      <c r="N42" s="140"/>
      <c r="O42" s="222"/>
    </row>
    <row r="43" spans="2:15" ht="24" customHeight="1">
      <c r="B43" s="576"/>
      <c r="C43" s="579"/>
      <c r="D43" s="582"/>
      <c r="E43" s="508"/>
      <c r="F43" s="103" t="s">
        <v>360</v>
      </c>
      <c r="G43" s="103">
        <v>699580</v>
      </c>
      <c r="H43" s="584"/>
      <c r="I43" s="223"/>
      <c r="J43" s="587"/>
      <c r="K43" s="573"/>
      <c r="L43" s="140"/>
      <c r="M43" s="140"/>
      <c r="N43" s="140"/>
      <c r="O43" s="222"/>
    </row>
    <row r="44" spans="2:15" ht="24" customHeight="1">
      <c r="B44" s="576"/>
      <c r="C44" s="579"/>
      <c r="D44" s="582"/>
      <c r="E44" s="508"/>
      <c r="F44" s="103" t="s">
        <v>361</v>
      </c>
      <c r="G44" s="103">
        <v>963908</v>
      </c>
      <c r="H44" s="584"/>
      <c r="I44" s="223"/>
      <c r="J44" s="587"/>
      <c r="K44" s="573"/>
      <c r="L44" s="140"/>
      <c r="M44" s="140"/>
      <c r="N44" s="140"/>
      <c r="O44" s="222"/>
    </row>
    <row r="45" spans="2:15" ht="24" customHeight="1">
      <c r="B45" s="576"/>
      <c r="C45" s="579"/>
      <c r="D45" s="582"/>
      <c r="E45" s="508"/>
      <c r="F45" s="103" t="s">
        <v>362</v>
      </c>
      <c r="G45" s="103">
        <v>699558</v>
      </c>
      <c r="H45" s="584"/>
      <c r="I45" s="223"/>
      <c r="J45" s="587"/>
      <c r="K45" s="573"/>
      <c r="L45" s="140"/>
      <c r="M45" s="140"/>
      <c r="N45" s="140"/>
      <c r="O45" s="222"/>
    </row>
    <row r="46" spans="2:15" ht="24" customHeight="1">
      <c r="B46" s="576"/>
      <c r="C46" s="579"/>
      <c r="D46" s="582"/>
      <c r="E46" s="508"/>
      <c r="F46" s="103" t="s">
        <v>363</v>
      </c>
      <c r="G46" s="103">
        <v>960140</v>
      </c>
      <c r="H46" s="584"/>
      <c r="I46" s="218"/>
      <c r="J46" s="587"/>
      <c r="K46" s="573"/>
      <c r="L46" s="140"/>
      <c r="M46" s="140"/>
      <c r="N46" s="140"/>
      <c r="O46" s="222"/>
    </row>
    <row r="47" spans="2:15" ht="24" customHeight="1">
      <c r="B47" s="576"/>
      <c r="C47" s="579"/>
      <c r="D47" s="582"/>
      <c r="E47" s="508"/>
      <c r="F47" s="103" t="s">
        <v>364</v>
      </c>
      <c r="G47" s="103">
        <v>701550</v>
      </c>
      <c r="H47" s="584"/>
      <c r="I47" s="223">
        <v>452.43300000000005</v>
      </c>
      <c r="J47" s="587"/>
      <c r="K47" s="573"/>
      <c r="L47" s="140"/>
      <c r="M47" s="140"/>
      <c r="N47" s="140"/>
      <c r="O47" s="222"/>
    </row>
    <row r="48" spans="2:15" ht="24" customHeight="1">
      <c r="B48" s="576"/>
      <c r="C48" s="579"/>
      <c r="D48" s="582"/>
      <c r="E48" s="508"/>
      <c r="F48" s="103" t="s">
        <v>365</v>
      </c>
      <c r="G48" s="103">
        <v>700773</v>
      </c>
      <c r="H48" s="584"/>
      <c r="I48" s="218"/>
      <c r="J48" s="587"/>
      <c r="K48" s="573"/>
      <c r="L48" s="140"/>
      <c r="M48" s="140"/>
      <c r="N48" s="140"/>
      <c r="O48" s="222"/>
    </row>
    <row r="49" spans="2:24" ht="24" customHeight="1">
      <c r="B49" s="576"/>
      <c r="C49" s="579"/>
      <c r="D49" s="582"/>
      <c r="E49" s="508"/>
      <c r="F49" s="103" t="s">
        <v>366</v>
      </c>
      <c r="G49" s="103">
        <v>914124</v>
      </c>
      <c r="H49" s="584"/>
      <c r="I49" s="218"/>
      <c r="J49" s="587"/>
      <c r="K49" s="573"/>
      <c r="L49" s="140"/>
      <c r="M49" s="140"/>
      <c r="N49" s="140"/>
      <c r="O49" s="222"/>
    </row>
    <row r="50" spans="2:24" ht="24" customHeight="1">
      <c r="B50" s="576"/>
      <c r="C50" s="579"/>
      <c r="D50" s="582"/>
      <c r="E50" s="508"/>
      <c r="F50" s="103" t="s">
        <v>367</v>
      </c>
      <c r="G50" s="103">
        <v>914125</v>
      </c>
      <c r="H50" s="584"/>
      <c r="I50" s="223"/>
      <c r="J50" s="587"/>
      <c r="K50" s="573"/>
      <c r="L50" s="140"/>
      <c r="M50" s="140"/>
      <c r="N50" s="140"/>
      <c r="O50" s="222"/>
    </row>
    <row r="51" spans="2:24" ht="24" customHeight="1">
      <c r="B51" s="576"/>
      <c r="C51" s="579"/>
      <c r="D51" s="582"/>
      <c r="E51" s="508"/>
      <c r="F51" s="103" t="s">
        <v>368</v>
      </c>
      <c r="G51" s="103">
        <v>914147</v>
      </c>
      <c r="H51" s="584"/>
      <c r="I51" s="223"/>
      <c r="J51" s="587"/>
      <c r="K51" s="573"/>
      <c r="L51" s="140"/>
      <c r="M51" s="140"/>
      <c r="N51" s="140"/>
      <c r="O51" s="222"/>
    </row>
    <row r="52" spans="2:24" ht="30.75" customHeight="1">
      <c r="B52" s="576"/>
      <c r="C52" s="579"/>
      <c r="D52" s="582"/>
      <c r="E52" s="508"/>
      <c r="F52" s="103" t="s">
        <v>369</v>
      </c>
      <c r="G52" s="103">
        <v>968795</v>
      </c>
      <c r="H52" s="584"/>
      <c r="I52" s="218">
        <v>288.89600000000002</v>
      </c>
      <c r="J52" s="587"/>
      <c r="K52" s="573"/>
      <c r="L52" s="140"/>
      <c r="M52" s="140"/>
      <c r="N52" s="140"/>
      <c r="O52" s="222"/>
    </row>
    <row r="53" spans="2:24" ht="24" customHeight="1">
      <c r="B53" s="576"/>
      <c r="C53" s="579"/>
      <c r="D53" s="582"/>
      <c r="E53" s="508"/>
      <c r="F53" s="103" t="s">
        <v>370</v>
      </c>
      <c r="G53" s="103">
        <v>966363</v>
      </c>
      <c r="H53" s="584"/>
      <c r="I53" s="223"/>
      <c r="J53" s="587"/>
      <c r="K53" s="573"/>
      <c r="L53" s="140"/>
      <c r="M53" s="140"/>
      <c r="N53" s="140"/>
      <c r="O53" s="222"/>
    </row>
    <row r="54" spans="2:24" ht="24" customHeight="1">
      <c r="B54" s="576"/>
      <c r="C54" s="579"/>
      <c r="D54" s="582"/>
      <c r="E54" s="508"/>
      <c r="F54" s="103" t="s">
        <v>371</v>
      </c>
      <c r="G54" s="103">
        <v>700388</v>
      </c>
      <c r="H54" s="584"/>
      <c r="I54" s="223"/>
      <c r="J54" s="587"/>
      <c r="K54" s="573"/>
      <c r="L54" s="140"/>
      <c r="M54" s="140"/>
      <c r="N54" s="140"/>
      <c r="O54" s="222"/>
    </row>
    <row r="55" spans="2:24" ht="24" customHeight="1">
      <c r="B55" s="576"/>
      <c r="C55" s="579"/>
      <c r="D55" s="582"/>
      <c r="E55" s="508"/>
      <c r="F55" s="103" t="s">
        <v>372</v>
      </c>
      <c r="G55" s="103">
        <v>952277</v>
      </c>
      <c r="H55" s="584"/>
      <c r="I55" s="218"/>
      <c r="J55" s="587"/>
      <c r="K55" s="573"/>
      <c r="L55" s="103"/>
      <c r="M55" s="103"/>
      <c r="N55" s="103"/>
      <c r="O55" s="219"/>
      <c r="X55" s="217"/>
    </row>
    <row r="56" spans="2:24" ht="24" customHeight="1" thickBot="1">
      <c r="B56" s="577"/>
      <c r="C56" s="580"/>
      <c r="D56" s="583"/>
      <c r="E56" s="571"/>
      <c r="F56" s="224" t="s">
        <v>373</v>
      </c>
      <c r="G56" s="224">
        <v>952279</v>
      </c>
      <c r="H56" s="585"/>
      <c r="I56" s="225"/>
      <c r="J56" s="588"/>
      <c r="K56" s="574"/>
      <c r="L56" s="224"/>
      <c r="M56" s="224"/>
      <c r="N56" s="224"/>
      <c r="O56" s="226"/>
      <c r="X56" s="217"/>
    </row>
    <row r="57" spans="2:24">
      <c r="B57" s="591" t="s">
        <v>374</v>
      </c>
      <c r="C57" s="595"/>
      <c r="D57" s="570"/>
      <c r="E57" s="570" t="s">
        <v>128</v>
      </c>
      <c r="F57" s="227"/>
      <c r="G57" s="227"/>
      <c r="H57" s="570"/>
      <c r="I57" s="228"/>
      <c r="J57" s="570">
        <f>+H57-(I57+I58+I59+I60+I61+I62+I63+I64+I65+I66+I67+I68+I69+I70+I71+I72+I73+I74+I75+I76)</f>
        <v>0</v>
      </c>
      <c r="K57" s="572" t="e">
        <f>+H57/(I57+I58+I59+I60+I61+I62+I63+I64+I65+I66+I67+I68+I69+I70+I71+I72+I73+I74+I75+I76)</f>
        <v>#DIV/0!</v>
      </c>
      <c r="L57" s="227">
        <f>+I57+I58+I59+I60+I61+I62+I63+I64+I65+I66+I67+I68+I69+I70+I71+I76+I72</f>
        <v>0</v>
      </c>
      <c r="M57" s="227">
        <f>+H57</f>
        <v>0</v>
      </c>
      <c r="N57" s="227"/>
      <c r="O57" s="229"/>
    </row>
    <row r="58" spans="2:24">
      <c r="B58" s="592"/>
      <c r="C58" s="595"/>
      <c r="D58" s="508"/>
      <c r="E58" s="508"/>
      <c r="F58" s="103"/>
      <c r="G58" s="103"/>
      <c r="H58" s="508"/>
      <c r="I58" s="223"/>
      <c r="J58" s="508"/>
      <c r="K58" s="573"/>
      <c r="L58" s="103"/>
      <c r="M58" s="103"/>
      <c r="N58" s="103"/>
      <c r="O58" s="219"/>
    </row>
    <row r="59" spans="2:24">
      <c r="B59" s="592"/>
      <c r="C59" s="595"/>
      <c r="D59" s="508"/>
      <c r="E59" s="508"/>
      <c r="F59" s="103"/>
      <c r="G59" s="103"/>
      <c r="H59" s="508"/>
      <c r="I59" s="223"/>
      <c r="J59" s="508"/>
      <c r="K59" s="573"/>
      <c r="L59" s="103"/>
      <c r="M59" s="103"/>
      <c r="N59" s="103"/>
      <c r="O59" s="219"/>
    </row>
    <row r="60" spans="2:24">
      <c r="B60" s="592"/>
      <c r="C60" s="595"/>
      <c r="D60" s="508"/>
      <c r="E60" s="508"/>
      <c r="F60" s="103"/>
      <c r="G60" s="103"/>
      <c r="H60" s="508"/>
      <c r="I60" s="223"/>
      <c r="J60" s="508"/>
      <c r="K60" s="573"/>
      <c r="L60" s="103"/>
      <c r="M60" s="103"/>
      <c r="N60" s="103"/>
      <c r="O60" s="219"/>
    </row>
    <row r="61" spans="2:24">
      <c r="B61" s="592"/>
      <c r="C61" s="595"/>
      <c r="D61" s="508"/>
      <c r="E61" s="508"/>
      <c r="F61" s="103"/>
      <c r="G61" s="103"/>
      <c r="H61" s="508"/>
      <c r="I61" s="223"/>
      <c r="J61" s="508"/>
      <c r="K61" s="573"/>
      <c r="L61" s="103"/>
      <c r="M61" s="103"/>
      <c r="N61" s="103"/>
      <c r="O61" s="219"/>
    </row>
    <row r="62" spans="2:24">
      <c r="B62" s="592"/>
      <c r="C62" s="595"/>
      <c r="D62" s="508"/>
      <c r="E62" s="508"/>
      <c r="F62" s="103"/>
      <c r="G62" s="103"/>
      <c r="H62" s="508"/>
      <c r="I62" s="223"/>
      <c r="J62" s="508"/>
      <c r="K62" s="573"/>
      <c r="L62" s="103"/>
      <c r="M62" s="103"/>
      <c r="N62" s="103"/>
      <c r="O62" s="219"/>
    </row>
    <row r="63" spans="2:24">
      <c r="B63" s="592"/>
      <c r="C63" s="595"/>
      <c r="D63" s="508"/>
      <c r="E63" s="508"/>
      <c r="F63" s="103"/>
      <c r="G63" s="103"/>
      <c r="H63" s="508"/>
      <c r="I63" s="223"/>
      <c r="J63" s="508"/>
      <c r="K63" s="573"/>
      <c r="L63" s="103"/>
      <c r="M63" s="103"/>
      <c r="N63" s="103"/>
      <c r="O63" s="219"/>
    </row>
    <row r="64" spans="2:24">
      <c r="B64" s="592"/>
      <c r="C64" s="595"/>
      <c r="D64" s="508"/>
      <c r="E64" s="508"/>
      <c r="F64" s="103"/>
      <c r="G64" s="103"/>
      <c r="H64" s="508"/>
      <c r="I64" s="223"/>
      <c r="J64" s="508"/>
      <c r="K64" s="573"/>
      <c r="L64" s="103"/>
      <c r="M64" s="103"/>
      <c r="N64" s="103"/>
      <c r="O64" s="219"/>
    </row>
    <row r="65" spans="2:15">
      <c r="B65" s="592"/>
      <c r="C65" s="595"/>
      <c r="D65" s="508"/>
      <c r="E65" s="508"/>
      <c r="F65" s="103"/>
      <c r="G65" s="103"/>
      <c r="H65" s="508"/>
      <c r="I65" s="223"/>
      <c r="J65" s="508"/>
      <c r="K65" s="573"/>
      <c r="L65" s="103"/>
      <c r="M65" s="103"/>
      <c r="N65" s="103"/>
      <c r="O65" s="219"/>
    </row>
    <row r="66" spans="2:15">
      <c r="B66" s="592"/>
      <c r="C66" s="595"/>
      <c r="D66" s="508"/>
      <c r="E66" s="508"/>
      <c r="F66" s="103"/>
      <c r="G66" s="103"/>
      <c r="H66" s="508"/>
      <c r="I66" s="223"/>
      <c r="J66" s="508"/>
      <c r="K66" s="573"/>
      <c r="L66" s="103"/>
      <c r="M66" s="103"/>
      <c r="N66" s="103"/>
      <c r="O66" s="219"/>
    </row>
    <row r="67" spans="2:15">
      <c r="B67" s="592"/>
      <c r="C67" s="595"/>
      <c r="D67" s="508"/>
      <c r="E67" s="508"/>
      <c r="F67" s="103"/>
      <c r="G67" s="103"/>
      <c r="H67" s="508"/>
      <c r="I67" s="223"/>
      <c r="J67" s="508"/>
      <c r="K67" s="573"/>
      <c r="L67" s="103"/>
      <c r="M67" s="103"/>
      <c r="N67" s="103"/>
      <c r="O67" s="219"/>
    </row>
    <row r="68" spans="2:15">
      <c r="B68" s="592"/>
      <c r="C68" s="595"/>
      <c r="D68" s="508"/>
      <c r="E68" s="508"/>
      <c r="F68" s="103"/>
      <c r="G68" s="103"/>
      <c r="H68" s="508"/>
      <c r="I68" s="223"/>
      <c r="J68" s="508"/>
      <c r="K68" s="573"/>
      <c r="L68" s="103"/>
      <c r="M68" s="103"/>
      <c r="N68" s="103"/>
      <c r="O68" s="219"/>
    </row>
    <row r="69" spans="2:15">
      <c r="B69" s="592"/>
      <c r="C69" s="595"/>
      <c r="D69" s="508"/>
      <c r="E69" s="508"/>
      <c r="F69" s="103"/>
      <c r="G69" s="103"/>
      <c r="H69" s="508"/>
      <c r="I69" s="223"/>
      <c r="J69" s="508"/>
      <c r="K69" s="573"/>
      <c r="L69" s="103"/>
      <c r="M69" s="103"/>
      <c r="N69" s="103"/>
      <c r="O69" s="219"/>
    </row>
    <row r="70" spans="2:15">
      <c r="B70" s="592"/>
      <c r="C70" s="595"/>
      <c r="D70" s="508"/>
      <c r="E70" s="508"/>
      <c r="F70" s="103"/>
      <c r="G70" s="103"/>
      <c r="H70" s="508"/>
      <c r="I70" s="223"/>
      <c r="J70" s="508"/>
      <c r="K70" s="573"/>
      <c r="L70" s="103"/>
      <c r="M70" s="103"/>
      <c r="N70" s="103"/>
      <c r="O70" s="219"/>
    </row>
    <row r="71" spans="2:15">
      <c r="B71" s="592"/>
      <c r="C71" s="595"/>
      <c r="D71" s="508"/>
      <c r="E71" s="508"/>
      <c r="F71" s="103"/>
      <c r="G71" s="103"/>
      <c r="H71" s="508"/>
      <c r="I71" s="223"/>
      <c r="J71" s="508"/>
      <c r="K71" s="573"/>
      <c r="L71" s="103"/>
      <c r="M71" s="103"/>
      <c r="N71" s="103"/>
      <c r="O71" s="219"/>
    </row>
    <row r="72" spans="2:15">
      <c r="B72" s="592"/>
      <c r="C72" s="595"/>
      <c r="D72" s="508"/>
      <c r="E72" s="508"/>
      <c r="F72" s="103"/>
      <c r="G72" s="103"/>
      <c r="H72" s="508"/>
      <c r="I72" s="223"/>
      <c r="J72" s="508"/>
      <c r="K72" s="573"/>
      <c r="L72" s="103"/>
      <c r="M72" s="103"/>
      <c r="N72" s="103"/>
      <c r="O72" s="219"/>
    </row>
    <row r="73" spans="2:15">
      <c r="B73" s="592"/>
      <c r="C73" s="595"/>
      <c r="D73" s="508"/>
      <c r="E73" s="508"/>
      <c r="F73" s="103"/>
      <c r="G73" s="103"/>
      <c r="H73" s="508"/>
      <c r="I73" s="223"/>
      <c r="J73" s="508"/>
      <c r="K73" s="573"/>
      <c r="L73" s="103"/>
      <c r="M73" s="103"/>
      <c r="N73" s="103"/>
      <c r="O73" s="219"/>
    </row>
    <row r="74" spans="2:15">
      <c r="B74" s="592"/>
      <c r="C74" s="595"/>
      <c r="D74" s="508"/>
      <c r="E74" s="508"/>
      <c r="F74" s="103"/>
      <c r="G74" s="103"/>
      <c r="H74" s="508"/>
      <c r="I74" s="223"/>
      <c r="J74" s="508"/>
      <c r="K74" s="573"/>
      <c r="L74" s="103"/>
      <c r="M74" s="103"/>
      <c r="N74" s="103"/>
      <c r="O74" s="219"/>
    </row>
    <row r="75" spans="2:15">
      <c r="B75" s="592"/>
      <c r="C75" s="595"/>
      <c r="D75" s="508"/>
      <c r="E75" s="508"/>
      <c r="F75" s="103"/>
      <c r="G75" s="103"/>
      <c r="H75" s="508"/>
      <c r="I75" s="223"/>
      <c r="J75" s="508"/>
      <c r="K75" s="573"/>
      <c r="L75" s="103"/>
      <c r="M75" s="103"/>
      <c r="N75" s="103"/>
      <c r="O75" s="219"/>
    </row>
    <row r="76" spans="2:15" ht="15" thickBot="1">
      <c r="B76" s="593"/>
      <c r="C76" s="596"/>
      <c r="D76" s="571"/>
      <c r="E76" s="571"/>
      <c r="F76" s="224"/>
      <c r="G76" s="224"/>
      <c r="H76" s="571"/>
      <c r="I76" s="225"/>
      <c r="J76" s="571"/>
      <c r="K76" s="574"/>
      <c r="L76" s="224"/>
      <c r="M76" s="224"/>
      <c r="N76" s="224"/>
      <c r="O76" s="226"/>
    </row>
    <row r="77" spans="2:15">
      <c r="B77" s="589" t="s">
        <v>34</v>
      </c>
      <c r="C77" s="589"/>
      <c r="D77" s="589"/>
      <c r="E77" s="589"/>
      <c r="F77" s="589"/>
      <c r="G77" s="589"/>
      <c r="H77" s="589"/>
      <c r="I77" s="70">
        <f>SUM(I5:I76)</f>
        <v>23615.549000000003</v>
      </c>
    </row>
  </sheetData>
  <mergeCells count="24">
    <mergeCell ref="B77:H77"/>
    <mergeCell ref="H2:K2"/>
    <mergeCell ref="L2:O2"/>
    <mergeCell ref="B6:B13"/>
    <mergeCell ref="C6:C13"/>
    <mergeCell ref="D6:D13"/>
    <mergeCell ref="E6:E13"/>
    <mergeCell ref="H6:H13"/>
    <mergeCell ref="J6:J13"/>
    <mergeCell ref="K6:K13"/>
    <mergeCell ref="K14:K56"/>
    <mergeCell ref="B57:B76"/>
    <mergeCell ref="C57:C76"/>
    <mergeCell ref="D57:D76"/>
    <mergeCell ref="E57:E76"/>
    <mergeCell ref="H57:H76"/>
    <mergeCell ref="J57:J76"/>
    <mergeCell ref="K57:K76"/>
    <mergeCell ref="B14:B56"/>
    <mergeCell ref="C14:C56"/>
    <mergeCell ref="D14:D56"/>
    <mergeCell ref="E14:E56"/>
    <mergeCell ref="H14:H56"/>
    <mergeCell ref="J14:J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41"/>
  <sheetViews>
    <sheetView workbookViewId="0">
      <selection activeCell="M11" sqref="M11"/>
    </sheetView>
  </sheetViews>
  <sheetFormatPr defaultColWidth="11.42578125" defaultRowHeight="14.45"/>
  <cols>
    <col min="1" max="1" width="11.42578125" style="36"/>
    <col min="2" max="2" width="20.7109375" style="36" customWidth="1"/>
    <col min="3" max="3" width="15.5703125" style="36" customWidth="1"/>
    <col min="4" max="5" width="18.42578125" style="36" customWidth="1"/>
    <col min="6" max="6" width="13.42578125" style="36" customWidth="1"/>
    <col min="7" max="7" width="11.42578125" style="36"/>
    <col min="8" max="8" width="14.42578125" style="36" customWidth="1"/>
    <col min="9" max="16384" width="11.42578125" style="36"/>
  </cols>
  <sheetData>
    <row r="3" spans="1:16">
      <c r="C3" s="600" t="s">
        <v>375</v>
      </c>
      <c r="D3" s="600"/>
      <c r="E3" s="600"/>
      <c r="F3" s="600"/>
      <c r="G3" s="600"/>
      <c r="H3" s="600"/>
    </row>
    <row r="4" spans="1:16">
      <c r="C4" s="601">
        <f>Resumen!C4</f>
        <v>45657</v>
      </c>
      <c r="D4" s="601"/>
      <c r="E4" s="601"/>
      <c r="F4" s="601"/>
      <c r="G4" s="601"/>
      <c r="H4" s="601"/>
      <c r="O4" s="600" t="s">
        <v>376</v>
      </c>
      <c r="P4" s="600"/>
    </row>
    <row r="5" spans="1:16">
      <c r="B5" s="310" t="s">
        <v>377</v>
      </c>
      <c r="C5" s="310" t="s">
        <v>79</v>
      </c>
      <c r="D5" s="310" t="s">
        <v>80</v>
      </c>
      <c r="E5" s="310" t="s">
        <v>78</v>
      </c>
      <c r="F5" s="310" t="s">
        <v>3</v>
      </c>
      <c r="G5" s="310" t="s">
        <v>378</v>
      </c>
      <c r="H5" s="310" t="s">
        <v>8</v>
      </c>
      <c r="I5" s="310" t="s">
        <v>9</v>
      </c>
      <c r="J5" s="57"/>
      <c r="O5" s="287" t="s">
        <v>12</v>
      </c>
      <c r="P5" s="104" t="e">
        <f>+#REF!+H19+H26+H33+H42</f>
        <v>#REF!</v>
      </c>
    </row>
    <row r="6" spans="1:16">
      <c r="A6" s="58"/>
      <c r="O6" s="287" t="s">
        <v>86</v>
      </c>
      <c r="P6" s="104"/>
    </row>
    <row r="7" spans="1:16">
      <c r="A7" s="58"/>
    </row>
    <row r="8" spans="1:16">
      <c r="A8" s="58"/>
    </row>
    <row r="14" spans="1:16">
      <c r="A14" s="45"/>
    </row>
    <row r="15" spans="1:16">
      <c r="A15" s="45"/>
    </row>
    <row r="16" spans="1:16">
      <c r="A16" s="45"/>
    </row>
    <row r="17" spans="1:10">
      <c r="A17" s="45"/>
    </row>
    <row r="18" spans="1:10">
      <c r="B18" s="49"/>
      <c r="C18" s="49"/>
      <c r="J18" s="45"/>
    </row>
    <row r="19" spans="1:10">
      <c r="B19" s="49"/>
      <c r="C19" s="49"/>
    </row>
    <row r="23" spans="1:10">
      <c r="B23" s="57"/>
      <c r="C23" s="57"/>
      <c r="D23" s="57"/>
      <c r="E23" s="57"/>
      <c r="F23" s="57"/>
      <c r="G23" s="57"/>
      <c r="H23" s="57"/>
      <c r="I23" s="57"/>
      <c r="J23" s="57"/>
    </row>
    <row r="24" spans="1:10">
      <c r="B24" s="59"/>
      <c r="C24" s="49"/>
      <c r="J24" s="58"/>
    </row>
    <row r="25" spans="1:10">
      <c r="B25" s="59"/>
      <c r="C25" s="49"/>
      <c r="J25" s="58"/>
    </row>
    <row r="30" spans="1:10">
      <c r="B30" s="57"/>
      <c r="C30" s="57"/>
      <c r="D30" s="57"/>
      <c r="E30" s="57"/>
      <c r="F30" s="57"/>
      <c r="G30" s="57"/>
      <c r="H30" s="57"/>
      <c r="I30" s="57"/>
      <c r="J30" s="57"/>
    </row>
    <row r="31" spans="1:10">
      <c r="B31" s="59"/>
      <c r="C31" s="49"/>
      <c r="J31" s="58"/>
    </row>
    <row r="32" spans="1:10">
      <c r="B32" s="59"/>
      <c r="C32" s="49"/>
      <c r="J32" s="58"/>
    </row>
    <row r="37" spans="2:10">
      <c r="B37" s="57"/>
      <c r="C37" s="57"/>
      <c r="D37" s="57"/>
      <c r="E37" s="57"/>
      <c r="F37" s="57"/>
      <c r="G37" s="57"/>
      <c r="H37" s="57"/>
      <c r="I37" s="57"/>
      <c r="J37" s="57"/>
    </row>
    <row r="38" spans="2:10">
      <c r="B38" s="49"/>
      <c r="C38" s="49"/>
      <c r="J38" s="45"/>
    </row>
    <row r="39" spans="2:10">
      <c r="B39" s="49"/>
      <c r="C39" s="49"/>
      <c r="J39" s="45"/>
    </row>
    <row r="40" spans="2:10">
      <c r="B40" s="49"/>
      <c r="C40" s="49"/>
      <c r="J40" s="45"/>
    </row>
    <row r="41" spans="2:10">
      <c r="B41" s="49"/>
      <c r="C41" s="49"/>
      <c r="J41" s="45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kmolina</dc:creator>
  <cp:keywords/>
  <dc:description/>
  <cp:lastModifiedBy>CEA TELLO, MARIO ANDRES</cp:lastModifiedBy>
  <cp:revision/>
  <dcterms:created xsi:type="dcterms:W3CDTF">2019-10-16T16:01:09Z</dcterms:created>
  <dcterms:modified xsi:type="dcterms:W3CDTF">2025-04-08T20:15:01Z</dcterms:modified>
  <cp:category/>
  <cp:contentStatus/>
</cp:coreProperties>
</file>