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rnapesca-my.sharepoint.com/personal/gzuleta_sernapesca_cl/Documents/Planilla Cuota/20-03-2025/"/>
    </mc:Choice>
  </mc:AlternateContent>
  <xr:revisionPtr revIDLastSave="709" documentId="8_{086712C3-2C1D-469D-8FDF-C2A9D78D5FF4}" xr6:coauthVersionLast="47" xr6:coauthVersionMax="47" xr10:uidLastSave="{EB47D639-D133-493D-81A0-77447B523A85}"/>
  <bookViews>
    <workbookView xWindow="-120" yWindow="-120" windowWidth="29040" windowHeight="15720" tabRatio="831" xr2:uid="{00000000-000D-0000-FFFF-FFFF00000000}"/>
  </bookViews>
  <sheets>
    <sheet name="Resumen" sheetId="1" r:id="rId1"/>
    <sheet name="Artesanal Anchoveta XV-IV" sheetId="2" r:id="rId2"/>
    <sheet name="Artesanal S.española XV-IV" sheetId="7" r:id="rId3"/>
    <sheet name="Cesiones ind y colec" sheetId="5" r:id="rId4"/>
    <sheet name="MOVIMIENTO INDUSTRIAL" sheetId="14" r:id="rId5"/>
    <sheet name="Industrial" sheetId="3" r:id="rId6"/>
    <sheet name="Remanente Anchoveta" sheetId="9" r:id="rId7"/>
    <sheet name="P. Investigación" sheetId="4" r:id="rId8"/>
    <sheet name="Publicacion web" sheetId="6" r:id="rId9"/>
  </sheets>
  <definedNames>
    <definedName name="_xlnm._FilterDatabase" localSheetId="3" hidden="1">'Cesiones ind y colec'!$B$1:$U$118</definedName>
    <definedName name="_xlnm._FilterDatabase" localSheetId="8" hidden="1">'Publicacion web'!$A$1:$Q$58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5" l="1"/>
  <c r="K5" i="5" s="1"/>
  <c r="P101" i="5"/>
  <c r="K101" i="5" s="1"/>
  <c r="F9" i="3"/>
  <c r="P87" i="5"/>
  <c r="K87" i="5" s="1"/>
  <c r="P81" i="5"/>
  <c r="K81" i="5" s="1"/>
  <c r="P74" i="5"/>
  <c r="K74" i="5" s="1"/>
  <c r="J87" i="5" l="1"/>
  <c r="J5" i="5"/>
  <c r="J81" i="5"/>
  <c r="J74" i="5"/>
  <c r="J101" i="5"/>
  <c r="P68" i="5"/>
  <c r="K68" i="5" s="1"/>
  <c r="J68" i="5" l="1"/>
  <c r="P53" i="5"/>
  <c r="K53" i="5" s="1"/>
  <c r="J53" i="5" l="1"/>
  <c r="P49" i="5"/>
  <c r="K49" i="5" s="1"/>
  <c r="H2" i="5"/>
  <c r="L2" i="5" s="1"/>
  <c r="G52" i="3"/>
  <c r="J52" i="3" s="1"/>
  <c r="K52" i="3"/>
  <c r="L52" i="3"/>
  <c r="M52" i="3" s="1"/>
  <c r="O52" i="3" s="1"/>
  <c r="N52" i="3"/>
  <c r="J49" i="5" l="1"/>
  <c r="P52" i="3"/>
  <c r="I52" i="3"/>
  <c r="G30" i="3" l="1"/>
  <c r="I30" i="3" s="1"/>
  <c r="K30" i="3"/>
  <c r="L30" i="3"/>
  <c r="N30" i="3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3" i="6"/>
  <c r="O2" i="6"/>
  <c r="M30" i="3" l="1"/>
  <c r="O30" i="3" s="1"/>
  <c r="P30" i="3"/>
  <c r="J30" i="3"/>
  <c r="E8" i="3"/>
  <c r="R11" i="3"/>
  <c r="E9" i="3"/>
  <c r="E10" i="3"/>
  <c r="E7" i="3"/>
  <c r="E12" i="3"/>
  <c r="E13" i="3" l="1"/>
  <c r="E29" i="1" l="1"/>
  <c r="F17" i="1" l="1"/>
  <c r="F15" i="1"/>
  <c r="F13" i="1"/>
  <c r="F11" i="1"/>
  <c r="F9" i="1"/>
  <c r="E18" i="1"/>
  <c r="E17" i="1"/>
  <c r="E15" i="1"/>
  <c r="E13" i="1"/>
  <c r="E11" i="1"/>
  <c r="E9" i="1"/>
  <c r="B3" i="3" l="1"/>
  <c r="B4" i="7"/>
  <c r="B4" i="2"/>
  <c r="G8" i="3"/>
  <c r="G9" i="3"/>
  <c r="J9" i="3" s="1"/>
  <c r="G10" i="3"/>
  <c r="G11" i="3"/>
  <c r="G12" i="3"/>
  <c r="G7" i="3"/>
  <c r="H13" i="3"/>
  <c r="F13" i="3"/>
  <c r="G13" i="3" s="1"/>
  <c r="E32" i="3"/>
  <c r="H8" i="7"/>
  <c r="K8" i="7" s="1"/>
  <c r="Q8" i="2"/>
  <c r="O7" i="2"/>
  <c r="N7" i="2"/>
  <c r="H8" i="2"/>
  <c r="L8" i="2" l="1"/>
  <c r="G11" i="1"/>
  <c r="P7" i="2"/>
  <c r="J8" i="7"/>
  <c r="O13" i="2" l="1"/>
  <c r="Q13" i="2"/>
  <c r="I13" i="3" l="1"/>
  <c r="J13" i="3"/>
  <c r="E54" i="3"/>
  <c r="I10" i="3" l="1"/>
  <c r="J10" i="3"/>
  <c r="J14" i="1" l="1"/>
  <c r="I14" i="1"/>
  <c r="H14" i="1"/>
  <c r="G14" i="1"/>
  <c r="S11" i="5"/>
  <c r="H16" i="1" s="1"/>
  <c r="R11" i="5"/>
  <c r="S9" i="5"/>
  <c r="S5" i="5"/>
  <c r="R9" i="5"/>
  <c r="G12" i="1" s="1"/>
  <c r="R6" i="5"/>
  <c r="H34" i="1" s="1"/>
  <c r="R5" i="5"/>
  <c r="S6" i="5"/>
  <c r="T11" i="5" l="1"/>
  <c r="I16" i="1" s="1"/>
  <c r="U11" i="5"/>
  <c r="J16" i="1" s="1"/>
  <c r="U9" i="5"/>
  <c r="J12" i="1" s="1"/>
  <c r="G16" i="1"/>
  <c r="R7" i="5"/>
  <c r="T9" i="5"/>
  <c r="I12" i="1" s="1"/>
  <c r="H12" i="1"/>
  <c r="U6" i="5"/>
  <c r="J34" i="1" s="1"/>
  <c r="S8" i="5" l="1"/>
  <c r="S7" i="5"/>
  <c r="U7" i="5" s="1"/>
  <c r="R8" i="5" l="1"/>
  <c r="G10" i="1" s="1"/>
  <c r="T8" i="5" l="1"/>
  <c r="I10" i="1" s="1"/>
  <c r="H6" i="6" l="1"/>
  <c r="K6" i="6"/>
  <c r="E6" i="6"/>
  <c r="N11" i="3" l="1"/>
  <c r="L10" i="3"/>
  <c r="K11" i="3"/>
  <c r="I6" i="6"/>
  <c r="J11" i="3" l="1"/>
  <c r="M6" i="6" s="1"/>
  <c r="L11" i="3"/>
  <c r="M11" i="3" s="1"/>
  <c r="P11" i="3" s="1"/>
  <c r="O11" i="3" l="1"/>
  <c r="I11" i="3"/>
  <c r="L6" i="6" s="1"/>
  <c r="J6" i="6"/>
  <c r="H12" i="7" l="1"/>
  <c r="G28" i="3" l="1"/>
  <c r="I28" i="3" s="1"/>
  <c r="E23" i="1" l="1"/>
  <c r="G38" i="3" l="1"/>
  <c r="K12" i="3" l="1"/>
  <c r="L12" i="3"/>
  <c r="L9" i="3" l="1"/>
  <c r="K9" i="3"/>
  <c r="K8" i="3"/>
  <c r="K7" i="3"/>
  <c r="M9" i="3" l="1"/>
  <c r="T1" i="3"/>
  <c r="K12" i="7" l="1"/>
  <c r="F54" i="3" l="1"/>
  <c r="T6" i="5" l="1"/>
  <c r="I34" i="1" s="1"/>
  <c r="U5" i="5" l="1"/>
  <c r="J33" i="1" s="1"/>
  <c r="T5" i="5" l="1"/>
  <c r="U8" i="5"/>
  <c r="J10" i="1" s="1"/>
  <c r="H10" i="1"/>
  <c r="H33" i="1"/>
  <c r="G34" i="1"/>
  <c r="F34" i="1"/>
  <c r="G33" i="1"/>
  <c r="I33" i="1" l="1"/>
  <c r="T7" i="5"/>
  <c r="F33" i="1"/>
  <c r="K45" i="6"/>
  <c r="I45" i="6"/>
  <c r="H45" i="6"/>
  <c r="E45" i="6"/>
  <c r="H13" i="2"/>
  <c r="L13" i="2" s="1"/>
  <c r="M45" i="6" s="1"/>
  <c r="N13" i="2"/>
  <c r="P13" i="2" s="1"/>
  <c r="R13" i="2" l="1"/>
  <c r="S13" i="2"/>
  <c r="K13" i="2"/>
  <c r="L45" i="6" s="1"/>
  <c r="J45" i="6"/>
  <c r="I10" i="6"/>
  <c r="K10" i="6"/>
  <c r="H10" i="6"/>
  <c r="E10" i="6"/>
  <c r="H7" i="6"/>
  <c r="I12" i="3" l="1"/>
  <c r="E34" i="6"/>
  <c r="H34" i="6"/>
  <c r="K34" i="6"/>
  <c r="G53" i="3"/>
  <c r="I53" i="3" s="1"/>
  <c r="L34" i="6" s="1"/>
  <c r="K53" i="3"/>
  <c r="N53" i="3"/>
  <c r="I34" i="6"/>
  <c r="E21" i="6"/>
  <c r="H21" i="6"/>
  <c r="I21" i="6"/>
  <c r="K21" i="6"/>
  <c r="L31" i="3"/>
  <c r="G31" i="3"/>
  <c r="J31" i="3" s="1"/>
  <c r="M21" i="6" s="1"/>
  <c r="K31" i="3"/>
  <c r="N31" i="3"/>
  <c r="J34" i="6" l="1"/>
  <c r="L53" i="3"/>
  <c r="M53" i="3" s="1"/>
  <c r="M31" i="3"/>
  <c r="O31" i="3" s="1"/>
  <c r="J21" i="6"/>
  <c r="J53" i="3"/>
  <c r="M34" i="6" s="1"/>
  <c r="I31" i="3"/>
  <c r="L21" i="6" s="1"/>
  <c r="O53" i="3" l="1"/>
  <c r="P53" i="3"/>
  <c r="P31" i="3"/>
  <c r="N51" i="6"/>
  <c r="G19" i="3" l="1"/>
  <c r="K19" i="3"/>
  <c r="N19" i="3"/>
  <c r="I19" i="3" l="1"/>
  <c r="L10" i="6" s="1"/>
  <c r="J10" i="6"/>
  <c r="L19" i="3"/>
  <c r="M19" i="3" s="1"/>
  <c r="J19" i="3"/>
  <c r="M10" i="6" s="1"/>
  <c r="O19" i="3" l="1"/>
  <c r="P19" i="3"/>
  <c r="H44" i="6" l="1"/>
  <c r="I44" i="6"/>
  <c r="K44" i="6"/>
  <c r="E44" i="6"/>
  <c r="N12" i="2"/>
  <c r="O12" i="2"/>
  <c r="Q12" i="2"/>
  <c r="H12" i="2"/>
  <c r="J44" i="6" s="1"/>
  <c r="K12" i="2" l="1"/>
  <c r="L44" i="6" s="1"/>
  <c r="L12" i="2"/>
  <c r="M44" i="6" s="1"/>
  <c r="P12" i="2"/>
  <c r="S12" i="2" s="1"/>
  <c r="R12" i="2" l="1"/>
  <c r="K4" i="6" l="1"/>
  <c r="K5" i="6"/>
  <c r="K7" i="6"/>
  <c r="I4" i="6"/>
  <c r="I5" i="6"/>
  <c r="H4" i="6"/>
  <c r="H5" i="6"/>
  <c r="E4" i="6"/>
  <c r="E5" i="6"/>
  <c r="N9" i="3"/>
  <c r="P9" i="3" s="1"/>
  <c r="K10" i="3"/>
  <c r="M10" i="3" s="1"/>
  <c r="N10" i="3"/>
  <c r="M5" i="6"/>
  <c r="H25" i="1"/>
  <c r="E2" i="6"/>
  <c r="E3" i="6"/>
  <c r="E7" i="6"/>
  <c r="P10" i="3" l="1"/>
  <c r="O10" i="3"/>
  <c r="I9" i="3"/>
  <c r="J4" i="6"/>
  <c r="L5" i="6"/>
  <c r="J5" i="6"/>
  <c r="H57" i="6"/>
  <c r="I57" i="6"/>
  <c r="K57" i="6"/>
  <c r="K53" i="6"/>
  <c r="I53" i="6"/>
  <c r="H53" i="6"/>
  <c r="H47" i="6"/>
  <c r="I47" i="6"/>
  <c r="K47" i="6"/>
  <c r="L4" i="6" l="1"/>
  <c r="M4" i="6"/>
  <c r="N40" i="6"/>
  <c r="K40" i="6"/>
  <c r="I40" i="6"/>
  <c r="H40" i="6"/>
  <c r="O9" i="3" l="1"/>
  <c r="N8" i="2" l="1"/>
  <c r="K46" i="6" l="1"/>
  <c r="I46" i="6"/>
  <c r="H46" i="6"/>
  <c r="E46" i="6"/>
  <c r="O14" i="2"/>
  <c r="Q14" i="2"/>
  <c r="H14" i="2"/>
  <c r="N14" i="2"/>
  <c r="L14" i="2" l="1"/>
  <c r="M46" i="6" s="1"/>
  <c r="K14" i="2"/>
  <c r="L46" i="6" s="1"/>
  <c r="J46" i="6"/>
  <c r="P14" i="2"/>
  <c r="R14" i="2" s="1"/>
  <c r="K38" i="3"/>
  <c r="L38" i="3"/>
  <c r="N38" i="3"/>
  <c r="K39" i="3"/>
  <c r="L39" i="3"/>
  <c r="N39" i="3"/>
  <c r="N37" i="3"/>
  <c r="L37" i="3"/>
  <c r="K37" i="3"/>
  <c r="H9" i="2"/>
  <c r="J40" i="6" s="1"/>
  <c r="L8" i="3"/>
  <c r="N8" i="3"/>
  <c r="N12" i="3"/>
  <c r="N7" i="3"/>
  <c r="L7" i="3"/>
  <c r="M38" i="3" l="1"/>
  <c r="P38" i="3" s="1"/>
  <c r="S14" i="2"/>
  <c r="M8" i="3"/>
  <c r="M12" i="3"/>
  <c r="O12" i="3" s="1"/>
  <c r="M39" i="3"/>
  <c r="O39" i="3" s="1"/>
  <c r="O8" i="3" l="1"/>
  <c r="P8" i="3"/>
  <c r="O38" i="3"/>
  <c r="P39" i="3"/>
  <c r="P8" i="7" l="1"/>
  <c r="N8" i="7"/>
  <c r="F20" i="1" s="1"/>
  <c r="M8" i="7"/>
  <c r="P7" i="7"/>
  <c r="N7" i="7"/>
  <c r="F19" i="1" s="1"/>
  <c r="M7" i="7"/>
  <c r="E19" i="1" s="1"/>
  <c r="O8" i="2"/>
  <c r="Q7" i="2"/>
  <c r="B3" i="9" l="1"/>
  <c r="N38" i="6" l="1"/>
  <c r="H9" i="1" l="1"/>
  <c r="H37" i="6" l="1"/>
  <c r="I37" i="6"/>
  <c r="K37" i="6"/>
  <c r="R7" i="2" l="1"/>
  <c r="I9" i="1" s="1"/>
  <c r="S7" i="2"/>
  <c r="J9" i="1" s="1"/>
  <c r="C4" i="4" l="1"/>
  <c r="I7" i="6" l="1"/>
  <c r="L7" i="6" l="1"/>
  <c r="J7" i="6"/>
  <c r="M7" i="6"/>
  <c r="E40" i="3" l="1"/>
  <c r="H27" i="1"/>
  <c r="G28" i="1"/>
  <c r="G27" i="1"/>
  <c r="G26" i="1"/>
  <c r="F24" i="1"/>
  <c r="H24" i="1"/>
  <c r="F23" i="1"/>
  <c r="H23" i="1"/>
  <c r="E24" i="1"/>
  <c r="F18" i="1"/>
  <c r="H18" i="1"/>
  <c r="H17" i="1"/>
  <c r="N9" i="7"/>
  <c r="P9" i="7"/>
  <c r="M9" i="7"/>
  <c r="M10" i="7"/>
  <c r="N10" i="7"/>
  <c r="F21" i="1" s="1"/>
  <c r="P10" i="7"/>
  <c r="H21" i="1" s="1"/>
  <c r="M12" i="7"/>
  <c r="N12" i="7"/>
  <c r="P12" i="7"/>
  <c r="H9" i="7"/>
  <c r="O15" i="2"/>
  <c r="Q15" i="2"/>
  <c r="N15" i="2"/>
  <c r="O9" i="2"/>
  <c r="Q9" i="2"/>
  <c r="N9" i="2"/>
  <c r="H15" i="2"/>
  <c r="G17" i="1"/>
  <c r="E56" i="6"/>
  <c r="I56" i="6"/>
  <c r="K56" i="6"/>
  <c r="H56" i="6"/>
  <c r="I54" i="6"/>
  <c r="K54" i="6"/>
  <c r="E54" i="6"/>
  <c r="H54" i="6"/>
  <c r="I51" i="6"/>
  <c r="K51" i="6"/>
  <c r="H51" i="6"/>
  <c r="E51" i="6"/>
  <c r="E49" i="6"/>
  <c r="I49" i="6"/>
  <c r="K49" i="6"/>
  <c r="H49" i="6"/>
  <c r="P11" i="7"/>
  <c r="H22" i="1" s="1"/>
  <c r="N11" i="7"/>
  <c r="F22" i="1" s="1"/>
  <c r="M11" i="7"/>
  <c r="E22" i="1" s="1"/>
  <c r="H11" i="7"/>
  <c r="H10" i="7"/>
  <c r="J54" i="6" s="1"/>
  <c r="H20" i="1"/>
  <c r="H19" i="1"/>
  <c r="H7" i="7"/>
  <c r="J7" i="7" s="1"/>
  <c r="G23" i="1" l="1"/>
  <c r="I23" i="1" s="1"/>
  <c r="J53" i="6"/>
  <c r="P15" i="2"/>
  <c r="S15" i="2" s="1"/>
  <c r="J47" i="6"/>
  <c r="M57" i="6"/>
  <c r="J57" i="6"/>
  <c r="K11" i="7"/>
  <c r="M56" i="6" s="1"/>
  <c r="E31" i="1"/>
  <c r="H26" i="6"/>
  <c r="O7" i="7"/>
  <c r="G19" i="1" s="1"/>
  <c r="I19" i="1" s="1"/>
  <c r="O8" i="7"/>
  <c r="G20" i="1" s="1"/>
  <c r="I20" i="1" s="1"/>
  <c r="I52" i="6"/>
  <c r="I58" i="6"/>
  <c r="G24" i="1"/>
  <c r="J24" i="1" s="1"/>
  <c r="P5" i="4"/>
  <c r="J10" i="7"/>
  <c r="L54" i="6" s="1"/>
  <c r="L51" i="6"/>
  <c r="J51" i="6"/>
  <c r="L9" i="2"/>
  <c r="M40" i="6" s="1"/>
  <c r="O11" i="7"/>
  <c r="H50" i="6"/>
  <c r="H52" i="6"/>
  <c r="J56" i="6"/>
  <c r="H58" i="6"/>
  <c r="E20" i="1"/>
  <c r="L15" i="2"/>
  <c r="M47" i="6" s="1"/>
  <c r="J9" i="7"/>
  <c r="L53" i="6" s="1"/>
  <c r="K9" i="7"/>
  <c r="O9" i="7"/>
  <c r="Q9" i="7" s="1"/>
  <c r="G18" i="1"/>
  <c r="J18" i="1" s="1"/>
  <c r="K10" i="7"/>
  <c r="J11" i="7"/>
  <c r="L56" i="6" s="1"/>
  <c r="L49" i="6"/>
  <c r="J49" i="6"/>
  <c r="K50" i="6"/>
  <c r="I50" i="6"/>
  <c r="I55" i="6"/>
  <c r="K9" i="2"/>
  <c r="L40" i="6" s="1"/>
  <c r="K15" i="2"/>
  <c r="L47" i="6" s="1"/>
  <c r="P9" i="2"/>
  <c r="R9" i="2" s="1"/>
  <c r="J12" i="7"/>
  <c r="L57" i="6" s="1"/>
  <c r="O12" i="7"/>
  <c r="R12" i="7" s="1"/>
  <c r="O10" i="7"/>
  <c r="R10" i="7" s="1"/>
  <c r="K58" i="6"/>
  <c r="I17" i="1"/>
  <c r="J17" i="1"/>
  <c r="I27" i="1"/>
  <c r="J27" i="1"/>
  <c r="K55" i="6"/>
  <c r="K52" i="6"/>
  <c r="H55" i="6"/>
  <c r="E21" i="1"/>
  <c r="K7" i="7"/>
  <c r="M49" i="6" s="1"/>
  <c r="M51" i="6"/>
  <c r="I32" i="6"/>
  <c r="I12" i="6"/>
  <c r="G25" i="1"/>
  <c r="I43" i="6"/>
  <c r="K43" i="6"/>
  <c r="H43" i="6"/>
  <c r="H41" i="6"/>
  <c r="I41" i="6"/>
  <c r="K41" i="6"/>
  <c r="I38" i="6"/>
  <c r="K38" i="6"/>
  <c r="H38" i="6"/>
  <c r="I36" i="6"/>
  <c r="K36" i="6"/>
  <c r="H36" i="6"/>
  <c r="I27" i="6"/>
  <c r="K27" i="6"/>
  <c r="I28" i="6"/>
  <c r="K28" i="6"/>
  <c r="I29" i="6"/>
  <c r="K29" i="6"/>
  <c r="I30" i="6"/>
  <c r="K30" i="6"/>
  <c r="I31" i="6"/>
  <c r="K31" i="6"/>
  <c r="K32" i="6"/>
  <c r="I33" i="6"/>
  <c r="K33" i="6"/>
  <c r="H28" i="6"/>
  <c r="H29" i="6"/>
  <c r="H30" i="6"/>
  <c r="H31" i="6"/>
  <c r="H32" i="6"/>
  <c r="H33" i="6"/>
  <c r="H27" i="6"/>
  <c r="I25" i="6"/>
  <c r="K25" i="6"/>
  <c r="H25" i="6"/>
  <c r="I24" i="6"/>
  <c r="K24" i="6"/>
  <c r="H24" i="6"/>
  <c r="I23" i="6"/>
  <c r="K23" i="6"/>
  <c r="H23" i="6"/>
  <c r="I9" i="6"/>
  <c r="K9" i="6"/>
  <c r="I11" i="6"/>
  <c r="K11" i="6"/>
  <c r="K12" i="6"/>
  <c r="I13" i="6"/>
  <c r="K13" i="6"/>
  <c r="I14" i="6"/>
  <c r="K14" i="6"/>
  <c r="I15" i="6"/>
  <c r="K15" i="6"/>
  <c r="I16" i="6"/>
  <c r="K16" i="6"/>
  <c r="I17" i="6"/>
  <c r="K17" i="6"/>
  <c r="I18" i="6"/>
  <c r="K18" i="6"/>
  <c r="I19" i="6"/>
  <c r="K19" i="6"/>
  <c r="I20" i="6"/>
  <c r="K20" i="6"/>
  <c r="H11" i="6"/>
  <c r="H12" i="6"/>
  <c r="H13" i="6"/>
  <c r="H14" i="6"/>
  <c r="H15" i="6"/>
  <c r="H16" i="6"/>
  <c r="H17" i="6"/>
  <c r="H18" i="6"/>
  <c r="H19" i="6"/>
  <c r="H20" i="6"/>
  <c r="H9" i="6"/>
  <c r="I3" i="6"/>
  <c r="K3" i="6"/>
  <c r="H3" i="6"/>
  <c r="I2" i="6"/>
  <c r="K2" i="6"/>
  <c r="H2" i="6"/>
  <c r="E43" i="6"/>
  <c r="E41" i="6"/>
  <c r="E38" i="6"/>
  <c r="E36" i="6"/>
  <c r="E28" i="6"/>
  <c r="E29" i="6"/>
  <c r="E30" i="6"/>
  <c r="E31" i="6"/>
  <c r="E32" i="6"/>
  <c r="E33" i="6"/>
  <c r="E27" i="6"/>
  <c r="E25" i="6"/>
  <c r="E24" i="6"/>
  <c r="E23" i="6"/>
  <c r="E18" i="6"/>
  <c r="E19" i="6"/>
  <c r="E20" i="6"/>
  <c r="E11" i="6"/>
  <c r="E12" i="6"/>
  <c r="E13" i="6"/>
  <c r="E14" i="6"/>
  <c r="E15" i="6"/>
  <c r="E16" i="6"/>
  <c r="E17" i="6"/>
  <c r="E9" i="6"/>
  <c r="N47" i="3"/>
  <c r="N46" i="3"/>
  <c r="N45" i="3"/>
  <c r="N48" i="3"/>
  <c r="N49" i="3"/>
  <c r="N50" i="3"/>
  <c r="N51" i="3"/>
  <c r="L47" i="3"/>
  <c r="L48" i="3"/>
  <c r="L49" i="3"/>
  <c r="L50" i="3"/>
  <c r="L51" i="3"/>
  <c r="L46" i="3"/>
  <c r="L45" i="3"/>
  <c r="K46" i="3"/>
  <c r="K47" i="3"/>
  <c r="K48" i="3"/>
  <c r="K49" i="3"/>
  <c r="K50" i="3"/>
  <c r="K51" i="3"/>
  <c r="K45" i="3"/>
  <c r="N18" i="3"/>
  <c r="K20" i="3"/>
  <c r="L20" i="3"/>
  <c r="N20" i="3"/>
  <c r="K21" i="3"/>
  <c r="N21" i="3"/>
  <c r="K22" i="3"/>
  <c r="L22" i="3"/>
  <c r="N22" i="3"/>
  <c r="K23" i="3"/>
  <c r="L23" i="3"/>
  <c r="N23" i="3"/>
  <c r="K24" i="3"/>
  <c r="L24" i="3"/>
  <c r="N24" i="3"/>
  <c r="K25" i="3"/>
  <c r="L25" i="3"/>
  <c r="N25" i="3"/>
  <c r="K26" i="3"/>
  <c r="L26" i="3"/>
  <c r="N26" i="3"/>
  <c r="K27" i="3"/>
  <c r="L27" i="3"/>
  <c r="N27" i="3"/>
  <c r="K28" i="3"/>
  <c r="L28" i="3"/>
  <c r="N28" i="3"/>
  <c r="K29" i="3"/>
  <c r="L29" i="3"/>
  <c r="N29" i="3"/>
  <c r="L18" i="3"/>
  <c r="K18" i="3"/>
  <c r="G46" i="3"/>
  <c r="J28" i="6" s="1"/>
  <c r="G47" i="3"/>
  <c r="I47" i="3" s="1"/>
  <c r="L29" i="6" s="1"/>
  <c r="G48" i="3"/>
  <c r="J30" i="6" s="1"/>
  <c r="G49" i="3"/>
  <c r="I49" i="3" s="1"/>
  <c r="L31" i="6" s="1"/>
  <c r="G50" i="3"/>
  <c r="J32" i="6" s="1"/>
  <c r="G51" i="3"/>
  <c r="I51" i="3" s="1"/>
  <c r="L33" i="6" s="1"/>
  <c r="G45" i="3"/>
  <c r="I45" i="3" s="1"/>
  <c r="L27" i="6" s="1"/>
  <c r="G39" i="3"/>
  <c r="J39" i="3" s="1"/>
  <c r="M25" i="6" s="1"/>
  <c r="J24" i="6"/>
  <c r="G37" i="3"/>
  <c r="J23" i="6" s="1"/>
  <c r="G20" i="3"/>
  <c r="J20" i="3" s="1"/>
  <c r="M11" i="6" s="1"/>
  <c r="G22" i="3"/>
  <c r="I22" i="3" s="1"/>
  <c r="L13" i="6" s="1"/>
  <c r="G23" i="3"/>
  <c r="J23" i="3" s="1"/>
  <c r="M14" i="6" s="1"/>
  <c r="G24" i="3"/>
  <c r="G25" i="3"/>
  <c r="I25" i="3" s="1"/>
  <c r="L16" i="6" s="1"/>
  <c r="G26" i="3"/>
  <c r="G27" i="3"/>
  <c r="I27" i="3" s="1"/>
  <c r="L18" i="6" s="1"/>
  <c r="L19" i="6"/>
  <c r="G29" i="3"/>
  <c r="J29" i="3" s="1"/>
  <c r="M20" i="6" s="1"/>
  <c r="G18" i="3"/>
  <c r="I18" i="3" s="1"/>
  <c r="L9" i="6" s="1"/>
  <c r="M2" i="6"/>
  <c r="Q10" i="2"/>
  <c r="K42" i="6" s="1"/>
  <c r="O10" i="2"/>
  <c r="Q11" i="2"/>
  <c r="H15" i="1" s="1"/>
  <c r="O11" i="2"/>
  <c r="N11" i="2"/>
  <c r="N10" i="2"/>
  <c r="H42" i="6" s="1"/>
  <c r="H11" i="1"/>
  <c r="I39" i="6"/>
  <c r="H39" i="6"/>
  <c r="H11" i="2"/>
  <c r="H10" i="2"/>
  <c r="M38" i="6"/>
  <c r="H7" i="2"/>
  <c r="J43" i="6" l="1"/>
  <c r="G15" i="1"/>
  <c r="K7" i="2"/>
  <c r="L36" i="6" s="1"/>
  <c r="G9" i="1"/>
  <c r="J37" i="6" s="1"/>
  <c r="J23" i="1"/>
  <c r="M28" i="3"/>
  <c r="P28" i="3" s="1"/>
  <c r="K10" i="2"/>
  <c r="L41" i="6" s="1"/>
  <c r="G13" i="1"/>
  <c r="L7" i="2"/>
  <c r="M36" i="6" s="1"/>
  <c r="R11" i="7"/>
  <c r="M58" i="6" s="1"/>
  <c r="I8" i="3"/>
  <c r="L3" i="6" s="1"/>
  <c r="J8" i="3"/>
  <c r="M3" i="6" s="1"/>
  <c r="J26" i="3"/>
  <c r="M17" i="6" s="1"/>
  <c r="I24" i="3"/>
  <c r="L15" i="6" s="1"/>
  <c r="J24" i="3"/>
  <c r="M15" i="6" s="1"/>
  <c r="H48" i="6"/>
  <c r="R15" i="2"/>
  <c r="M53" i="6"/>
  <c r="M54" i="6"/>
  <c r="I48" i="6"/>
  <c r="P11" i="2"/>
  <c r="M49" i="3"/>
  <c r="O49" i="3" s="1"/>
  <c r="J48" i="3"/>
  <c r="M30" i="6" s="1"/>
  <c r="M37" i="3"/>
  <c r="O37" i="3" s="1"/>
  <c r="M51" i="3"/>
  <c r="P51" i="3" s="1"/>
  <c r="M47" i="3"/>
  <c r="O47" i="3" s="1"/>
  <c r="M48" i="3"/>
  <c r="P48" i="3" s="1"/>
  <c r="J55" i="6"/>
  <c r="J50" i="6"/>
  <c r="Q11" i="7"/>
  <c r="L58" i="6" s="1"/>
  <c r="Q7" i="7"/>
  <c r="L50" i="6" s="1"/>
  <c r="J19" i="1"/>
  <c r="J49" i="3"/>
  <c r="M31" i="6" s="1"/>
  <c r="J47" i="3"/>
  <c r="M29" i="6" s="1"/>
  <c r="J46" i="3"/>
  <c r="M28" i="6" s="1"/>
  <c r="R7" i="7"/>
  <c r="M50" i="6" s="1"/>
  <c r="J20" i="1"/>
  <c r="M27" i="3"/>
  <c r="P27" i="3" s="1"/>
  <c r="R8" i="7"/>
  <c r="M52" i="6" s="1"/>
  <c r="Q12" i="7"/>
  <c r="Q8" i="7"/>
  <c r="L52" i="6" s="1"/>
  <c r="J52" i="6"/>
  <c r="M23" i="3"/>
  <c r="P23" i="3" s="1"/>
  <c r="K13" i="3"/>
  <c r="H8" i="6" s="1"/>
  <c r="I24" i="1"/>
  <c r="Q10" i="7"/>
  <c r="L55" i="6" s="1"/>
  <c r="I18" i="1"/>
  <c r="J45" i="3"/>
  <c r="M27" i="6" s="1"/>
  <c r="J25" i="6"/>
  <c r="G21" i="1"/>
  <c r="I21" i="1" s="1"/>
  <c r="I37" i="3"/>
  <c r="J37" i="3"/>
  <c r="M23" i="6" s="1"/>
  <c r="K40" i="3"/>
  <c r="L40" i="3"/>
  <c r="F31" i="1" s="1"/>
  <c r="J31" i="6"/>
  <c r="S9" i="2"/>
  <c r="J51" i="3"/>
  <c r="M33" i="6" s="1"/>
  <c r="M26" i="3"/>
  <c r="M22" i="3"/>
  <c r="M20" i="3"/>
  <c r="P20" i="3" s="1"/>
  <c r="N32" i="3"/>
  <c r="H30" i="1" s="1"/>
  <c r="N40" i="3"/>
  <c r="H31" i="1" s="1"/>
  <c r="L54" i="3"/>
  <c r="N54" i="3"/>
  <c r="H32" i="1" s="1"/>
  <c r="J3" i="6"/>
  <c r="J27" i="6"/>
  <c r="J36" i="6"/>
  <c r="G22" i="1"/>
  <c r="J58" i="6"/>
  <c r="R9" i="7"/>
  <c r="M55" i="6" s="1"/>
  <c r="M7" i="3"/>
  <c r="I25" i="1"/>
  <c r="J25" i="1"/>
  <c r="M46" i="3"/>
  <c r="O46" i="3" s="1"/>
  <c r="J16" i="6"/>
  <c r="K48" i="6"/>
  <c r="L13" i="3"/>
  <c r="F29" i="1" s="1"/>
  <c r="M24" i="3"/>
  <c r="J15" i="6"/>
  <c r="K11" i="2"/>
  <c r="L43" i="6" s="1"/>
  <c r="P10" i="2"/>
  <c r="J42" i="6" s="1"/>
  <c r="I42" i="6"/>
  <c r="L10" i="2"/>
  <c r="M41" i="6" s="1"/>
  <c r="J41" i="6"/>
  <c r="L11" i="2"/>
  <c r="M18" i="3"/>
  <c r="P18" i="3" s="1"/>
  <c r="M50" i="3"/>
  <c r="O50" i="3" s="1"/>
  <c r="J50" i="3"/>
  <c r="M32" i="6" s="1"/>
  <c r="G21" i="3"/>
  <c r="I21" i="3" s="1"/>
  <c r="L12" i="6" s="1"/>
  <c r="L21" i="3"/>
  <c r="M21" i="3" s="1"/>
  <c r="P21" i="3" s="1"/>
  <c r="M29" i="3"/>
  <c r="J38" i="3"/>
  <c r="M24" i="6" s="1"/>
  <c r="I38" i="3"/>
  <c r="I39" i="3"/>
  <c r="J2" i="6"/>
  <c r="J14" i="6"/>
  <c r="J11" i="6"/>
  <c r="J20" i="6"/>
  <c r="I7" i="3"/>
  <c r="I46" i="3"/>
  <c r="L28" i="6" s="1"/>
  <c r="M25" i="3"/>
  <c r="P25" i="3" s="1"/>
  <c r="H13" i="1"/>
  <c r="K39" i="6"/>
  <c r="N13" i="3"/>
  <c r="K54" i="3"/>
  <c r="H35" i="6" s="1"/>
  <c r="J33" i="6"/>
  <c r="I50" i="3"/>
  <c r="L32" i="6" s="1"/>
  <c r="I48" i="3"/>
  <c r="L30" i="6" s="1"/>
  <c r="J29" i="6"/>
  <c r="M45" i="3"/>
  <c r="J19" i="6"/>
  <c r="J18" i="6"/>
  <c r="J17" i="6"/>
  <c r="J22" i="3"/>
  <c r="M13" i="6" s="1"/>
  <c r="J13" i="6"/>
  <c r="K32" i="3"/>
  <c r="J9" i="6"/>
  <c r="J38" i="6"/>
  <c r="P8" i="2"/>
  <c r="J25" i="3"/>
  <c r="M16" i="6" s="1"/>
  <c r="J18" i="3"/>
  <c r="M9" i="6" s="1"/>
  <c r="J27" i="3"/>
  <c r="M18" i="6" s="1"/>
  <c r="J28" i="3"/>
  <c r="M19" i="6" s="1"/>
  <c r="I29" i="3"/>
  <c r="L20" i="6" s="1"/>
  <c r="I26" i="3"/>
  <c r="L17" i="6" s="1"/>
  <c r="I23" i="3"/>
  <c r="L14" i="6" s="1"/>
  <c r="I20" i="3"/>
  <c r="L11" i="6" s="1"/>
  <c r="K8" i="2"/>
  <c r="S8" i="2" l="1"/>
  <c r="R8" i="2"/>
  <c r="R11" i="2"/>
  <c r="S11" i="2"/>
  <c r="P49" i="3"/>
  <c r="P37" i="3"/>
  <c r="I35" i="6"/>
  <c r="F32" i="1"/>
  <c r="O51" i="3"/>
  <c r="P47" i="3"/>
  <c r="O48" i="3"/>
  <c r="K35" i="6"/>
  <c r="O23" i="3"/>
  <c r="K22" i="6"/>
  <c r="O26" i="3"/>
  <c r="P26" i="3"/>
  <c r="O24" i="3"/>
  <c r="P24" i="3"/>
  <c r="E32" i="1"/>
  <c r="O27" i="3"/>
  <c r="O28" i="3"/>
  <c r="O29" i="3"/>
  <c r="P29" i="3"/>
  <c r="O22" i="3"/>
  <c r="P22" i="3"/>
  <c r="I26" i="6"/>
  <c r="K26" i="6"/>
  <c r="J21" i="1"/>
  <c r="M13" i="3"/>
  <c r="P13" i="3" s="1"/>
  <c r="P50" i="3"/>
  <c r="M40" i="3"/>
  <c r="G31" i="1" s="1"/>
  <c r="I31" i="1" s="1"/>
  <c r="O20" i="3"/>
  <c r="L23" i="6"/>
  <c r="L37" i="6"/>
  <c r="J22" i="1"/>
  <c r="I22" i="1"/>
  <c r="P46" i="3"/>
  <c r="O7" i="3"/>
  <c r="H29" i="1"/>
  <c r="J21" i="3"/>
  <c r="M12" i="6" s="1"/>
  <c r="O25" i="3"/>
  <c r="J48" i="6"/>
  <c r="I15" i="1"/>
  <c r="L48" i="6" s="1"/>
  <c r="J15" i="1"/>
  <c r="M48" i="6" s="1"/>
  <c r="O18" i="3"/>
  <c r="J12" i="6"/>
  <c r="L32" i="3"/>
  <c r="F30" i="1" s="1"/>
  <c r="F35" i="1" s="1"/>
  <c r="I13" i="1"/>
  <c r="R10" i="2"/>
  <c r="S10" i="2"/>
  <c r="M43" i="6"/>
  <c r="M32" i="3"/>
  <c r="O21" i="3"/>
  <c r="I8" i="6"/>
  <c r="L24" i="6"/>
  <c r="L2" i="6"/>
  <c r="L25" i="6"/>
  <c r="K8" i="6"/>
  <c r="P45" i="3"/>
  <c r="M54" i="3"/>
  <c r="P54" i="3" s="1"/>
  <c r="O45" i="3"/>
  <c r="H22" i="6"/>
  <c r="E30" i="1"/>
  <c r="E35" i="1" s="1"/>
  <c r="L38" i="6"/>
  <c r="J39" i="6"/>
  <c r="O54" i="3" l="1"/>
  <c r="L35" i="6" s="1"/>
  <c r="P40" i="3"/>
  <c r="J8" i="6"/>
  <c r="M37" i="6"/>
  <c r="J26" i="6"/>
  <c r="G29" i="1"/>
  <c r="J29" i="1" s="1"/>
  <c r="J31" i="1"/>
  <c r="J22" i="6"/>
  <c r="P32" i="3"/>
  <c r="M22" i="6" s="1"/>
  <c r="I11" i="1"/>
  <c r="J11" i="1"/>
  <c r="J13" i="1"/>
  <c r="O32" i="3"/>
  <c r="L22" i="6" s="1"/>
  <c r="L42" i="6"/>
  <c r="M42" i="6"/>
  <c r="O13" i="3"/>
  <c r="L8" i="6" s="1"/>
  <c r="I22" i="6"/>
  <c r="G30" i="1"/>
  <c r="M8" i="6"/>
  <c r="O40" i="3"/>
  <c r="L26" i="6" s="1"/>
  <c r="M35" i="6"/>
  <c r="J35" i="6"/>
  <c r="G32" i="1"/>
  <c r="L39" i="6"/>
  <c r="M39" i="6"/>
  <c r="I29" i="1" l="1"/>
  <c r="I32" i="1"/>
  <c r="J32" i="1"/>
  <c r="J30" i="1"/>
  <c r="I30" i="1"/>
  <c r="M2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26" authorId="0" shapeId="0" xr:uid="{01B37D65-ECD8-4F54-AD80-AD231688EC60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N°768-25 Cuota de imprevisto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G7" authorId="0" shapeId="0" xr:uid="{41932BA0-50B9-4914-8406-395BE9163215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N°768-25 Cuota de imprevisto 
</t>
        </r>
      </text>
    </comment>
    <comment ref="M7" authorId="0" shapeId="0" xr:uid="{68995F66-9234-4EB2-8F8E-9D8E25736115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N°51-25 Cierre
Res N°53-25 Apertura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47" authorId="0" shapeId="0" xr:uid="{82D267AB-C642-4928-94DB-C439144AE002}">
      <text>
        <r>
          <rPr>
            <b/>
            <sz val="9"/>
            <color indexed="81"/>
            <rFont val="Tahoma"/>
            <charset val="1"/>
          </rPr>
          <t xml:space="preserve">ZULETA ESPINOZA, GERALDINE:
</t>
        </r>
        <r>
          <rPr>
            <sz val="9"/>
            <color indexed="81"/>
            <rFont val="Tahoma"/>
            <family val="2"/>
          </rPr>
          <t>Res N°946-25 modifica Res N°739-25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ZULETA ESPINOZA, GERALDINE</author>
  </authors>
  <commentList>
    <comment ref="F7" authorId="0" shapeId="0" xr:uid="{4617AAF4-B66E-42AC-BD79-573ADFE5C508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N°867 cesión Ind-Art de 4232,958 ton en favor de armadores artesanales de la región de Arica y Parinacota</t>
        </r>
      </text>
    </comment>
    <comment ref="F8" authorId="0" shapeId="0" xr:uid="{D19A25A9-AAA7-4A4E-AADF-7140D78C12B7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N°781-25 cede 15000 ton en favor de emb de la región de Arica y Parinacota y Tarapacá</t>
        </r>
      </text>
    </comment>
    <comment ref="F9" authorId="0" shapeId="0" xr:uid="{993E0734-BA92-419C-A027-FD49BC48A98C}">
      <text>
        <r>
          <rPr>
            <sz val="11"/>
            <color theme="1"/>
            <rFont val="Calibri"/>
            <family val="2"/>
            <scheme val="minor"/>
          </rPr>
          <t xml:space="preserve">ZULETA ESPINOZA, GERALDINE:
Res N°739-25, cesión IND-ART de 120000 Ton hacia embarcaciones de la región de Arica y Parinacota y Tarapacá./Res N°9466-25 modifica Res N°739-25
Res N°740-25, cesión IND-ART de 10000 Ton hacia embarcaciones de la región de Arica y Parinacota y Tarapacá.
Res N°920-25, cesión IND-ART de 20000 Ton hacia embarcaciones de la región de Antofagasta 
Res N°919-25, cesión IND-ART de 20000 Ton hacia embarcaciones de la región de Antofagasta 
</t>
        </r>
      </text>
    </comment>
    <comment ref="F10" authorId="0" shapeId="0" xr:uid="{46CE4523-A0E8-4D3F-88A4-747E5AB34374}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N°784-25 Cesion de 3364,564 ton en favor de artesanales de la región de Arica y Parinacota </t>
        </r>
      </text>
    </comment>
    <comment ref="F12" authorId="0" shapeId="0" xr:uid="{4352B92B-D1BA-417C-9205-FE88E88A8953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N°868-25 Cesión Ind-Art Cede 2643,586 ton a armadores Artesanales de la región de Arica y Patinacota </t>
        </r>
      </text>
    </comment>
    <comment ref="F27" authorId="0" shapeId="0" xr:uid="{5A714201-61F3-4237-B878-88784790853D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N°7-25 comodato de 0,235 ton en favor de THOR FISHERIES </t>
        </r>
      </text>
    </comment>
    <comment ref="F30" authorId="0" shapeId="0" xr:uid="{3A77EC33-0DCD-4B6E-B326-EE8F09412BE7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N°7-25, comodato de 0,235 ton desde SOCIEDAD PESQUERA LANDES S.A.</t>
        </r>
      </text>
    </comment>
    <comment ref="F52" authorId="0" shapeId="0" xr:uid="{7B573DB4-C09A-443E-A7F0-8C67C732423A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N°8-25, comodato de 0,172 ton desde SOCIEDAD PESQUERA LANDES S.A.</t>
        </r>
      </text>
    </comment>
    <comment ref="F53" authorId="0" shapeId="0" xr:uid="{0FF878BB-FF4B-4EDA-A7D6-1E2E251E0D73}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Certificado N°8-25 comodato de 0,172 ton en favor de THOR FISHERIES </t>
        </r>
      </text>
    </comment>
  </commentList>
</comments>
</file>

<file path=xl/sharedStrings.xml><?xml version="1.0" encoding="utf-8"?>
<sst xmlns="http://schemas.openxmlformats.org/spreadsheetml/2006/main" count="814" uniqueCount="270">
  <si>
    <t>RESUMEN CONSUMO ANUAL ANCHOVETA Y SARDINA ESPAÑOLA XV-IV AÑO 2025. Dato en toneladas</t>
  </si>
  <si>
    <t>Información preliminar</t>
  </si>
  <si>
    <t>Fracción</t>
  </si>
  <si>
    <t>Recurso</t>
  </si>
  <si>
    <t>Unidad Pesquería</t>
  </si>
  <si>
    <t>Cuota Asignada</t>
  </si>
  <si>
    <t>Movimientos</t>
  </si>
  <si>
    <t>Cuota Efectiva</t>
  </si>
  <si>
    <t>Captura</t>
  </si>
  <si>
    <t>Saldo</t>
  </si>
  <si>
    <t>Consumo</t>
  </si>
  <si>
    <t>Artesanal</t>
  </si>
  <si>
    <t>Anchoveta</t>
  </si>
  <si>
    <t>XV - I</t>
  </si>
  <si>
    <t>Cesiones Ind y Colec XV-I</t>
  </si>
  <si>
    <t>-</t>
  </si>
  <si>
    <t>II</t>
  </si>
  <si>
    <t>Cesiones Ind y Colec II</t>
  </si>
  <si>
    <t>III</t>
  </si>
  <si>
    <t>Cesiones Ind y Colec III</t>
  </si>
  <si>
    <t>IV</t>
  </si>
  <si>
    <t>Cesiones Ind y Colec IV</t>
  </si>
  <si>
    <t>FA XV - II</t>
  </si>
  <si>
    <t>FA III - IV</t>
  </si>
  <si>
    <t>Sardina española</t>
  </si>
  <si>
    <t>Investigación</t>
  </si>
  <si>
    <t xml:space="preserve">Anchoveta </t>
  </si>
  <si>
    <t>XV - II</t>
  </si>
  <si>
    <t>Imprevisto</t>
  </si>
  <si>
    <t>III - IV</t>
  </si>
  <si>
    <t>Industrial</t>
  </si>
  <si>
    <t xml:space="preserve">Sardina española </t>
  </si>
  <si>
    <t>Cesiones</t>
  </si>
  <si>
    <t>XV - IV</t>
  </si>
  <si>
    <t>CONTROL CUOTA ANCHOVETA  XV - IV AÑO 2025</t>
  </si>
  <si>
    <t>RESUMEN ANUAL</t>
  </si>
  <si>
    <t>Unidad de pesquería</t>
  </si>
  <si>
    <t>Fraccionamiento</t>
  </si>
  <si>
    <t>Asignatario</t>
  </si>
  <si>
    <t>Período</t>
  </si>
  <si>
    <t>Cuota asignada</t>
  </si>
  <si>
    <t>Cuota efectiva</t>
  </si>
  <si>
    <t>Captura (ton)</t>
  </si>
  <si>
    <t>Cargos por excesos</t>
  </si>
  <si>
    <t>Saldo (ton)</t>
  </si>
  <si>
    <t>% Consumo</t>
  </si>
  <si>
    <t>Cierre</t>
  </si>
  <si>
    <t>Anchoveta XV - II</t>
  </si>
  <si>
    <t xml:space="preserve"> Arica y Parinacota - Tarapacá</t>
  </si>
  <si>
    <t>MACROZONA XV - I</t>
  </si>
  <si>
    <t>Ene - Dic</t>
  </si>
  <si>
    <t xml:space="preserve"> Antofagasta</t>
  </si>
  <si>
    <t>REGIÓN II</t>
  </si>
  <si>
    <t>Fauna acompañante</t>
  </si>
  <si>
    <t>Anchoveta III - IV</t>
  </si>
  <si>
    <t xml:space="preserve"> Atacama</t>
  </si>
  <si>
    <t>REGIÓN III</t>
  </si>
  <si>
    <t>Coquimbo</t>
  </si>
  <si>
    <t>AG de Coquimbo RAG 55-4</t>
  </si>
  <si>
    <t>CERCOPESCA Rol 4276</t>
  </si>
  <si>
    <t>Cooperativa Pesquera Cerqueros Bahía Coquimbo Rol 6923</t>
  </si>
  <si>
    <t>CUOTA RESIDUAL</t>
  </si>
  <si>
    <t>CONTROL CUOTA SARDINA ESPAÑOLA ARTESANAL XV - IV AÑO 2025</t>
  </si>
  <si>
    <t>Sardina española XV - II</t>
  </si>
  <si>
    <t>Sardina española III - IV</t>
  </si>
  <si>
    <t>Atacama</t>
  </si>
  <si>
    <t>REGIÓN IV</t>
  </si>
  <si>
    <t>ANCHOVETA 2025</t>
  </si>
  <si>
    <t>SARDINA ESPAÑOLA 2025</t>
  </si>
  <si>
    <t>CUOTA</t>
  </si>
  <si>
    <t>CAPTURA</t>
  </si>
  <si>
    <t>SALDO</t>
  </si>
  <si>
    <t>% CONSUMO</t>
  </si>
  <si>
    <t>TOTAL CESIONES 2025</t>
  </si>
  <si>
    <t>Tipo</t>
  </si>
  <si>
    <t>Fecha</t>
  </si>
  <si>
    <t>N° Resolución</t>
  </si>
  <si>
    <t>Región</t>
  </si>
  <si>
    <t>Embarcación</t>
  </si>
  <si>
    <t>RPA</t>
  </si>
  <si>
    <t>XV-I</t>
  </si>
  <si>
    <t>ABEL</t>
  </si>
  <si>
    <t>AGUJILLA</t>
  </si>
  <si>
    <t>S. española</t>
  </si>
  <si>
    <t>AMADEUS II</t>
  </si>
  <si>
    <t>TOTAL</t>
  </si>
  <si>
    <t>AMADEUS IV</t>
  </si>
  <si>
    <t>Anchoveta XV-I</t>
  </si>
  <si>
    <t>ARKHOS III</t>
  </si>
  <si>
    <t>Anchoveta II</t>
  </si>
  <si>
    <t>ARKHOS V</t>
  </si>
  <si>
    <t>Anchoveta III</t>
  </si>
  <si>
    <t>ARKROS II</t>
  </si>
  <si>
    <t>Anchoveta IV</t>
  </si>
  <si>
    <t>ARKROS IV</t>
  </si>
  <si>
    <t xml:space="preserve">CESAR MIGUEL </t>
  </si>
  <si>
    <t>CHANGO I</t>
  </si>
  <si>
    <t>CHANGO II</t>
  </si>
  <si>
    <t>CONSUELITO I</t>
  </si>
  <si>
    <t xml:space="preserve">COYI I </t>
  </si>
  <si>
    <t>COYI II</t>
  </si>
  <si>
    <t>DANIEL</t>
  </si>
  <si>
    <t>DON GERMAN CSA</t>
  </si>
  <si>
    <t>DON JOSE I</t>
  </si>
  <si>
    <t>DON MARIO 1</t>
  </si>
  <si>
    <t xml:space="preserve">DON SALOMON </t>
  </si>
  <si>
    <t>DON UBALDO H.Q.</t>
  </si>
  <si>
    <t>ELVA S</t>
  </si>
  <si>
    <t>GRACIAS A DIOS I</t>
  </si>
  <si>
    <t>GRINGO PABLO II</t>
  </si>
  <si>
    <t>GUAJACHE II</t>
  </si>
  <si>
    <t>IKE I</t>
  </si>
  <si>
    <t>JAVIERA R</t>
  </si>
  <si>
    <t>AMADEUS</t>
  </si>
  <si>
    <t xml:space="preserve">KAREN PAMELA </t>
  </si>
  <si>
    <t>KIMBA I</t>
  </si>
  <si>
    <t>LOBO DE AFUERA IV</t>
  </si>
  <si>
    <t>LOBO DE AFUERA VI</t>
  </si>
  <si>
    <t>LOBO DE AFUERA VII</t>
  </si>
  <si>
    <t>LORETO V</t>
  </si>
  <si>
    <t>PELICANO II</t>
  </si>
  <si>
    <t>PETROHUE I</t>
  </si>
  <si>
    <t>PETROHUE II</t>
  </si>
  <si>
    <t>PETROHUE III</t>
  </si>
  <si>
    <t>RINA F Y M</t>
  </si>
  <si>
    <t xml:space="preserve">SABASTIAN ALEJANDRO </t>
  </si>
  <si>
    <t>SANTA  MARGARITA I</t>
  </si>
  <si>
    <t>SANTIAGO</t>
  </si>
  <si>
    <t>SHALOM II</t>
  </si>
  <si>
    <t>DON MARIO PRIMERO</t>
  </si>
  <si>
    <t>TUAREG I</t>
  </si>
  <si>
    <t>BENJAMIN A</t>
  </si>
  <si>
    <t>JORGE HERNAN M</t>
  </si>
  <si>
    <t>MAR TERCERO</t>
  </si>
  <si>
    <t>RAGNAR</t>
  </si>
  <si>
    <t>ABDON I</t>
  </si>
  <si>
    <t>FERNANDA I</t>
  </si>
  <si>
    <t>ISSAC</t>
  </si>
  <si>
    <t xml:space="preserve">VALENTINA </t>
  </si>
  <si>
    <t>CAROLINA I</t>
  </si>
  <si>
    <t>DON MAURICIO I</t>
  </si>
  <si>
    <t>ANTONELA PAZ</t>
  </si>
  <si>
    <t>ARKHOS II</t>
  </si>
  <si>
    <t>REY MAR II</t>
  </si>
  <si>
    <t>ANDREAS</t>
  </si>
  <si>
    <t>RENATA</t>
  </si>
  <si>
    <t>NIÑA XIMENA</t>
  </si>
  <si>
    <t>ABRAHAM</t>
  </si>
  <si>
    <t xml:space="preserve">GUERRERO DEL GOLFO </t>
  </si>
  <si>
    <t xml:space="preserve">CAMILA ANTONIA </t>
  </si>
  <si>
    <t>XV</t>
  </si>
  <si>
    <t>COYI I</t>
  </si>
  <si>
    <t>ESVA S</t>
  </si>
  <si>
    <t>GENESIS C</t>
  </si>
  <si>
    <t>ARLETH ANTONIA</t>
  </si>
  <si>
    <t>GIOVANNA PRISCILLA IV</t>
  </si>
  <si>
    <t xml:space="preserve">MARIA ELENA </t>
  </si>
  <si>
    <t>MOISES</t>
  </si>
  <si>
    <t xml:space="preserve">SGTO MORAN </t>
  </si>
  <si>
    <t>JAVIERA SELMIRA I</t>
  </si>
  <si>
    <t xml:space="preserve">SRA GRACIELA </t>
  </si>
  <si>
    <t xml:space="preserve">DON LUIS </t>
  </si>
  <si>
    <t xml:space="preserve">LA ANGELITA </t>
  </si>
  <si>
    <t>DON JOAQUIN III</t>
  </si>
  <si>
    <t xml:space="preserve">EL TESORO </t>
  </si>
  <si>
    <t xml:space="preserve">SOCOROMA </t>
  </si>
  <si>
    <t>SOCOROMA I</t>
  </si>
  <si>
    <t>DOÑA MARITZEN</t>
  </si>
  <si>
    <t>TRINQUETE</t>
  </si>
  <si>
    <t>EDI</t>
  </si>
  <si>
    <t>DON NINO I</t>
  </si>
  <si>
    <t>DON NINO II</t>
  </si>
  <si>
    <t>DON RUFINO II</t>
  </si>
  <si>
    <t>MARY PAZ II</t>
  </si>
  <si>
    <t>S/EF</t>
  </si>
  <si>
    <t>ALDEBARAN II</t>
  </si>
  <si>
    <t>DOÑA MERCEDES II</t>
  </si>
  <si>
    <t>OLGUITA I</t>
  </si>
  <si>
    <t>DON ANDRES II</t>
  </si>
  <si>
    <t>DOÑA EDI</t>
  </si>
  <si>
    <t>DOÑA SABINA</t>
  </si>
  <si>
    <t>DON MIGUEL</t>
  </si>
  <si>
    <t>JOSEFA II</t>
  </si>
  <si>
    <t>JOSE ALBINO</t>
  </si>
  <si>
    <t xml:space="preserve">DON RAFA </t>
  </si>
  <si>
    <t>DON ELEUTERIO</t>
  </si>
  <si>
    <t>UP ANCHOVETA</t>
  </si>
  <si>
    <t>XV-II</t>
  </si>
  <si>
    <t>III-IV</t>
  </si>
  <si>
    <t>UP SARDINA ESPAÑOLA</t>
  </si>
  <si>
    <t>N° doc</t>
  </si>
  <si>
    <t>CEDE</t>
  </si>
  <si>
    <t>RECIBE</t>
  </si>
  <si>
    <t>Coeficiente</t>
  </si>
  <si>
    <t>CONTROL CUOTA ANCHOVETA Y SARDINA ESPAÑOLA INDUSTRIAL XV - IV AÑO 2025</t>
  </si>
  <si>
    <t>CUOTA (TONELADAS)</t>
  </si>
  <si>
    <t>OPERACIÓN</t>
  </si>
  <si>
    <t>Titular de cuota LTP</t>
  </si>
  <si>
    <t>Periodo</t>
  </si>
  <si>
    <t>Traspaso, Cesión, arriendos, etc</t>
  </si>
  <si>
    <t>Captura (t)</t>
  </si>
  <si>
    <t>Saldo (t)</t>
  </si>
  <si>
    <t>% Consumido</t>
  </si>
  <si>
    <t>ARICA SEAFOOD PRODUCER S.A.</t>
  </si>
  <si>
    <t>CAMANCHACA S.A</t>
  </si>
  <si>
    <t>CORPESCA S.A</t>
  </si>
  <si>
    <t>DECASUR SPA</t>
  </si>
  <si>
    <t>LOTE RENUNCIADO</t>
  </si>
  <si>
    <t>ESPACIO PESQUERO SpA.</t>
  </si>
  <si>
    <t>ABASTECIMIENTO DEL PACIFICO S.A.</t>
  </si>
  <si>
    <t xml:space="preserve">ALIMENTOS MARINOS S.A.          </t>
  </si>
  <si>
    <t>ATILIO REYES BARRERA</t>
  </si>
  <si>
    <t xml:space="preserve">BAHIA CALDERA S.A. PESQ.          </t>
  </si>
  <si>
    <t xml:space="preserve">BLUMAR S.A.                                              </t>
  </si>
  <si>
    <t xml:space="preserve">CAMANCHACA S.A. CIA. PESQ    </t>
  </si>
  <si>
    <t>ERIC ARACENA REYNUABA</t>
  </si>
  <si>
    <t>FOODCORP CHILE S.A.</t>
  </si>
  <si>
    <t>GIULLIANO REYNUABA SALAS</t>
  </si>
  <si>
    <t xml:space="preserve">LANDES S.A. SOC. PESQ.                           </t>
  </si>
  <si>
    <t xml:space="preserve">ORIZON S.A                                                   </t>
  </si>
  <si>
    <t>PROCESOS TECNOLOGICOS DEL BIO BIO SpA</t>
  </si>
  <si>
    <t>THOR FICHERIES CHILE SpA</t>
  </si>
  <si>
    <t>SIPESUR SPA</t>
  </si>
  <si>
    <t xml:space="preserve">ARICA SEAFOOD PRODUCER S.A.  </t>
  </si>
  <si>
    <t xml:space="preserve">CAMANCHACA S.A. CIA. PESQ      </t>
  </si>
  <si>
    <t xml:space="preserve">CORPESCA S.A.                             </t>
  </si>
  <si>
    <t>Ene-Dic</t>
  </si>
  <si>
    <t>BLUMAR S.A.</t>
  </si>
  <si>
    <t>CAMANCHACA S.A.</t>
  </si>
  <si>
    <t>ORIZON S.A.</t>
  </si>
  <si>
    <t>LANDES S.A. SOC. PESQ.</t>
  </si>
  <si>
    <t>CONTROL DE CUOTA REMANENTE ANCHOVETA ARTESANAL 2025</t>
  </si>
  <si>
    <t xml:space="preserve">Región </t>
  </si>
  <si>
    <t>Cuota Remanente 2023 (T)</t>
  </si>
  <si>
    <t>Captura (T)</t>
  </si>
  <si>
    <t>Saldo (T)</t>
  </si>
  <si>
    <t xml:space="preserve">% Consumido </t>
  </si>
  <si>
    <t>CONTROL DE CUOTAS PESCA DE INVESTIGACIÓN AÑO 2024</t>
  </si>
  <si>
    <t>Total P. investigación</t>
  </si>
  <si>
    <t>Resolución</t>
  </si>
  <si>
    <t>Cuota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</si>
  <si>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</si>
  <si>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</si>
  <si>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</si>
  <si>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</si>
  <si>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</si>
  <si>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</si>
  <si>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</si>
  <si>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</si>
  <si>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</si>
  <si>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</si>
  <si>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</si>
  <si>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</si>
  <si>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saldo_porcentaje</t>
  </si>
  <si>
    <t>cierre</t>
  </si>
  <si>
    <t>Preliminar</t>
  </si>
  <si>
    <t>año</t>
  </si>
  <si>
    <t>comentario</t>
  </si>
  <si>
    <t>ANCHOVETA</t>
  </si>
  <si>
    <t>TITULAR LTP</t>
  </si>
  <si>
    <t>TOTAL ASIGNATARIO LTP</t>
  </si>
  <si>
    <t>SARDINA ESPAÑOLA</t>
  </si>
  <si>
    <t>REGION</t>
  </si>
  <si>
    <t>TOTAL ASIGNATARIO MACROZONA</t>
  </si>
  <si>
    <t>TOTAL ASIGNATARIO REGION</t>
  </si>
  <si>
    <t>Fauna acompañante XV-II</t>
  </si>
  <si>
    <t>ORGANIZACIÓN</t>
  </si>
  <si>
    <t>Fauna acompañante III-IV</t>
  </si>
  <si>
    <t>MACROZONA</t>
  </si>
  <si>
    <t>Fauna acompañante XV-III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</si>
</sst>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00"/>
    <numFmt numFmtId="166" formatCode="[$-F800]dddd\,\ mmmm\ dd\,\ yyyy"/>
    <numFmt numFmtId="167" formatCode="yyyy/mm/dd;@"/>
    <numFmt numFmtId="168" formatCode="#\ ##0.000"/>
    <numFmt numFmtId="169" formatCode="#\ ##0.00"/>
    <numFmt numFmtId="170" formatCode="##\ ##0.000"/>
    <numFmt numFmtId="171" formatCode="0.000%"/>
    <numFmt numFmtId="172" formatCode="####\ ##0.000"/>
    <numFmt numFmtId="173" formatCode="0.0"/>
    <numFmt numFmtId="174" formatCode="##\ ##0.00"/>
    <numFmt numFmtId="175" formatCode="###\ ##0.00"/>
    <numFmt numFmtId="176" formatCode="0.0000000"/>
    <numFmt numFmtId="177" formatCode="0.000000"/>
    <numFmt numFmtId="178" formatCode="0.0%"/>
    <numFmt numFmtId="179" formatCode="0.0000"/>
    <numFmt numFmtId="180" formatCode="0.000_ "/>
    <numFmt numFmtId="181" formatCode="####\ ##0.00"/>
    <numFmt numFmtId="182" formatCode="#,##0.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  <font>
      <sz val="10"/>
      <color theme="1"/>
      <name val="gobC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CF9FA"/>
        <bgColor indexed="64"/>
      </patternFill>
    </fill>
    <fill>
      <patternFill patternType="solid">
        <fgColor rgb="FFBDDDD2"/>
        <bgColor indexed="64"/>
      </patternFill>
    </fill>
    <fill>
      <patternFill patternType="solid">
        <fgColor rgb="FFF8FDF5"/>
        <bgColor indexed="64"/>
      </patternFill>
    </fill>
    <fill>
      <patternFill patternType="solid">
        <fgColor rgb="FFF6FEF4"/>
        <bgColor indexed="64"/>
      </patternFill>
    </fill>
    <fill>
      <patternFill patternType="solid">
        <fgColor rgb="FFF3FFF8"/>
        <bgColor indexed="64"/>
      </patternFill>
    </fill>
    <fill>
      <patternFill patternType="solid">
        <fgColor rgb="FF00B05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9" fontId="1" fillId="0" borderId="0" applyFont="0" applyFill="0" applyBorder="0" applyAlignment="0" applyProtection="0"/>
    <xf numFmtId="9" fontId="1" fillId="27" borderId="0" applyFont="0" applyBorder="0" applyAlignment="0" applyProtection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  <xf numFmtId="0" fontId="5" fillId="0" borderId="0"/>
    <xf numFmtId="9" fontId="3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1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3" fillId="20" borderId="13" applyNumberFormat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4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24" fillId="0" borderId="17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15" fillId="0" borderId="1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3" fillId="0" borderId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2" fillId="19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16" fillId="10" borderId="12" applyNumberForma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3" fillId="26" borderId="10" applyNumberFormat="0" applyFon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19" fillId="19" borderId="15" applyNumberFormat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7" fillId="0" borderId="0" applyFont="0" applyFill="0" applyBorder="0" applyAlignment="0" applyProtection="0"/>
  </cellStyleXfs>
  <cellXfs count="602">
    <xf numFmtId="0" fontId="0" fillId="0" borderId="0" xfId="0"/>
    <xf numFmtId="9" fontId="0" fillId="0" borderId="0" xfId="1" applyFont="1"/>
    <xf numFmtId="9" fontId="0" fillId="0" borderId="6" xfId="1" applyFont="1" applyFill="1" applyBorder="1" applyAlignment="1">
      <alignment horizontal="center"/>
    </xf>
    <xf numFmtId="9" fontId="0" fillId="0" borderId="6" xfId="1" applyFon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1" applyNumberFormat="1" applyFont="1" applyAlignment="1">
      <alignment horizontal="center"/>
    </xf>
    <xf numFmtId="9" fontId="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1" fontId="0" fillId="0" borderId="0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9" fontId="0" fillId="0" borderId="6" xfId="1" applyFont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9" fontId="0" fillId="0" borderId="0" xfId="1" applyFont="1" applyFill="1"/>
    <xf numFmtId="14" fontId="0" fillId="0" borderId="0" xfId="1" applyNumberFormat="1" applyFont="1" applyFill="1" applyAlignment="1">
      <alignment horizontal="center"/>
    </xf>
    <xf numFmtId="0" fontId="2" fillId="0" borderId="0" xfId="0" applyFont="1"/>
    <xf numFmtId="9" fontId="2" fillId="0" borderId="0" xfId="1" applyFont="1"/>
    <xf numFmtId="14" fontId="2" fillId="0" borderId="0" xfId="1" applyNumberFormat="1" applyFont="1" applyAlignment="1">
      <alignment horizontal="center"/>
    </xf>
    <xf numFmtId="14" fontId="2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9" fontId="2" fillId="0" borderId="0" xfId="1" applyFont="1" applyFill="1"/>
    <xf numFmtId="14" fontId="2" fillId="0" borderId="0" xfId="1" applyNumberFormat="1" applyFont="1" applyFill="1" applyAlignment="1">
      <alignment horizontal="center"/>
    </xf>
    <xf numFmtId="9" fontId="0" fillId="0" borderId="24" xfId="1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9" fontId="0" fillId="0" borderId="27" xfId="1" applyFont="1" applyBorder="1" applyAlignment="1">
      <alignment horizontal="center" vertical="center"/>
    </xf>
    <xf numFmtId="168" fontId="2" fillId="34" borderId="27" xfId="0" applyNumberFormat="1" applyFont="1" applyFill="1" applyBorder="1" applyAlignment="1">
      <alignment horizontal="center" vertical="center"/>
    </xf>
    <xf numFmtId="171" fontId="0" fillId="34" borderId="27" xfId="1" applyNumberFormat="1" applyFont="1" applyFill="1" applyBorder="1" applyAlignment="1">
      <alignment horizontal="center" vertical="center"/>
    </xf>
    <xf numFmtId="9" fontId="0" fillId="0" borderId="0" xfId="1" applyFont="1" applyBorder="1" applyAlignment="1"/>
    <xf numFmtId="165" fontId="2" fillId="0" borderId="27" xfId="0" applyNumberFormat="1" applyFont="1" applyBorder="1"/>
    <xf numFmtId="9" fontId="0" fillId="0" borderId="30" xfId="1" applyFont="1" applyBorder="1" applyAlignment="1">
      <alignment horizontal="center" vertical="center"/>
    </xf>
    <xf numFmtId="0" fontId="32" fillId="0" borderId="0" xfId="0" applyFont="1"/>
    <xf numFmtId="9" fontId="0" fillId="0" borderId="0" xfId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2" fillId="34" borderId="27" xfId="0" applyFont="1" applyFill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14" fontId="30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3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7" xfId="0" applyFont="1" applyBorder="1"/>
    <xf numFmtId="0" fontId="2" fillId="34" borderId="27" xfId="0" applyFont="1" applyFill="1" applyBorder="1" applyAlignment="1">
      <alignment horizontal="center" vertical="center" wrapText="1"/>
    </xf>
    <xf numFmtId="0" fontId="0" fillId="34" borderId="27" xfId="0" applyFill="1" applyBorder="1" applyAlignment="1">
      <alignment horizontal="center" vertical="center"/>
    </xf>
    <xf numFmtId="0" fontId="2" fillId="34" borderId="27" xfId="0" applyFont="1" applyFill="1" applyBorder="1" applyAlignment="1">
      <alignment horizontal="center" vertical="center"/>
    </xf>
    <xf numFmtId="168" fontId="0" fillId="34" borderId="27" xfId="0" applyNumberFormat="1" applyFill="1" applyBorder="1" applyAlignment="1">
      <alignment horizontal="center" vertical="center"/>
    </xf>
    <xf numFmtId="0" fontId="0" fillId="34" borderId="27" xfId="0" applyFill="1" applyBorder="1"/>
    <xf numFmtId="168" fontId="0" fillId="34" borderId="27" xfId="0" applyNumberFormat="1" applyFill="1" applyBorder="1" applyAlignment="1">
      <alignment horizontal="right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68" fontId="0" fillId="34" borderId="0" xfId="0" applyNumberFormat="1" applyFill="1" applyAlignment="1">
      <alignment horizontal="center" vertical="center"/>
    </xf>
    <xf numFmtId="0" fontId="0" fillId="34" borderId="1" xfId="0" applyFill="1" applyBorder="1"/>
    <xf numFmtId="168" fontId="0" fillId="34" borderId="1" xfId="0" applyNumberFormat="1" applyFill="1" applyBorder="1" applyAlignment="1">
      <alignment horizontal="right" vertical="center"/>
    </xf>
    <xf numFmtId="168" fontId="0" fillId="34" borderId="1" xfId="0" applyNumberFormat="1" applyFill="1" applyBorder="1" applyAlignment="1">
      <alignment horizontal="center" vertical="center"/>
    </xf>
    <xf numFmtId="168" fontId="2" fillId="34" borderId="1" xfId="0" applyNumberFormat="1" applyFont="1" applyFill="1" applyBorder="1" applyAlignment="1">
      <alignment horizontal="center" vertical="center"/>
    </xf>
    <xf numFmtId="171" fontId="0" fillId="34" borderId="1" xfId="1" applyNumberFormat="1" applyFont="1" applyFill="1" applyBorder="1" applyAlignment="1">
      <alignment horizontal="center" vertical="center"/>
    </xf>
    <xf numFmtId="0" fontId="0" fillId="34" borderId="34" xfId="0" applyFill="1" applyBorder="1" applyAlignment="1">
      <alignment horizontal="center" vertical="center" wrapText="1"/>
    </xf>
    <xf numFmtId="0" fontId="2" fillId="34" borderId="34" xfId="0" applyFont="1" applyFill="1" applyBorder="1" applyAlignment="1">
      <alignment horizontal="center" vertical="center" wrapText="1"/>
    </xf>
    <xf numFmtId="168" fontId="0" fillId="34" borderId="34" xfId="0" applyNumberFormat="1" applyFill="1" applyBorder="1" applyAlignment="1">
      <alignment horizontal="center" vertical="center"/>
    </xf>
    <xf numFmtId="0" fontId="2" fillId="30" borderId="4" xfId="0" applyFont="1" applyFill="1" applyBorder="1" applyAlignment="1">
      <alignment horizontal="center" vertical="center" wrapText="1"/>
    </xf>
    <xf numFmtId="0" fontId="2" fillId="30" borderId="2" xfId="0" applyFont="1" applyFill="1" applyBorder="1" applyAlignment="1">
      <alignment horizontal="center" vertical="center"/>
    </xf>
    <xf numFmtId="0" fontId="2" fillId="30" borderId="2" xfId="0" applyFont="1" applyFill="1" applyBorder="1" applyAlignment="1">
      <alignment horizontal="center" vertical="center" wrapText="1"/>
    </xf>
    <xf numFmtId="0" fontId="2" fillId="30" borderId="5" xfId="0" applyFont="1" applyFill="1" applyBorder="1" applyAlignment="1">
      <alignment horizontal="center" vertical="center"/>
    </xf>
    <xf numFmtId="9" fontId="0" fillId="34" borderId="6" xfId="1" applyFont="1" applyFill="1" applyBorder="1" applyAlignment="1">
      <alignment horizontal="center" vertical="center"/>
    </xf>
    <xf numFmtId="9" fontId="0" fillId="34" borderId="36" xfId="1" applyFont="1" applyFill="1" applyBorder="1" applyAlignment="1">
      <alignment horizontal="center" vertical="center"/>
    </xf>
    <xf numFmtId="9" fontId="0" fillId="34" borderId="24" xfId="1" applyFont="1" applyFill="1" applyBorder="1" applyAlignment="1">
      <alignment horizontal="center" vertical="center"/>
    </xf>
    <xf numFmtId="0" fontId="0" fillId="34" borderId="31" xfId="0" applyFill="1" applyBorder="1" applyAlignment="1">
      <alignment horizontal="center" vertical="center"/>
    </xf>
    <xf numFmtId="0" fontId="0" fillId="34" borderId="31" xfId="0" applyFill="1" applyBorder="1"/>
    <xf numFmtId="168" fontId="0" fillId="34" borderId="31" xfId="0" applyNumberFormat="1" applyFill="1" applyBorder="1" applyAlignment="1">
      <alignment horizontal="right" vertical="center"/>
    </xf>
    <xf numFmtId="168" fontId="0" fillId="34" borderId="31" xfId="0" applyNumberFormat="1" applyFill="1" applyBorder="1" applyAlignment="1">
      <alignment horizontal="center" vertical="center"/>
    </xf>
    <xf numFmtId="9" fontId="0" fillId="34" borderId="31" xfId="1" applyFont="1" applyFill="1" applyBorder="1" applyAlignment="1">
      <alignment horizontal="center" vertical="center"/>
    </xf>
    <xf numFmtId="9" fontId="0" fillId="34" borderId="33" xfId="1" applyFont="1" applyFill="1" applyBorder="1" applyAlignment="1">
      <alignment horizontal="center" vertical="center"/>
    </xf>
    <xf numFmtId="0" fontId="34" fillId="34" borderId="1" xfId="0" applyFont="1" applyFill="1" applyBorder="1" applyAlignment="1">
      <alignment horizontal="center" vertical="center"/>
    </xf>
    <xf numFmtId="0" fontId="2" fillId="34" borderId="31" xfId="0" applyFont="1" applyFill="1" applyBorder="1" applyAlignment="1">
      <alignment horizontal="center" vertical="center"/>
    </xf>
    <xf numFmtId="0" fontId="0" fillId="34" borderId="34" xfId="0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  <xf numFmtId="0" fontId="32" fillId="34" borderId="27" xfId="0" applyFont="1" applyFill="1" applyBorder="1" applyAlignment="1">
      <alignment horizontal="left" vertical="center" wrapText="1"/>
    </xf>
    <xf numFmtId="0" fontId="0" fillId="34" borderId="27" xfId="0" applyFill="1" applyBorder="1" applyAlignment="1">
      <alignment horizontal="left" vertical="center" wrapText="1"/>
    </xf>
    <xf numFmtId="0" fontId="0" fillId="34" borderId="34" xfId="0" applyFill="1" applyBorder="1" applyAlignment="1">
      <alignment horizontal="left" vertical="center" wrapText="1"/>
    </xf>
    <xf numFmtId="0" fontId="0" fillId="34" borderId="1" xfId="0" applyFill="1" applyBorder="1" applyAlignment="1">
      <alignment horizontal="left" vertical="center" wrapText="1"/>
    </xf>
    <xf numFmtId="0" fontId="0" fillId="34" borderId="31" xfId="0" applyFill="1" applyBorder="1" applyAlignment="1">
      <alignment horizontal="left" vertical="center" wrapText="1"/>
    </xf>
    <xf numFmtId="0" fontId="2" fillId="30" borderId="37" xfId="0" applyFont="1" applyFill="1" applyBorder="1" applyAlignment="1">
      <alignment horizontal="center" vertical="center" wrapText="1"/>
    </xf>
    <xf numFmtId="168" fontId="0" fillId="34" borderId="38" xfId="0" applyNumberFormat="1" applyFill="1" applyBorder="1" applyAlignment="1">
      <alignment horizontal="center" vertical="center"/>
    </xf>
    <xf numFmtId="168" fontId="0" fillId="34" borderId="22" xfId="0" applyNumberFormat="1" applyFill="1" applyBorder="1" applyAlignment="1">
      <alignment horizontal="center" vertical="center"/>
    </xf>
    <xf numFmtId="168" fontId="0" fillId="34" borderId="39" xfId="0" applyNumberFormat="1" applyFill="1" applyBorder="1" applyAlignment="1">
      <alignment horizontal="center" vertical="center"/>
    </xf>
    <xf numFmtId="14" fontId="2" fillId="34" borderId="6" xfId="0" applyNumberFormat="1" applyFont="1" applyFill="1" applyBorder="1" applyAlignment="1">
      <alignment horizontal="center" vertical="center"/>
    </xf>
    <xf numFmtId="14" fontId="2" fillId="34" borderId="36" xfId="0" applyNumberFormat="1" applyFont="1" applyFill="1" applyBorder="1" applyAlignment="1">
      <alignment horizontal="center" vertical="center"/>
    </xf>
    <xf numFmtId="14" fontId="2" fillId="34" borderId="24" xfId="0" applyNumberFormat="1" applyFont="1" applyFill="1" applyBorder="1" applyAlignment="1">
      <alignment horizontal="center" vertical="center"/>
    </xf>
    <xf numFmtId="14" fontId="2" fillId="34" borderId="33" xfId="0" applyNumberFormat="1" applyFont="1" applyFill="1" applyBorder="1" applyAlignment="1">
      <alignment horizontal="center" vertical="center"/>
    </xf>
    <xf numFmtId="1" fontId="0" fillId="0" borderId="0" xfId="0" applyNumberFormat="1"/>
    <xf numFmtId="168" fontId="0" fillId="34" borderId="25" xfId="0" applyNumberFormat="1" applyFill="1" applyBorder="1" applyAlignment="1">
      <alignment horizontal="center" vertical="center"/>
    </xf>
    <xf numFmtId="9" fontId="1" fillId="34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2" fillId="34" borderId="23" xfId="0" applyFont="1" applyFill="1" applyBorder="1" applyAlignment="1">
      <alignment horizontal="center" vertical="center" wrapText="1"/>
    </xf>
    <xf numFmtId="168" fontId="32" fillId="34" borderId="27" xfId="0" applyNumberFormat="1" applyFont="1" applyFill="1" applyBorder="1" applyAlignment="1">
      <alignment horizontal="center" vertical="center"/>
    </xf>
    <xf numFmtId="14" fontId="32" fillId="34" borderId="6" xfId="0" applyNumberFormat="1" applyFont="1" applyFill="1" applyBorder="1" applyAlignment="1">
      <alignment horizontal="center" vertical="center"/>
    </xf>
    <xf numFmtId="168" fontId="30" fillId="34" borderId="27" xfId="0" applyNumberFormat="1" applyFont="1" applyFill="1" applyBorder="1" applyAlignment="1">
      <alignment horizontal="center" vertical="center"/>
    </xf>
    <xf numFmtId="168" fontId="32" fillId="34" borderId="31" xfId="0" applyNumberFormat="1" applyFont="1" applyFill="1" applyBorder="1" applyAlignment="1">
      <alignment horizontal="center" vertical="center"/>
    </xf>
    <xf numFmtId="0" fontId="32" fillId="34" borderId="33" xfId="0" applyFont="1" applyFill="1" applyBorder="1" applyAlignment="1">
      <alignment horizontal="center" vertical="center"/>
    </xf>
    <xf numFmtId="0" fontId="33" fillId="34" borderId="27" xfId="0" applyFont="1" applyFill="1" applyBorder="1" applyAlignment="1">
      <alignment horizontal="center" vertical="center"/>
    </xf>
    <xf numFmtId="168" fontId="33" fillId="34" borderId="27" xfId="0" applyNumberFormat="1" applyFont="1" applyFill="1" applyBorder="1" applyAlignment="1">
      <alignment horizontal="center" vertical="center"/>
    </xf>
    <xf numFmtId="0" fontId="0" fillId="34" borderId="0" xfId="0" applyFill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33" fillId="34" borderId="1" xfId="0" applyFont="1" applyFill="1" applyBorder="1" applyAlignment="1">
      <alignment horizontal="center" vertical="center"/>
    </xf>
    <xf numFmtId="168" fontId="33" fillId="34" borderId="1" xfId="0" applyNumberFormat="1" applyFont="1" applyFill="1" applyBorder="1" applyAlignment="1">
      <alignment horizontal="center" vertical="center"/>
    </xf>
    <xf numFmtId="168" fontId="30" fillId="34" borderId="1" xfId="0" applyNumberFormat="1" applyFont="1" applyFill="1" applyBorder="1" applyAlignment="1">
      <alignment horizontal="center" vertical="center"/>
    </xf>
    <xf numFmtId="168" fontId="32" fillId="34" borderId="1" xfId="0" applyNumberFormat="1" applyFont="1" applyFill="1" applyBorder="1" applyAlignment="1">
      <alignment horizontal="center" vertical="center"/>
    </xf>
    <xf numFmtId="14" fontId="32" fillId="34" borderId="24" xfId="0" applyNumberFormat="1" applyFont="1" applyFill="1" applyBorder="1" applyAlignment="1">
      <alignment horizontal="center" vertical="center"/>
    </xf>
    <xf numFmtId="0" fontId="0" fillId="34" borderId="29" xfId="0" applyFill="1" applyBorder="1" applyAlignment="1">
      <alignment horizontal="center" vertical="center" wrapText="1"/>
    </xf>
    <xf numFmtId="0" fontId="0" fillId="34" borderId="2" xfId="0" applyFill="1" applyBorder="1" applyAlignment="1">
      <alignment horizontal="center" vertical="center"/>
    </xf>
    <xf numFmtId="168" fontId="0" fillId="34" borderId="2" xfId="0" applyNumberFormat="1" applyFill="1" applyBorder="1" applyAlignment="1">
      <alignment horizontal="center" vertical="center"/>
    </xf>
    <xf numFmtId="0" fontId="32" fillId="34" borderId="5" xfId="0" applyFont="1" applyFill="1" applyBorder="1" applyAlignment="1">
      <alignment horizontal="center" vertical="center"/>
    </xf>
    <xf numFmtId="0" fontId="0" fillId="34" borderId="51" xfId="0" applyFill="1" applyBorder="1" applyAlignment="1">
      <alignment horizontal="center" vertical="center"/>
    </xf>
    <xf numFmtId="170" fontId="0" fillId="34" borderId="34" xfId="0" applyNumberFormat="1" applyFill="1" applyBorder="1" applyAlignment="1">
      <alignment horizontal="center" vertical="center"/>
    </xf>
    <xf numFmtId="0" fontId="32" fillId="34" borderId="36" xfId="0" applyFont="1" applyFill="1" applyBorder="1" applyAlignment="1">
      <alignment horizontal="center" vertical="center"/>
    </xf>
    <xf numFmtId="0" fontId="2" fillId="29" borderId="7" xfId="0" applyFont="1" applyFill="1" applyBorder="1" applyAlignment="1">
      <alignment horizontal="center" vertical="center"/>
    </xf>
    <xf numFmtId="0" fontId="2" fillId="29" borderId="8" xfId="0" applyFont="1" applyFill="1" applyBorder="1" applyAlignment="1">
      <alignment horizontal="center" vertical="center"/>
    </xf>
    <xf numFmtId="0" fontId="2" fillId="30" borderId="7" xfId="0" applyFont="1" applyFill="1" applyBorder="1" applyAlignment="1">
      <alignment horizontal="center" vertical="center"/>
    </xf>
    <xf numFmtId="0" fontId="2" fillId="30" borderId="8" xfId="0" applyFont="1" applyFill="1" applyBorder="1" applyAlignment="1">
      <alignment horizontal="center" vertical="center"/>
    </xf>
    <xf numFmtId="0" fontId="2" fillId="30" borderId="8" xfId="0" applyFont="1" applyFill="1" applyBorder="1" applyAlignment="1">
      <alignment horizontal="center" vertical="center" wrapText="1"/>
    </xf>
    <xf numFmtId="0" fontId="2" fillId="30" borderId="5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4" fontId="0" fillId="0" borderId="27" xfId="0" applyNumberFormat="1" applyBorder="1" applyAlignment="1">
      <alignment horizontal="center" vertical="center"/>
    </xf>
    <xf numFmtId="0" fontId="0" fillId="0" borderId="27" xfId="0" applyBorder="1"/>
    <xf numFmtId="0" fontId="0" fillId="0" borderId="27" xfId="0" applyBorder="1" applyAlignment="1">
      <alignment horizontal="right" vertical="center"/>
    </xf>
    <xf numFmtId="165" fontId="0" fillId="0" borderId="27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0" fontId="2" fillId="29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0" fillId="0" borderId="6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" fillId="30" borderId="9" xfId="0" applyFont="1" applyFill="1" applyBorder="1" applyAlignment="1">
      <alignment horizontal="center" vertical="center"/>
    </xf>
    <xf numFmtId="0" fontId="2" fillId="30" borderId="7" xfId="0" applyFont="1" applyFill="1" applyBorder="1" applyAlignment="1">
      <alignment horizontal="center" vertical="center" wrapText="1"/>
    </xf>
    <xf numFmtId="9" fontId="0" fillId="0" borderId="33" xfId="1" applyFont="1" applyFill="1" applyBorder="1" applyAlignment="1">
      <alignment horizontal="center"/>
    </xf>
    <xf numFmtId="9" fontId="0" fillId="34" borderId="0" xfId="1" applyFont="1" applyFill="1" applyBorder="1" applyAlignment="1">
      <alignment horizontal="center" vertical="center"/>
    </xf>
    <xf numFmtId="9" fontId="0" fillId="34" borderId="0" xfId="1" applyFont="1" applyFill="1" applyBorder="1" applyAlignment="1">
      <alignment horizontal="center"/>
    </xf>
    <xf numFmtId="9" fontId="0" fillId="34" borderId="0" xfId="1" applyFont="1" applyFill="1"/>
    <xf numFmtId="9" fontId="0" fillId="34" borderId="0" xfId="1" applyFont="1" applyFill="1" applyBorder="1" applyAlignment="1"/>
    <xf numFmtId="9" fontId="0" fillId="0" borderId="33" xfId="1" applyFont="1" applyBorder="1" applyAlignment="1">
      <alignment horizontal="center" vertical="center"/>
    </xf>
    <xf numFmtId="9" fontId="0" fillId="34" borderId="52" xfId="1" applyFont="1" applyFill="1" applyBorder="1" applyAlignment="1">
      <alignment horizontal="center" vertical="center"/>
    </xf>
    <xf numFmtId="9" fontId="0" fillId="0" borderId="24" xfId="1" applyFont="1" applyBorder="1" applyAlignment="1">
      <alignment horizontal="center" vertical="center"/>
    </xf>
    <xf numFmtId="0" fontId="0" fillId="34" borderId="0" xfId="0" applyFill="1"/>
    <xf numFmtId="0" fontId="0" fillId="34" borderId="0" xfId="0" applyFill="1" applyAlignment="1">
      <alignment vertical="center"/>
    </xf>
    <xf numFmtId="0" fontId="0" fillId="34" borderId="1" xfId="0" applyFill="1" applyBorder="1" applyAlignment="1">
      <alignment horizontal="left"/>
    </xf>
    <xf numFmtId="172" fontId="0" fillId="34" borderId="1" xfId="0" applyNumberForma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168" fontId="0" fillId="0" borderId="1" xfId="0" applyNumberFormat="1" applyBorder="1"/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0" fontId="0" fillId="34" borderId="27" xfId="0" applyFill="1" applyBorder="1" applyAlignment="1">
      <alignment horizontal="left"/>
    </xf>
    <xf numFmtId="0" fontId="0" fillId="0" borderId="27" xfId="0" applyBorder="1" applyAlignment="1">
      <alignment horizontal="center"/>
    </xf>
    <xf numFmtId="168" fontId="0" fillId="0" borderId="27" xfId="0" applyNumberFormat="1" applyBorder="1"/>
    <xf numFmtId="165" fontId="0" fillId="0" borderId="27" xfId="0" applyNumberFormat="1" applyBorder="1" applyAlignment="1">
      <alignment horizontal="center" vertical="center"/>
    </xf>
    <xf numFmtId="0" fontId="0" fillId="34" borderId="31" xfId="0" applyFill="1" applyBorder="1" applyAlignment="1">
      <alignment horizontal="left"/>
    </xf>
    <xf numFmtId="0" fontId="0" fillId="0" borderId="31" xfId="0" applyBorder="1" applyAlignment="1">
      <alignment horizontal="center"/>
    </xf>
    <xf numFmtId="168" fontId="0" fillId="0" borderId="31" xfId="0" applyNumberFormat="1" applyBorder="1"/>
    <xf numFmtId="0" fontId="0" fillId="0" borderId="31" xfId="0" applyBorder="1"/>
    <xf numFmtId="0" fontId="0" fillId="0" borderId="31" xfId="0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0" fontId="0" fillId="34" borderId="49" xfId="0" applyFill="1" applyBorder="1" applyAlignment="1">
      <alignment horizontal="left"/>
    </xf>
    <xf numFmtId="1" fontId="0" fillId="34" borderId="25" xfId="0" applyNumberFormat="1" applyFill="1" applyBorder="1"/>
    <xf numFmtId="0" fontId="0" fillId="34" borderId="25" xfId="0" applyFill="1" applyBorder="1" applyAlignment="1">
      <alignment horizontal="center"/>
    </xf>
    <xf numFmtId="168" fontId="0" fillId="34" borderId="25" xfId="0" applyNumberFormat="1" applyFill="1" applyBorder="1"/>
    <xf numFmtId="0" fontId="0" fillId="34" borderId="25" xfId="0" applyFill="1" applyBorder="1"/>
    <xf numFmtId="169" fontId="0" fillId="34" borderId="25" xfId="0" applyNumberFormat="1" applyFill="1" applyBorder="1"/>
    <xf numFmtId="169" fontId="0" fillId="34" borderId="25" xfId="0" applyNumberFormat="1" applyFill="1" applyBorder="1" applyAlignment="1">
      <alignment horizontal="center" vertical="center"/>
    </xf>
    <xf numFmtId="0" fontId="0" fillId="34" borderId="0" xfId="0" applyFill="1" applyAlignment="1">
      <alignment horizontal="center" vertical="center" textRotation="90" wrapText="1"/>
    </xf>
    <xf numFmtId="0" fontId="0" fillId="34" borderId="0" xfId="0" applyFill="1" applyAlignment="1">
      <alignment horizontal="center" vertical="center" wrapText="1"/>
    </xf>
    <xf numFmtId="0" fontId="0" fillId="34" borderId="0" xfId="0" applyFill="1" applyAlignment="1">
      <alignment horizontal="left"/>
    </xf>
    <xf numFmtId="1" fontId="0" fillId="34" borderId="0" xfId="0" applyNumberFormat="1" applyFill="1"/>
    <xf numFmtId="0" fontId="0" fillId="34" borderId="0" xfId="0" applyFill="1" applyAlignment="1">
      <alignment horizontal="center"/>
    </xf>
    <xf numFmtId="168" fontId="0" fillId="34" borderId="0" xfId="0" applyNumberFormat="1" applyFill="1"/>
    <xf numFmtId="169" fontId="0" fillId="34" borderId="0" xfId="0" applyNumberFormat="1" applyFill="1"/>
    <xf numFmtId="169" fontId="0" fillId="34" borderId="0" xfId="0" applyNumberFormat="1" applyFill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0" fillId="0" borderId="2" xfId="0" applyBorder="1"/>
    <xf numFmtId="168" fontId="0" fillId="0" borderId="2" xfId="0" applyNumberFormat="1" applyBorder="1"/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8" fontId="0" fillId="34" borderId="0" xfId="0" applyNumberFormat="1" applyFill="1" applyAlignment="1">
      <alignment horizontal="center"/>
    </xf>
    <xf numFmtId="0" fontId="0" fillId="34" borderId="0" xfId="0" applyFill="1" applyAlignment="1">
      <alignment horizontal="left" vertical="top"/>
    </xf>
    <xf numFmtId="14" fontId="0" fillId="34" borderId="0" xfId="0" applyNumberFormat="1" applyFill="1"/>
    <xf numFmtId="0" fontId="0" fillId="0" borderId="0" xfId="0" applyAlignment="1">
      <alignment horizontal="left" vertical="top"/>
    </xf>
    <xf numFmtId="0" fontId="2" fillId="34" borderId="27" xfId="0" applyFont="1" applyFill="1" applyBorder="1" applyAlignment="1">
      <alignment horizontal="left" vertical="center" wrapText="1"/>
    </xf>
    <xf numFmtId="0" fontId="0" fillId="34" borderId="2" xfId="0" applyFill="1" applyBorder="1" applyAlignment="1">
      <alignment horizontal="left"/>
    </xf>
    <xf numFmtId="168" fontId="0" fillId="34" borderId="2" xfId="0" applyNumberFormat="1" applyFill="1" applyBorder="1" applyAlignment="1">
      <alignment horizontal="right" vertical="center"/>
    </xf>
    <xf numFmtId="168" fontId="0" fillId="0" borderId="2" xfId="0" applyNumberFormat="1" applyBorder="1" applyAlignment="1">
      <alignment vertical="center"/>
    </xf>
    <xf numFmtId="168" fontId="0" fillId="0" borderId="27" xfId="0" applyNumberFormat="1" applyBorder="1" applyAlignment="1">
      <alignment vertical="center"/>
    </xf>
    <xf numFmtId="0" fontId="0" fillId="34" borderId="0" xfId="0" applyFill="1" applyAlignment="1">
      <alignment horizontal="left" wrapText="1"/>
    </xf>
    <xf numFmtId="173" fontId="0" fillId="34" borderId="0" xfId="0" applyNumberFormat="1" applyFill="1"/>
    <xf numFmtId="168" fontId="0" fillId="0" borderId="23" xfId="0" applyNumberForma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2" fillId="30" borderId="28" xfId="0" applyFont="1" applyFill="1" applyBorder="1" applyAlignment="1">
      <alignment horizontal="center" vertical="center" wrapText="1"/>
    </xf>
    <xf numFmtId="0" fontId="2" fillId="30" borderId="29" xfId="0" applyFont="1" applyFill="1" applyBorder="1" applyAlignment="1">
      <alignment horizontal="center" vertical="center"/>
    </xf>
    <xf numFmtId="0" fontId="2" fillId="30" borderId="29" xfId="0" applyFont="1" applyFill="1" applyBorder="1" applyAlignment="1">
      <alignment horizontal="center" vertical="center" wrapText="1"/>
    </xf>
    <xf numFmtId="0" fontId="2" fillId="30" borderId="32" xfId="0" applyFont="1" applyFill="1" applyBorder="1" applyAlignment="1">
      <alignment horizontal="center" vertical="center"/>
    </xf>
    <xf numFmtId="173" fontId="0" fillId="34" borderId="7" xfId="0" applyNumberFormat="1" applyFill="1" applyBorder="1"/>
    <xf numFmtId="0" fontId="0" fillId="34" borderId="8" xfId="0" applyFill="1" applyBorder="1"/>
    <xf numFmtId="168" fontId="0" fillId="34" borderId="8" xfId="0" applyNumberFormat="1" applyFill="1" applyBorder="1" applyAlignment="1">
      <alignment horizontal="center"/>
    </xf>
    <xf numFmtId="168" fontId="0" fillId="34" borderId="8" xfId="0" applyNumberFormat="1" applyFill="1" applyBorder="1" applyAlignment="1">
      <alignment horizontal="center" vertical="center"/>
    </xf>
    <xf numFmtId="9" fontId="0" fillId="34" borderId="9" xfId="1" applyFont="1" applyFill="1" applyBorder="1" applyAlignment="1">
      <alignment horizontal="center"/>
    </xf>
    <xf numFmtId="169" fontId="0" fillId="34" borderId="27" xfId="0" applyNumberFormat="1" applyFill="1" applyBorder="1" applyAlignment="1">
      <alignment horizontal="center" vertical="center"/>
    </xf>
    <xf numFmtId="9" fontId="0" fillId="0" borderId="24" xfId="1" applyFont="1" applyBorder="1" applyAlignment="1">
      <alignment horizontal="center"/>
    </xf>
    <xf numFmtId="0" fontId="0" fillId="34" borderId="0" xfId="0" applyFill="1" applyAlignment="1">
      <alignment horizontal="left" vertical="center" wrapText="1"/>
    </xf>
    <xf numFmtId="171" fontId="0" fillId="34" borderId="0" xfId="1" applyNumberFormat="1" applyFont="1" applyFill="1" applyBorder="1" applyAlignment="1">
      <alignment horizontal="center" vertical="center"/>
    </xf>
    <xf numFmtId="168" fontId="0" fillId="34" borderId="27" xfId="0" applyNumberFormat="1" applyFill="1" applyBorder="1"/>
    <xf numFmtId="165" fontId="0" fillId="34" borderId="27" xfId="0" applyNumberFormat="1" applyFill="1" applyBorder="1" applyAlignment="1">
      <alignment horizontal="center" vertical="center"/>
    </xf>
    <xf numFmtId="0" fontId="2" fillId="34" borderId="27" xfId="0" applyFont="1" applyFill="1" applyBorder="1"/>
    <xf numFmtId="0" fontId="0" fillId="34" borderId="2" xfId="0" applyFill="1" applyBorder="1" applyAlignment="1">
      <alignment horizontal="left" vertical="center"/>
    </xf>
    <xf numFmtId="0" fontId="0" fillId="34" borderId="27" xfId="0" applyFill="1" applyBorder="1" applyAlignment="1">
      <alignment horizontal="left" vertical="center"/>
    </xf>
    <xf numFmtId="169" fontId="0" fillId="34" borderId="1" xfId="0" applyNumberFormat="1" applyFill="1" applyBorder="1" applyAlignment="1">
      <alignment horizontal="center" vertical="center"/>
    </xf>
    <xf numFmtId="0" fontId="32" fillId="34" borderId="31" xfId="0" applyFont="1" applyFill="1" applyBorder="1" applyAlignment="1">
      <alignment horizontal="left" vertical="center" wrapText="1"/>
    </xf>
    <xf numFmtId="168" fontId="0" fillId="34" borderId="31" xfId="0" applyNumberFormat="1" applyFill="1" applyBorder="1"/>
    <xf numFmtId="0" fontId="2" fillId="34" borderId="31" xfId="0" applyFont="1" applyFill="1" applyBorder="1"/>
    <xf numFmtId="165" fontId="0" fillId="34" borderId="31" xfId="0" applyNumberFormat="1" applyFill="1" applyBorder="1" applyAlignment="1">
      <alignment horizontal="center" vertical="center"/>
    </xf>
    <xf numFmtId="1" fontId="0" fillId="34" borderId="7" xfId="0" applyNumberFormat="1" applyFill="1" applyBorder="1"/>
    <xf numFmtId="169" fontId="0" fillId="34" borderId="8" xfId="0" applyNumberFormat="1" applyFill="1" applyBorder="1" applyAlignment="1">
      <alignment horizontal="center" vertical="center"/>
    </xf>
    <xf numFmtId="171" fontId="0" fillId="34" borderId="9" xfId="1" applyNumberFormat="1" applyFont="1" applyFill="1" applyBorder="1" applyAlignment="1">
      <alignment horizontal="center" vertical="center"/>
    </xf>
    <xf numFmtId="0" fontId="32" fillId="34" borderId="1" xfId="0" applyFont="1" applyFill="1" applyBorder="1" applyAlignment="1">
      <alignment horizontal="left" vertical="center" wrapText="1"/>
    </xf>
    <xf numFmtId="0" fontId="0" fillId="34" borderId="1" xfId="0" applyFill="1" applyBorder="1" applyAlignment="1">
      <alignment horizontal="left" vertical="center"/>
    </xf>
    <xf numFmtId="0" fontId="32" fillId="34" borderId="27" xfId="0" applyFont="1" applyFill="1" applyBorder="1" applyAlignment="1">
      <alignment horizontal="left" vertical="center"/>
    </xf>
    <xf numFmtId="0" fontId="32" fillId="34" borderId="31" xfId="0" applyFont="1" applyFill="1" applyBorder="1" applyAlignment="1">
      <alignment horizontal="left" vertical="center"/>
    </xf>
    <xf numFmtId="0" fontId="0" fillId="34" borderId="31" xfId="0" applyFill="1" applyBorder="1" applyAlignment="1">
      <alignment horizontal="left" vertical="center"/>
    </xf>
    <xf numFmtId="9" fontId="0" fillId="0" borderId="33" xfId="1" applyFont="1" applyBorder="1" applyAlignment="1">
      <alignment horizontal="center"/>
    </xf>
    <xf numFmtId="0" fontId="2" fillId="30" borderId="55" xfId="0" applyFont="1" applyFill="1" applyBorder="1" applyAlignment="1">
      <alignment horizontal="center" vertical="center" wrapText="1"/>
    </xf>
    <xf numFmtId="170" fontId="0" fillId="0" borderId="22" xfId="0" applyNumberFormat="1" applyBorder="1" applyAlignment="1">
      <alignment horizontal="center" vertical="center"/>
    </xf>
    <xf numFmtId="170" fontId="0" fillId="0" borderId="39" xfId="0" applyNumberFormat="1" applyBorder="1" applyAlignment="1">
      <alignment horizontal="center" vertical="center"/>
    </xf>
    <xf numFmtId="168" fontId="0" fillId="34" borderId="58" xfId="0" applyNumberFormat="1" applyFill="1" applyBorder="1"/>
    <xf numFmtId="0" fontId="0" fillId="34" borderId="49" xfId="0" applyFill="1" applyBorder="1" applyAlignment="1">
      <alignment horizontal="center" vertical="center" textRotation="90" wrapText="1"/>
    </xf>
    <xf numFmtId="0" fontId="0" fillId="34" borderId="59" xfId="0" applyFill="1" applyBorder="1" applyAlignment="1">
      <alignment horizontal="center" vertical="center" wrapText="1"/>
    </xf>
    <xf numFmtId="9" fontId="0" fillId="34" borderId="52" xfId="1" applyFont="1" applyFill="1" applyBorder="1" applyAlignment="1">
      <alignment horizontal="center"/>
    </xf>
    <xf numFmtId="0" fontId="2" fillId="30" borderId="54" xfId="0" applyFont="1" applyFill="1" applyBorder="1" applyAlignment="1">
      <alignment horizontal="center" vertical="center" wrapText="1"/>
    </xf>
    <xf numFmtId="168" fontId="0" fillId="0" borderId="37" xfId="0" applyNumberFormat="1" applyBorder="1" applyAlignment="1">
      <alignment vertical="center"/>
    </xf>
    <xf numFmtId="168" fontId="0" fillId="0" borderId="57" xfId="0" applyNumberFormat="1" applyBorder="1" applyAlignment="1">
      <alignment vertical="center"/>
    </xf>
    <xf numFmtId="9" fontId="0" fillId="0" borderId="5" xfId="1" applyFont="1" applyFill="1" applyBorder="1" applyAlignment="1">
      <alignment horizontal="center"/>
    </xf>
    <xf numFmtId="168" fontId="0" fillId="34" borderId="55" xfId="0" applyNumberFormat="1" applyFill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165" fontId="0" fillId="34" borderId="39" xfId="0" applyNumberFormat="1" applyFill="1" applyBorder="1" applyAlignment="1">
      <alignment horizontal="center" vertical="center"/>
    </xf>
    <xf numFmtId="9" fontId="0" fillId="34" borderId="6" xfId="1" applyFont="1" applyFill="1" applyBorder="1" applyAlignment="1">
      <alignment horizontal="center"/>
    </xf>
    <xf numFmtId="9" fontId="0" fillId="34" borderId="33" xfId="1" applyFont="1" applyFill="1" applyBorder="1" applyAlignment="1">
      <alignment horizontal="center"/>
    </xf>
    <xf numFmtId="169" fontId="0" fillId="34" borderId="55" xfId="0" applyNumberFormat="1" applyFill="1" applyBorder="1" applyAlignment="1">
      <alignment horizontal="center" vertical="center"/>
    </xf>
    <xf numFmtId="168" fontId="0" fillId="0" borderId="22" xfId="0" applyNumberFormat="1" applyBorder="1"/>
    <xf numFmtId="168" fontId="0" fillId="0" borderId="39" xfId="0" applyNumberFormat="1" applyBorder="1"/>
    <xf numFmtId="9" fontId="0" fillId="34" borderId="9" xfId="1" applyFont="1" applyFill="1" applyBorder="1"/>
    <xf numFmtId="168" fontId="0" fillId="34" borderId="1" xfId="0" applyNumberFormat="1" applyFill="1" applyBorder="1"/>
    <xf numFmtId="9" fontId="0" fillId="34" borderId="24" xfId="1" applyFont="1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79" fontId="0" fillId="0" borderId="27" xfId="0" applyNumberFormat="1" applyBorder="1" applyAlignment="1">
      <alignment horizontal="center"/>
    </xf>
    <xf numFmtId="0" fontId="2" fillId="35" borderId="0" xfId="0" applyFont="1" applyFill="1"/>
    <xf numFmtId="0" fontId="2" fillId="31" borderId="0" xfId="0" applyFont="1" applyFill="1"/>
    <xf numFmtId="0" fontId="2" fillId="4" borderId="0" xfId="0" applyFont="1" applyFill="1"/>
    <xf numFmtId="0" fontId="2" fillId="3" borderId="27" xfId="0" applyFont="1" applyFill="1" applyBorder="1"/>
    <xf numFmtId="0" fontId="2" fillId="3" borderId="27" xfId="0" applyFont="1" applyFill="1" applyBorder="1" applyAlignment="1">
      <alignment horizontal="center" vertical="center"/>
    </xf>
    <xf numFmtId="176" fontId="0" fillId="0" borderId="27" xfId="0" applyNumberFormat="1" applyBorder="1" applyAlignment="1">
      <alignment horizontal="center"/>
    </xf>
    <xf numFmtId="0" fontId="32" fillId="0" borderId="27" xfId="0" applyFont="1" applyBorder="1" applyAlignment="1">
      <alignment horizontal="center"/>
    </xf>
    <xf numFmtId="14" fontId="32" fillId="0" borderId="27" xfId="0" applyNumberFormat="1" applyFont="1" applyBorder="1" applyAlignment="1">
      <alignment horizontal="center"/>
    </xf>
    <xf numFmtId="0" fontId="34" fillId="3" borderId="27" xfId="0" applyFont="1" applyFill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176" fontId="32" fillId="0" borderId="27" xfId="0" applyNumberFormat="1" applyFont="1" applyBorder="1" applyAlignment="1">
      <alignment horizontal="center"/>
    </xf>
    <xf numFmtId="177" fontId="32" fillId="0" borderId="27" xfId="0" applyNumberFormat="1" applyFont="1" applyBorder="1" applyAlignment="1">
      <alignment horizontal="center"/>
    </xf>
    <xf numFmtId="169" fontId="0" fillId="34" borderId="2" xfId="0" applyNumberFormat="1" applyFill="1" applyBorder="1" applyAlignment="1">
      <alignment horizontal="center" vertical="center"/>
    </xf>
    <xf numFmtId="9" fontId="0" fillId="34" borderId="5" xfId="1" applyFont="1" applyFill="1" applyBorder="1" applyAlignment="1">
      <alignment horizontal="center" vertical="center"/>
    </xf>
    <xf numFmtId="175" fontId="0" fillId="34" borderId="27" xfId="0" applyNumberFormat="1" applyFill="1" applyBorder="1" applyAlignment="1">
      <alignment horizontal="center" vertical="center"/>
    </xf>
    <xf numFmtId="169" fontId="0" fillId="34" borderId="31" xfId="0" applyNumberFormat="1" applyFill="1" applyBorder="1" applyAlignment="1">
      <alignment horizontal="center" vertical="center"/>
    </xf>
    <xf numFmtId="169" fontId="0" fillId="34" borderId="34" xfId="0" applyNumberFormat="1" applyFill="1" applyBorder="1" applyAlignment="1">
      <alignment horizontal="center" vertical="center"/>
    </xf>
    <xf numFmtId="169" fontId="0" fillId="34" borderId="61" xfId="0" applyNumberFormat="1" applyFill="1" applyBorder="1" applyAlignment="1">
      <alignment horizontal="center" vertical="center"/>
    </xf>
    <xf numFmtId="168" fontId="0" fillId="34" borderId="61" xfId="0" applyNumberFormat="1" applyFill="1" applyBorder="1" applyAlignment="1">
      <alignment horizontal="center" vertical="center"/>
    </xf>
    <xf numFmtId="9" fontId="0" fillId="34" borderId="62" xfId="1" applyFont="1" applyFill="1" applyBorder="1" applyAlignment="1">
      <alignment horizontal="center" vertical="center"/>
    </xf>
    <xf numFmtId="174" fontId="0" fillId="34" borderId="61" xfId="0" applyNumberFormat="1" applyFill="1" applyBorder="1" applyAlignment="1">
      <alignment horizontal="center" vertical="center"/>
    </xf>
    <xf numFmtId="0" fontId="2" fillId="30" borderId="28" xfId="0" applyFont="1" applyFill="1" applyBorder="1" applyAlignment="1">
      <alignment horizontal="center" vertical="center"/>
    </xf>
    <xf numFmtId="0" fontId="2" fillId="30" borderId="67" xfId="0" applyFont="1" applyFill="1" applyBorder="1" applyAlignment="1">
      <alignment horizontal="center" vertical="center"/>
    </xf>
    <xf numFmtId="0" fontId="2" fillId="30" borderId="66" xfId="0" applyFont="1" applyFill="1" applyBorder="1" applyAlignment="1">
      <alignment horizontal="center" vertical="center"/>
    </xf>
    <xf numFmtId="0" fontId="0" fillId="34" borderId="37" xfId="0" applyFill="1" applyBorder="1" applyAlignment="1">
      <alignment horizontal="center"/>
    </xf>
    <xf numFmtId="0" fontId="0" fillId="34" borderId="38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0" fontId="0" fillId="34" borderId="63" xfId="0" applyFill="1" applyBorder="1" applyAlignment="1">
      <alignment horizontal="center" vertical="center"/>
    </xf>
    <xf numFmtId="0" fontId="0" fillId="34" borderId="38" xfId="0" applyFill="1" applyBorder="1" applyAlignment="1">
      <alignment horizontal="center" vertical="center"/>
    </xf>
    <xf numFmtId="171" fontId="1" fillId="34" borderId="2" xfId="1" applyNumberFormat="1" applyFont="1" applyFill="1" applyBorder="1" applyAlignment="1">
      <alignment horizontal="center" vertical="center"/>
    </xf>
    <xf numFmtId="171" fontId="1" fillId="34" borderId="27" xfId="1" applyNumberFormat="1" applyFont="1" applyFill="1" applyBorder="1" applyAlignment="1">
      <alignment horizontal="center" vertical="center"/>
    </xf>
    <xf numFmtId="171" fontId="1" fillId="34" borderId="34" xfId="1" applyNumberFormat="1" applyFont="1" applyFill="1" applyBorder="1" applyAlignment="1">
      <alignment horizontal="center" vertical="center"/>
    </xf>
    <xf numFmtId="171" fontId="32" fillId="34" borderId="1" xfId="1" applyNumberFormat="1" applyFont="1" applyFill="1" applyBorder="1" applyAlignment="1">
      <alignment horizontal="center" vertical="center"/>
    </xf>
    <xf numFmtId="171" fontId="32" fillId="34" borderId="27" xfId="1" applyNumberFormat="1" applyFont="1" applyFill="1" applyBorder="1" applyAlignment="1">
      <alignment horizontal="center" vertical="center"/>
    </xf>
    <xf numFmtId="171" fontId="32" fillId="34" borderId="31" xfId="1" applyNumberFormat="1" applyFont="1" applyFill="1" applyBorder="1" applyAlignment="1">
      <alignment horizontal="center" vertical="center"/>
    </xf>
    <xf numFmtId="9" fontId="32" fillId="0" borderId="0" xfId="0" applyNumberFormat="1" applyFont="1"/>
    <xf numFmtId="9" fontId="0" fillId="34" borderId="0" xfId="0" applyNumberFormat="1" applyFill="1"/>
    <xf numFmtId="0" fontId="0" fillId="30" borderId="67" xfId="0" applyFill="1" applyBorder="1" applyAlignment="1">
      <alignment horizontal="center" vertical="center" wrapText="1"/>
    </xf>
    <xf numFmtId="0" fontId="0" fillId="30" borderId="66" xfId="0" applyFill="1" applyBorder="1" applyAlignment="1">
      <alignment horizontal="center" vertical="center" wrapText="1"/>
    </xf>
    <xf numFmtId="0" fontId="0" fillId="30" borderId="68" xfId="0" applyFill="1" applyBorder="1" applyAlignment="1">
      <alignment horizontal="center" vertical="center"/>
    </xf>
    <xf numFmtId="0" fontId="0" fillId="30" borderId="69" xfId="0" applyFill="1" applyBorder="1" applyAlignment="1">
      <alignment horizontal="center" vertical="center"/>
    </xf>
    <xf numFmtId="171" fontId="0" fillId="34" borderId="34" xfId="1" applyNumberFormat="1" applyFont="1" applyFill="1" applyBorder="1" applyAlignment="1">
      <alignment horizontal="center" vertical="center"/>
    </xf>
    <xf numFmtId="2" fontId="0" fillId="34" borderId="0" xfId="0" applyNumberFormat="1" applyFill="1"/>
    <xf numFmtId="174" fontId="0" fillId="34" borderId="0" xfId="0" applyNumberFormat="1" applyFill="1"/>
    <xf numFmtId="179" fontId="0" fillId="34" borderId="0" xfId="0" applyNumberFormat="1" applyFill="1"/>
    <xf numFmtId="165" fontId="0" fillId="34" borderId="0" xfId="0" applyNumberFormat="1" applyFill="1"/>
    <xf numFmtId="181" fontId="0" fillId="34" borderId="0" xfId="0" applyNumberFormat="1" applyFill="1" applyAlignment="1">
      <alignment horizontal="center"/>
    </xf>
    <xf numFmtId="168" fontId="0" fillId="38" borderId="2" xfId="0" applyNumberFormat="1" applyFill="1" applyBorder="1" applyAlignment="1">
      <alignment horizontal="center" vertical="center"/>
    </xf>
    <xf numFmtId="0" fontId="0" fillId="38" borderId="0" xfId="0" applyFill="1" applyAlignment="1">
      <alignment horizontal="center" vertical="center"/>
    </xf>
    <xf numFmtId="168" fontId="32" fillId="38" borderId="34" xfId="0" applyNumberFormat="1" applyFont="1" applyFill="1" applyBorder="1" applyAlignment="1">
      <alignment horizontal="center" vertical="center"/>
    </xf>
    <xf numFmtId="168" fontId="0" fillId="38" borderId="1" xfId="0" applyNumberFormat="1" applyFill="1" applyBorder="1" applyAlignment="1">
      <alignment horizontal="center" vertical="center"/>
    </xf>
    <xf numFmtId="168" fontId="0" fillId="38" borderId="27" xfId="0" applyNumberFormat="1" applyFill="1" applyBorder="1" applyAlignment="1">
      <alignment horizontal="center" vertical="center"/>
    </xf>
    <xf numFmtId="168" fontId="32" fillId="38" borderId="31" xfId="0" applyNumberFormat="1" applyFont="1" applyFill="1" applyBorder="1" applyAlignment="1">
      <alignment horizontal="center" vertical="center"/>
    </xf>
    <xf numFmtId="0" fontId="0" fillId="34" borderId="71" xfId="0" applyFill="1" applyBorder="1" applyAlignment="1">
      <alignment horizontal="center"/>
    </xf>
    <xf numFmtId="0" fontId="0" fillId="34" borderId="71" xfId="0" applyFill="1" applyBorder="1" applyAlignment="1">
      <alignment horizontal="center" vertical="center"/>
    </xf>
    <xf numFmtId="168" fontId="0" fillId="34" borderId="71" xfId="0" applyNumberForma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9" fontId="1" fillId="34" borderId="27" xfId="1" applyFont="1" applyFill="1" applyBorder="1" applyAlignment="1">
      <alignment horizontal="center" vertical="center"/>
    </xf>
    <xf numFmtId="168" fontId="32" fillId="34" borderId="71" xfId="0" applyNumberFormat="1" applyFont="1" applyFill="1" applyBorder="1" applyAlignment="1">
      <alignment horizontal="center" vertical="center"/>
    </xf>
    <xf numFmtId="9" fontId="32" fillId="34" borderId="27" xfId="1" applyFont="1" applyFill="1" applyBorder="1" applyAlignment="1">
      <alignment horizontal="center" vertical="center"/>
    </xf>
    <xf numFmtId="0" fontId="2" fillId="30" borderId="23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170" fontId="0" fillId="0" borderId="71" xfId="0" applyNumberFormat="1" applyBorder="1" applyAlignment="1">
      <alignment horizontal="center" vertical="center"/>
    </xf>
    <xf numFmtId="168" fontId="0" fillId="0" borderId="71" xfId="0" applyNumberFormat="1" applyBorder="1" applyAlignment="1">
      <alignment vertical="center"/>
    </xf>
    <xf numFmtId="165" fontId="0" fillId="34" borderId="71" xfId="0" applyNumberFormat="1" applyFill="1" applyBorder="1" applyAlignment="1">
      <alignment horizontal="center" vertical="center"/>
    </xf>
    <xf numFmtId="168" fontId="0" fillId="0" borderId="71" xfId="0" applyNumberFormat="1" applyBorder="1"/>
    <xf numFmtId="0" fontId="2" fillId="33" borderId="27" xfId="0" applyFont="1" applyFill="1" applyBorder="1" applyAlignment="1">
      <alignment horizontal="center" vertical="center"/>
    </xf>
    <xf numFmtId="0" fontId="2" fillId="32" borderId="27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/>
    </xf>
    <xf numFmtId="0" fontId="27" fillId="3" borderId="27" xfId="0" applyFont="1" applyFill="1" applyBorder="1" applyAlignment="1">
      <alignment horizontal="center" vertical="center" wrapText="1"/>
    </xf>
    <xf numFmtId="9" fontId="27" fillId="3" borderId="27" xfId="1" applyFont="1" applyFill="1" applyBorder="1" applyAlignment="1">
      <alignment horizontal="center" vertical="center"/>
    </xf>
    <xf numFmtId="14" fontId="27" fillId="3" borderId="27" xfId="1" applyNumberFormat="1" applyFont="1" applyFill="1" applyBorder="1" applyAlignment="1">
      <alignment horizontal="center" vertical="center"/>
    </xf>
    <xf numFmtId="167" fontId="27" fillId="3" borderId="27" xfId="0" applyNumberFormat="1" applyFont="1" applyFill="1" applyBorder="1" applyAlignment="1">
      <alignment horizontal="center" vertical="center"/>
    </xf>
    <xf numFmtId="0" fontId="0" fillId="34" borderId="23" xfId="0" applyFill="1" applyBorder="1" applyAlignment="1">
      <alignment horizontal="left" vertical="center" wrapText="1"/>
    </xf>
    <xf numFmtId="0" fontId="32" fillId="34" borderId="23" xfId="0" applyFont="1" applyFill="1" applyBorder="1" applyAlignment="1">
      <alignment horizontal="left" vertical="center"/>
    </xf>
    <xf numFmtId="14" fontId="2" fillId="39" borderId="6" xfId="0" applyNumberFormat="1" applyFont="1" applyFill="1" applyBorder="1" applyAlignment="1">
      <alignment horizontal="center" vertical="center"/>
    </xf>
    <xf numFmtId="0" fontId="0" fillId="40" borderId="27" xfId="0" applyFill="1" applyBorder="1" applyAlignment="1">
      <alignment horizontal="center" vertical="center"/>
    </xf>
    <xf numFmtId="0" fontId="0" fillId="40" borderId="72" xfId="0" applyFill="1" applyBorder="1" applyAlignment="1">
      <alignment horizontal="center" vertical="center"/>
    </xf>
    <xf numFmtId="0" fontId="0" fillId="40" borderId="11" xfId="0" applyFill="1" applyBorder="1" applyAlignment="1">
      <alignment horizontal="center" vertical="center"/>
    </xf>
    <xf numFmtId="0" fontId="0" fillId="40" borderId="6" xfId="0" applyFill="1" applyBorder="1" applyAlignment="1">
      <alignment horizontal="center" vertical="center"/>
    </xf>
    <xf numFmtId="0" fontId="32" fillId="40" borderId="27" xfId="0" applyFont="1" applyFill="1" applyBorder="1" applyAlignment="1">
      <alignment horizontal="center" vertical="center"/>
    </xf>
    <xf numFmtId="0" fontId="32" fillId="40" borderId="72" xfId="0" applyFont="1" applyFill="1" applyBorder="1" applyAlignment="1">
      <alignment horizontal="center" vertical="center"/>
    </xf>
    <xf numFmtId="0" fontId="0" fillId="40" borderId="27" xfId="0" applyFill="1" applyBorder="1"/>
    <xf numFmtId="9" fontId="0" fillId="40" borderId="6" xfId="0" applyNumberFormat="1" applyFill="1" applyBorder="1" applyAlignment="1">
      <alignment horizontal="center" vertical="center"/>
    </xf>
    <xf numFmtId="9" fontId="0" fillId="40" borderId="6" xfId="1" applyFont="1" applyFill="1" applyBorder="1" applyAlignment="1">
      <alignment horizontal="center" vertical="center"/>
    </xf>
    <xf numFmtId="0" fontId="0" fillId="40" borderId="4" xfId="0" applyFill="1" applyBorder="1" applyAlignment="1">
      <alignment horizontal="center" vertical="center"/>
    </xf>
    <xf numFmtId="0" fontId="0" fillId="40" borderId="2" xfId="0" applyFill="1" applyBorder="1" applyAlignment="1">
      <alignment horizontal="center" vertical="center"/>
    </xf>
    <xf numFmtId="0" fontId="0" fillId="40" borderId="77" xfId="0" applyFill="1" applyBorder="1" applyAlignment="1">
      <alignment horizontal="center" vertical="center"/>
    </xf>
    <xf numFmtId="0" fontId="0" fillId="40" borderId="5" xfId="0" applyFill="1" applyBorder="1" applyAlignment="1">
      <alignment horizontal="center" vertical="center"/>
    </xf>
    <xf numFmtId="0" fontId="30" fillId="40" borderId="11" xfId="0" applyFont="1" applyFill="1" applyBorder="1" applyAlignment="1">
      <alignment horizontal="center" vertical="center"/>
    </xf>
    <xf numFmtId="0" fontId="0" fillId="40" borderId="26" xfId="0" applyFill="1" applyBorder="1" applyAlignment="1">
      <alignment horizontal="center" vertical="center"/>
    </xf>
    <xf numFmtId="0" fontId="0" fillId="40" borderId="31" xfId="0" applyFill="1" applyBorder="1" applyAlignment="1">
      <alignment horizontal="center" vertical="center"/>
    </xf>
    <xf numFmtId="0" fontId="0" fillId="40" borderId="78" xfId="0" applyFill="1" applyBorder="1" applyAlignment="1">
      <alignment horizontal="center" vertical="center"/>
    </xf>
    <xf numFmtId="9" fontId="0" fillId="40" borderId="33" xfId="1" applyFont="1" applyFill="1" applyBorder="1" applyAlignment="1">
      <alignment horizontal="center" vertical="center"/>
    </xf>
    <xf numFmtId="0" fontId="0" fillId="41" borderId="4" xfId="0" applyFill="1" applyBorder="1" applyAlignment="1">
      <alignment horizontal="center" vertical="center"/>
    </xf>
    <xf numFmtId="0" fontId="32" fillId="41" borderId="2" xfId="0" applyFont="1" applyFill="1" applyBorder="1" applyAlignment="1">
      <alignment horizontal="center" vertical="center"/>
    </xf>
    <xf numFmtId="0" fontId="32" fillId="41" borderId="77" xfId="0" applyFont="1" applyFill="1" applyBorder="1" applyAlignment="1">
      <alignment horizontal="center" vertical="center"/>
    </xf>
    <xf numFmtId="0" fontId="0" fillId="41" borderId="2" xfId="0" applyFill="1" applyBorder="1" applyAlignment="1">
      <alignment horizontal="center" vertical="center"/>
    </xf>
    <xf numFmtId="9" fontId="0" fillId="41" borderId="5" xfId="1" applyFont="1" applyFill="1" applyBorder="1" applyAlignment="1">
      <alignment horizontal="center" vertical="center"/>
    </xf>
    <xf numFmtId="0" fontId="0" fillId="41" borderId="11" xfId="0" applyFill="1" applyBorder="1" applyAlignment="1">
      <alignment horizontal="center" vertical="center"/>
    </xf>
    <xf numFmtId="0" fontId="32" fillId="41" borderId="27" xfId="0" applyFont="1" applyFill="1" applyBorder="1" applyAlignment="1">
      <alignment horizontal="center" vertical="center"/>
    </xf>
    <xf numFmtId="0" fontId="32" fillId="41" borderId="72" xfId="0" applyFont="1" applyFill="1" applyBorder="1" applyAlignment="1">
      <alignment horizontal="center" vertical="center"/>
    </xf>
    <xf numFmtId="0" fontId="0" fillId="41" borderId="27" xfId="0" applyFill="1" applyBorder="1" applyAlignment="1">
      <alignment horizontal="center" vertical="center"/>
    </xf>
    <xf numFmtId="9" fontId="0" fillId="41" borderId="6" xfId="1" applyFont="1" applyFill="1" applyBorder="1" applyAlignment="1">
      <alignment horizontal="center" vertical="center"/>
    </xf>
    <xf numFmtId="0" fontId="0" fillId="41" borderId="26" xfId="0" applyFill="1" applyBorder="1" applyAlignment="1">
      <alignment horizontal="center" vertical="center"/>
    </xf>
    <xf numFmtId="0" fontId="32" fillId="41" borderId="31" xfId="0" applyFont="1" applyFill="1" applyBorder="1" applyAlignment="1">
      <alignment horizontal="center" vertical="center"/>
    </xf>
    <xf numFmtId="0" fontId="32" fillId="41" borderId="78" xfId="0" applyFont="1" applyFill="1" applyBorder="1" applyAlignment="1">
      <alignment horizontal="center" vertical="center"/>
    </xf>
    <xf numFmtId="0" fontId="0" fillId="41" borderId="31" xfId="0" applyFill="1" applyBorder="1" applyAlignment="1">
      <alignment horizontal="center" vertical="center"/>
    </xf>
    <xf numFmtId="0" fontId="0" fillId="42" borderId="4" xfId="0" applyFill="1" applyBorder="1" applyAlignment="1">
      <alignment horizontal="center" vertical="center"/>
    </xf>
    <xf numFmtId="0" fontId="32" fillId="42" borderId="2" xfId="0" applyFont="1" applyFill="1" applyBorder="1" applyAlignment="1">
      <alignment horizontal="center" vertical="center"/>
    </xf>
    <xf numFmtId="0" fontId="32" fillId="42" borderId="77" xfId="0" applyFont="1" applyFill="1" applyBorder="1" applyAlignment="1">
      <alignment horizontal="center" vertical="center"/>
    </xf>
    <xf numFmtId="0" fontId="0" fillId="42" borderId="2" xfId="0" applyFill="1" applyBorder="1" applyAlignment="1">
      <alignment horizontal="center" vertical="center"/>
    </xf>
    <xf numFmtId="9" fontId="0" fillId="42" borderId="5" xfId="1" applyFont="1" applyFill="1" applyBorder="1" applyAlignment="1">
      <alignment horizontal="center" vertical="center"/>
    </xf>
    <xf numFmtId="0" fontId="0" fillId="42" borderId="11" xfId="0" applyFill="1" applyBorder="1" applyAlignment="1">
      <alignment horizontal="center" vertical="center"/>
    </xf>
    <xf numFmtId="0" fontId="32" fillId="42" borderId="27" xfId="0" applyFont="1" applyFill="1" applyBorder="1" applyAlignment="1">
      <alignment horizontal="center" vertical="center"/>
    </xf>
    <xf numFmtId="0" fontId="32" fillId="42" borderId="72" xfId="0" applyFont="1" applyFill="1" applyBorder="1" applyAlignment="1">
      <alignment horizontal="center" vertical="center"/>
    </xf>
    <xf numFmtId="0" fontId="0" fillId="42" borderId="27" xfId="0" applyFill="1" applyBorder="1" applyAlignment="1">
      <alignment horizontal="center" vertical="center"/>
    </xf>
    <xf numFmtId="9" fontId="0" fillId="42" borderId="6" xfId="1" applyFont="1" applyFill="1" applyBorder="1" applyAlignment="1">
      <alignment horizontal="center" vertical="center"/>
    </xf>
    <xf numFmtId="0" fontId="0" fillId="42" borderId="26" xfId="0" applyFill="1" applyBorder="1" applyAlignment="1">
      <alignment horizontal="center" vertical="center"/>
    </xf>
    <xf numFmtId="0" fontId="32" fillId="42" borderId="31" xfId="0" applyFont="1" applyFill="1" applyBorder="1" applyAlignment="1">
      <alignment horizontal="center" vertical="center"/>
    </xf>
    <xf numFmtId="0" fontId="32" fillId="42" borderId="78" xfId="0" applyFont="1" applyFill="1" applyBorder="1" applyAlignment="1">
      <alignment horizontal="center" vertical="center"/>
    </xf>
    <xf numFmtId="0" fontId="0" fillId="42" borderId="31" xfId="0" applyFill="1" applyBorder="1" applyAlignment="1">
      <alignment horizontal="center" vertical="center"/>
    </xf>
    <xf numFmtId="9" fontId="0" fillId="42" borderId="33" xfId="1" applyFont="1" applyFill="1" applyBorder="1" applyAlignment="1">
      <alignment horizontal="center" vertical="center"/>
    </xf>
    <xf numFmtId="0" fontId="0" fillId="42" borderId="74" xfId="0" applyFill="1" applyBorder="1" applyAlignment="1">
      <alignment horizontal="center" vertical="center"/>
    </xf>
    <xf numFmtId="0" fontId="2" fillId="41" borderId="27" xfId="0" applyFont="1" applyFill="1" applyBorder="1" applyAlignment="1">
      <alignment horizontal="center"/>
    </xf>
    <xf numFmtId="0" fontId="0" fillId="41" borderId="6" xfId="0" applyFill="1" applyBorder="1" applyAlignment="1">
      <alignment horizontal="center" vertical="center"/>
    </xf>
    <xf numFmtId="0" fontId="0" fillId="41" borderId="0" xfId="0" applyFill="1" applyAlignment="1">
      <alignment horizontal="center" vertical="center"/>
    </xf>
    <xf numFmtId="0" fontId="30" fillId="41" borderId="11" xfId="0" applyFont="1" applyFill="1" applyBorder="1" applyAlignment="1">
      <alignment horizontal="center" vertical="center"/>
    </xf>
    <xf numFmtId="0" fontId="0" fillId="41" borderId="33" xfId="0" applyFill="1" applyBorder="1" applyAlignment="1">
      <alignment horizontal="center" vertical="center"/>
    </xf>
    <xf numFmtId="0" fontId="0" fillId="42" borderId="72" xfId="0" applyFill="1" applyBorder="1" applyAlignment="1">
      <alignment horizontal="center" vertical="center"/>
    </xf>
    <xf numFmtId="0" fontId="2" fillId="42" borderId="27" xfId="0" applyFont="1" applyFill="1" applyBorder="1" applyAlignment="1">
      <alignment horizontal="center"/>
    </xf>
    <xf numFmtId="0" fontId="0" fillId="42" borderId="6" xfId="0" applyFill="1" applyBorder="1" applyAlignment="1">
      <alignment horizontal="center" vertical="center"/>
    </xf>
    <xf numFmtId="0" fontId="0" fillId="42" borderId="77" xfId="0" applyFill="1" applyBorder="1" applyAlignment="1">
      <alignment horizontal="center" vertical="center"/>
    </xf>
    <xf numFmtId="0" fontId="0" fillId="42" borderId="5" xfId="0" applyFill="1" applyBorder="1" applyAlignment="1">
      <alignment horizontal="center" vertical="center"/>
    </xf>
    <xf numFmtId="0" fontId="0" fillId="42" borderId="78" xfId="0" applyFill="1" applyBorder="1" applyAlignment="1">
      <alignment horizontal="center" vertical="center"/>
    </xf>
    <xf numFmtId="0" fontId="0" fillId="42" borderId="33" xfId="0" applyFill="1" applyBorder="1" applyAlignment="1">
      <alignment horizontal="center" vertical="center"/>
    </xf>
    <xf numFmtId="0" fontId="0" fillId="40" borderId="27" xfId="0" applyFill="1" applyBorder="1" applyAlignment="1">
      <alignment horizontal="center"/>
    </xf>
    <xf numFmtId="0" fontId="0" fillId="41" borderId="77" xfId="0" applyFill="1" applyBorder="1" applyAlignment="1">
      <alignment horizontal="center" vertical="center"/>
    </xf>
    <xf numFmtId="0" fontId="2" fillId="41" borderId="2" xfId="0" applyFont="1" applyFill="1" applyBorder="1" applyAlignment="1">
      <alignment horizontal="center" vertical="center"/>
    </xf>
    <xf numFmtId="0" fontId="0" fillId="41" borderId="5" xfId="0" applyFill="1" applyBorder="1" applyAlignment="1">
      <alignment horizontal="center" vertical="center"/>
    </xf>
    <xf numFmtId="0" fontId="0" fillId="41" borderId="72" xfId="0" applyFill="1" applyBorder="1" applyAlignment="1">
      <alignment horizontal="center" vertical="center"/>
    </xf>
    <xf numFmtId="0" fontId="0" fillId="41" borderId="78" xfId="0" applyFill="1" applyBorder="1" applyAlignment="1">
      <alignment horizontal="center" vertical="center"/>
    </xf>
    <xf numFmtId="0" fontId="2" fillId="41" borderId="31" xfId="0" applyFont="1" applyFill="1" applyBorder="1" applyAlignment="1">
      <alignment horizontal="center" vertical="center"/>
    </xf>
    <xf numFmtId="0" fontId="0" fillId="42" borderId="1" xfId="0" applyFill="1" applyBorder="1" applyAlignment="1">
      <alignment horizontal="center" vertical="center"/>
    </xf>
    <xf numFmtId="0" fontId="0" fillId="42" borderId="3" xfId="0" applyFill="1" applyBorder="1" applyAlignment="1">
      <alignment horizontal="center" vertical="center"/>
    </xf>
    <xf numFmtId="0" fontId="0" fillId="42" borderId="20" xfId="0" applyFill="1" applyBorder="1" applyAlignment="1">
      <alignment horizontal="center" vertical="center"/>
    </xf>
    <xf numFmtId="0" fontId="2" fillId="42" borderId="1" xfId="0" applyFont="1" applyFill="1" applyBorder="1" applyAlignment="1">
      <alignment horizontal="center"/>
    </xf>
    <xf numFmtId="0" fontId="0" fillId="42" borderId="24" xfId="0" applyFill="1" applyBorder="1" applyAlignment="1">
      <alignment horizontal="center" vertical="center"/>
    </xf>
    <xf numFmtId="0" fontId="2" fillId="42" borderId="27" xfId="0" applyFont="1" applyFill="1" applyBorder="1" applyAlignment="1">
      <alignment horizontal="center" vertical="center"/>
    </xf>
    <xf numFmtId="10" fontId="0" fillId="0" borderId="6" xfId="1" applyNumberFormat="1" applyFont="1" applyFill="1" applyBorder="1" applyAlignment="1">
      <alignment horizontal="center"/>
    </xf>
    <xf numFmtId="10" fontId="0" fillId="0" borderId="6" xfId="1" applyNumberFormat="1" applyFont="1" applyBorder="1" applyAlignment="1">
      <alignment horizontal="center" vertical="center"/>
    </xf>
    <xf numFmtId="0" fontId="0" fillId="42" borderId="23" xfId="0" applyFill="1" applyBorder="1" applyAlignment="1">
      <alignment horizontal="center" vertical="center"/>
    </xf>
    <xf numFmtId="0" fontId="0" fillId="42" borderId="79" xfId="0" applyFill="1" applyBorder="1" applyAlignment="1">
      <alignment horizontal="center" vertical="center"/>
    </xf>
    <xf numFmtId="0" fontId="2" fillId="42" borderId="23" xfId="0" applyFont="1" applyFill="1" applyBorder="1" applyAlignment="1">
      <alignment horizontal="center" vertical="center"/>
    </xf>
    <xf numFmtId="0" fontId="0" fillId="42" borderId="73" xfId="0" applyFill="1" applyBorder="1" applyAlignment="1">
      <alignment horizontal="center" vertical="center"/>
    </xf>
    <xf numFmtId="0" fontId="0" fillId="42" borderId="30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24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40" borderId="2" xfId="0" applyFont="1" applyFill="1" applyBorder="1" applyAlignment="1">
      <alignment horizontal="center"/>
    </xf>
    <xf numFmtId="0" fontId="2" fillId="40" borderId="27" xfId="0" applyFont="1" applyFill="1" applyBorder="1" applyAlignment="1">
      <alignment horizontal="center"/>
    </xf>
    <xf numFmtId="0" fontId="2" fillId="40" borderId="27" xfId="0" applyFont="1" applyFill="1" applyBorder="1" applyAlignment="1">
      <alignment horizontal="center" vertical="center"/>
    </xf>
    <xf numFmtId="0" fontId="32" fillId="40" borderId="31" xfId="0" applyFont="1" applyFill="1" applyBorder="1" applyAlignment="1">
      <alignment horizontal="center" vertical="center"/>
    </xf>
    <xf numFmtId="0" fontId="2" fillId="40" borderId="31" xfId="0" applyFont="1" applyFill="1" applyBorder="1" applyAlignment="1">
      <alignment horizontal="center"/>
    </xf>
    <xf numFmtId="0" fontId="0" fillId="40" borderId="33" xfId="0" applyFill="1" applyBorder="1" applyAlignment="1">
      <alignment horizontal="center" vertical="center"/>
    </xf>
    <xf numFmtId="0" fontId="30" fillId="42" borderId="11" xfId="0" applyFont="1" applyFill="1" applyBorder="1" applyAlignment="1">
      <alignment horizontal="center" vertical="center"/>
    </xf>
    <xf numFmtId="0" fontId="30" fillId="42" borderId="27" xfId="0" applyFont="1" applyFill="1" applyBorder="1" applyAlignment="1">
      <alignment horizontal="center" vertical="center"/>
    </xf>
    <xf numFmtId="0" fontId="30" fillId="42" borderId="6" xfId="0" applyFont="1" applyFill="1" applyBorder="1" applyAlignment="1">
      <alignment horizontal="center" vertical="center"/>
    </xf>
    <xf numFmtId="0" fontId="2" fillId="42" borderId="31" xfId="0" applyFont="1" applyFill="1" applyBorder="1" applyAlignment="1">
      <alignment horizontal="center" vertical="center"/>
    </xf>
    <xf numFmtId="0" fontId="0" fillId="40" borderId="73" xfId="0" applyFill="1" applyBorder="1" applyAlignment="1">
      <alignment horizontal="center" vertical="center"/>
    </xf>
    <xf numFmtId="0" fontId="0" fillId="40" borderId="23" xfId="0" applyFill="1" applyBorder="1" applyAlignment="1">
      <alignment horizontal="center" vertical="center"/>
    </xf>
    <xf numFmtId="0" fontId="0" fillId="40" borderId="79" xfId="0" applyFill="1" applyBorder="1" applyAlignment="1">
      <alignment horizontal="center" vertical="center"/>
    </xf>
    <xf numFmtId="9" fontId="0" fillId="40" borderId="30" xfId="1" applyFont="1" applyFill="1" applyBorder="1" applyAlignment="1">
      <alignment horizontal="center" vertical="center"/>
    </xf>
    <xf numFmtId="0" fontId="0" fillId="43" borderId="11" xfId="0" applyFill="1" applyBorder="1" applyAlignment="1">
      <alignment horizontal="center" vertical="center"/>
    </xf>
    <xf numFmtId="0" fontId="0" fillId="43" borderId="27" xfId="0" applyFill="1" applyBorder="1" applyAlignment="1">
      <alignment horizontal="center" vertical="center"/>
    </xf>
    <xf numFmtId="0" fontId="32" fillId="43" borderId="72" xfId="0" applyFont="1" applyFill="1" applyBorder="1" applyAlignment="1">
      <alignment horizontal="center" vertical="center"/>
    </xf>
    <xf numFmtId="0" fontId="0" fillId="41" borderId="27" xfId="0" applyFill="1" applyBorder="1" applyAlignment="1">
      <alignment horizontal="center"/>
    </xf>
    <xf numFmtId="0" fontId="0" fillId="41" borderId="27" xfId="0" applyFill="1" applyBorder="1"/>
    <xf numFmtId="0" fontId="0" fillId="41" borderId="31" xfId="0" applyFill="1" applyBorder="1" applyAlignment="1">
      <alignment horizontal="center"/>
    </xf>
    <xf numFmtId="0" fontId="0" fillId="42" borderId="27" xfId="0" applyFill="1" applyBorder="1" applyAlignment="1">
      <alignment horizontal="center"/>
    </xf>
    <xf numFmtId="0" fontId="0" fillId="42" borderId="31" xfId="0" applyFill="1" applyBorder="1" applyAlignment="1">
      <alignment horizontal="center"/>
    </xf>
    <xf numFmtId="0" fontId="2" fillId="30" borderId="68" xfId="0" applyFont="1" applyFill="1" applyBorder="1" applyAlignment="1">
      <alignment horizontal="center" vertical="center"/>
    </xf>
    <xf numFmtId="0" fontId="2" fillId="30" borderId="69" xfId="0" applyFont="1" applyFill="1" applyBorder="1" applyAlignment="1">
      <alignment horizontal="center" vertical="center"/>
    </xf>
    <xf numFmtId="0" fontId="0" fillId="34" borderId="56" xfId="0" applyFill="1" applyBorder="1" applyAlignment="1">
      <alignment horizontal="center" vertical="center"/>
    </xf>
    <xf numFmtId="0" fontId="0" fillId="34" borderId="58" xfId="0" applyFill="1" applyBorder="1" applyAlignment="1">
      <alignment horizontal="center" vertical="center"/>
    </xf>
    <xf numFmtId="0" fontId="2" fillId="29" borderId="40" xfId="0" applyFont="1" applyFill="1" applyBorder="1" applyAlignment="1">
      <alignment horizontal="center" vertical="center"/>
    </xf>
    <xf numFmtId="0" fontId="2" fillId="29" borderId="41" xfId="0" applyFont="1" applyFill="1" applyBorder="1" applyAlignment="1">
      <alignment horizontal="center" vertical="center"/>
    </xf>
    <xf numFmtId="0" fontId="2" fillId="29" borderId="42" xfId="0" applyFont="1" applyFill="1" applyBorder="1" applyAlignment="1">
      <alignment horizontal="center" vertical="center"/>
    </xf>
    <xf numFmtId="0" fontId="2" fillId="29" borderId="43" xfId="0" applyFont="1" applyFill="1" applyBorder="1" applyAlignment="1">
      <alignment horizontal="center" vertical="center"/>
    </xf>
    <xf numFmtId="0" fontId="2" fillId="29" borderId="0" xfId="0" applyFont="1" applyFill="1" applyAlignment="1">
      <alignment horizontal="center" vertical="center"/>
    </xf>
    <xf numFmtId="0" fontId="2" fillId="29" borderId="44" xfId="0" applyFont="1" applyFill="1" applyBorder="1" applyAlignment="1">
      <alignment horizontal="center" vertical="center"/>
    </xf>
    <xf numFmtId="0" fontId="0" fillId="30" borderId="65" xfId="0" applyFill="1" applyBorder="1" applyAlignment="1">
      <alignment horizontal="center" vertical="center" wrapText="1"/>
    </xf>
    <xf numFmtId="0" fontId="0" fillId="30" borderId="66" xfId="0" applyFill="1" applyBorder="1" applyAlignment="1">
      <alignment horizontal="center" vertical="center" wrapText="1"/>
    </xf>
    <xf numFmtId="0" fontId="2" fillId="30" borderId="67" xfId="0" applyFont="1" applyFill="1" applyBorder="1" applyAlignment="1">
      <alignment horizontal="center" vertical="center"/>
    </xf>
    <xf numFmtId="0" fontId="2" fillId="30" borderId="65" xfId="0" applyFont="1" applyFill="1" applyBorder="1" applyAlignment="1">
      <alignment horizontal="center" vertical="center"/>
    </xf>
    <xf numFmtId="0" fontId="2" fillId="30" borderId="66" xfId="0" applyFont="1" applyFill="1" applyBorder="1" applyAlignment="1">
      <alignment horizontal="center" vertical="center"/>
    </xf>
    <xf numFmtId="0" fontId="2" fillId="30" borderId="64" xfId="0" applyFont="1" applyFill="1" applyBorder="1" applyAlignment="1">
      <alignment horizontal="center" vertical="center"/>
    </xf>
    <xf numFmtId="0" fontId="0" fillId="34" borderId="63" xfId="0" applyFill="1" applyBorder="1" applyAlignment="1">
      <alignment horizontal="center" vertical="center"/>
    </xf>
    <xf numFmtId="0" fontId="0" fillId="34" borderId="38" xfId="0" applyFill="1" applyBorder="1" applyAlignment="1">
      <alignment horizontal="center" vertical="center"/>
    </xf>
    <xf numFmtId="0" fontId="0" fillId="30" borderId="64" xfId="0" applyFill="1" applyBorder="1" applyAlignment="1">
      <alignment horizontal="center" vertical="center"/>
    </xf>
    <xf numFmtId="0" fontId="0" fillId="30" borderId="65" xfId="0" applyFill="1" applyBorder="1" applyAlignment="1">
      <alignment horizontal="center" vertical="center"/>
    </xf>
    <xf numFmtId="0" fontId="0" fillId="30" borderId="66" xfId="0" applyFill="1" applyBorder="1" applyAlignment="1">
      <alignment horizontal="center" vertical="center"/>
    </xf>
    <xf numFmtId="0" fontId="0" fillId="30" borderId="68" xfId="0" applyFill="1" applyBorder="1" applyAlignment="1">
      <alignment horizontal="center" vertical="center"/>
    </xf>
    <xf numFmtId="0" fontId="0" fillId="30" borderId="67" xfId="0" applyFill="1" applyBorder="1" applyAlignment="1">
      <alignment horizontal="center" vertical="center" wrapText="1"/>
    </xf>
    <xf numFmtId="0" fontId="0" fillId="30" borderId="70" xfId="0" applyFill="1" applyBorder="1" applyAlignment="1">
      <alignment horizontal="center" vertical="center" wrapText="1"/>
    </xf>
    <xf numFmtId="0" fontId="0" fillId="30" borderId="60" xfId="0" applyFill="1" applyBorder="1" applyAlignment="1">
      <alignment horizontal="center" vertical="center" wrapText="1"/>
    </xf>
    <xf numFmtId="0" fontId="2" fillId="29" borderId="45" xfId="0" applyFont="1" applyFill="1" applyBorder="1" applyAlignment="1">
      <alignment horizontal="center" vertical="center"/>
    </xf>
    <xf numFmtId="0" fontId="2" fillId="29" borderId="46" xfId="0" applyFont="1" applyFill="1" applyBorder="1" applyAlignment="1">
      <alignment horizontal="center" vertical="center"/>
    </xf>
    <xf numFmtId="0" fontId="2" fillId="29" borderId="47" xfId="0" applyFont="1" applyFill="1" applyBorder="1" applyAlignment="1">
      <alignment horizontal="center" vertical="center"/>
    </xf>
    <xf numFmtId="166" fontId="2" fillId="29" borderId="43" xfId="0" applyNumberFormat="1" applyFont="1" applyFill="1" applyBorder="1" applyAlignment="1">
      <alignment horizontal="center" vertical="center"/>
    </xf>
    <xf numFmtId="166" fontId="2" fillId="29" borderId="0" xfId="0" applyNumberFormat="1" applyFont="1" applyFill="1" applyAlignment="1">
      <alignment horizontal="center" vertical="center"/>
    </xf>
    <xf numFmtId="166" fontId="2" fillId="29" borderId="44" xfId="0" applyNumberFormat="1" applyFont="1" applyFill="1" applyBorder="1" applyAlignment="1">
      <alignment horizontal="center" vertical="center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1" xfId="0" applyFont="1" applyFill="1" applyBorder="1" applyAlignment="1">
      <alignment horizontal="center" vertical="center" wrapText="1"/>
    </xf>
    <xf numFmtId="0" fontId="2" fillId="34" borderId="26" xfId="0" applyFont="1" applyFill="1" applyBorder="1" applyAlignment="1">
      <alignment horizontal="center" vertical="center" wrapText="1"/>
    </xf>
    <xf numFmtId="166" fontId="2" fillId="29" borderId="45" xfId="0" applyNumberFormat="1" applyFont="1" applyFill="1" applyBorder="1" applyAlignment="1">
      <alignment horizontal="center" vertical="center"/>
    </xf>
    <xf numFmtId="166" fontId="2" fillId="29" borderId="46" xfId="0" applyNumberFormat="1" applyFont="1" applyFill="1" applyBorder="1" applyAlignment="1">
      <alignment horizontal="center" vertical="center"/>
    </xf>
    <xf numFmtId="166" fontId="2" fillId="29" borderId="4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4" borderId="11" xfId="0" applyFont="1" applyFill="1" applyBorder="1" applyAlignment="1">
      <alignment horizontal="center" vertical="center"/>
    </xf>
    <xf numFmtId="0" fontId="2" fillId="34" borderId="35" xfId="0" applyFont="1" applyFill="1" applyBorder="1" applyAlignment="1">
      <alignment horizontal="center" vertical="center"/>
    </xf>
    <xf numFmtId="0" fontId="34" fillId="34" borderId="27" xfId="0" applyFont="1" applyFill="1" applyBorder="1" applyAlignment="1">
      <alignment horizontal="center" vertical="center"/>
    </xf>
    <xf numFmtId="0" fontId="2" fillId="34" borderId="48" xfId="0" applyFont="1" applyFill="1" applyBorder="1" applyAlignment="1">
      <alignment horizontal="center" vertical="center" wrapText="1"/>
    </xf>
    <xf numFmtId="0" fontId="2" fillId="34" borderId="49" xfId="0" applyFont="1" applyFill="1" applyBorder="1" applyAlignment="1">
      <alignment horizontal="center" vertical="center" wrapText="1"/>
    </xf>
    <xf numFmtId="0" fontId="2" fillId="34" borderId="28" xfId="0" applyFont="1" applyFill="1" applyBorder="1" applyAlignment="1">
      <alignment horizontal="center" vertical="center" wrapText="1"/>
    </xf>
    <xf numFmtId="0" fontId="2" fillId="34" borderId="5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6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34" borderId="0" xfId="0" applyNumberFormat="1" applyFont="1" applyFill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4" fontId="2" fillId="29" borderId="45" xfId="0" applyNumberFormat="1" applyFont="1" applyFill="1" applyBorder="1" applyAlignment="1">
      <alignment horizontal="center" vertical="center"/>
    </xf>
    <xf numFmtId="14" fontId="2" fillId="29" borderId="46" xfId="0" applyNumberFormat="1" applyFont="1" applyFill="1" applyBorder="1" applyAlignment="1">
      <alignment horizontal="center" vertical="center"/>
    </xf>
    <xf numFmtId="14" fontId="2" fillId="29" borderId="47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4" fontId="2" fillId="2" borderId="45" xfId="0" applyNumberFormat="1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37" fillId="34" borderId="0" xfId="0" applyFont="1" applyFill="1" applyAlignment="1">
      <alignment horizontal="center" vertical="center"/>
    </xf>
    <xf numFmtId="171" fontId="0" fillId="40" borderId="32" xfId="1" applyNumberFormat="1" applyFont="1" applyFill="1" applyBorder="1" applyAlignment="1">
      <alignment horizontal="center" vertical="center"/>
    </xf>
    <xf numFmtId="171" fontId="0" fillId="40" borderId="76" xfId="1" applyNumberFormat="1" applyFont="1" applyFill="1" applyBorder="1" applyAlignment="1">
      <alignment horizontal="center" vertical="center"/>
    </xf>
    <xf numFmtId="171" fontId="0" fillId="40" borderId="52" xfId="1" applyNumberFormat="1" applyFont="1" applyFill="1" applyBorder="1" applyAlignment="1">
      <alignment horizontal="center" vertical="center"/>
    </xf>
    <xf numFmtId="171" fontId="0" fillId="42" borderId="32" xfId="1" applyNumberFormat="1" applyFont="1" applyFill="1" applyBorder="1" applyAlignment="1">
      <alignment horizontal="center" vertical="center"/>
    </xf>
    <xf numFmtId="171" fontId="0" fillId="42" borderId="76" xfId="1" applyNumberFormat="1" applyFont="1" applyFill="1" applyBorder="1" applyAlignment="1">
      <alignment horizontal="center" vertical="center"/>
    </xf>
    <xf numFmtId="171" fontId="0" fillId="42" borderId="52" xfId="1" applyNumberFormat="1" applyFont="1" applyFill="1" applyBorder="1" applyAlignment="1">
      <alignment horizontal="center" vertical="center"/>
    </xf>
    <xf numFmtId="0" fontId="0" fillId="40" borderId="29" xfId="0" applyFill="1" applyBorder="1" applyAlignment="1">
      <alignment horizontal="center" vertical="center"/>
    </xf>
    <xf numFmtId="0" fontId="0" fillId="40" borderId="75" xfId="0" applyFill="1" applyBorder="1" applyAlignment="1">
      <alignment horizontal="center" vertical="center"/>
    </xf>
    <xf numFmtId="0" fontId="0" fillId="40" borderId="25" xfId="0" applyFill="1" applyBorder="1" applyAlignment="1">
      <alignment horizontal="center" vertical="center"/>
    </xf>
    <xf numFmtId="0" fontId="0" fillId="43" borderId="75" xfId="0" applyFill="1" applyBorder="1" applyAlignment="1">
      <alignment horizontal="center" vertical="center"/>
    </xf>
    <xf numFmtId="14" fontId="0" fillId="40" borderId="29" xfId="0" applyNumberFormat="1" applyFill="1" applyBorder="1" applyAlignment="1">
      <alignment horizontal="center" vertical="center"/>
    </xf>
    <xf numFmtId="14" fontId="0" fillId="40" borderId="75" xfId="0" applyNumberFormat="1" applyFill="1" applyBorder="1" applyAlignment="1">
      <alignment horizontal="center" vertical="center"/>
    </xf>
    <xf numFmtId="14" fontId="0" fillId="40" borderId="25" xfId="0" applyNumberFormat="1" applyFill="1" applyBorder="1" applyAlignment="1">
      <alignment horizontal="center" vertical="center"/>
    </xf>
    <xf numFmtId="0" fontId="0" fillId="40" borderId="28" xfId="0" applyFill="1" applyBorder="1" applyAlignment="1">
      <alignment horizontal="center" vertical="center"/>
    </xf>
    <xf numFmtId="0" fontId="0" fillId="40" borderId="48" xfId="0" applyFill="1" applyBorder="1" applyAlignment="1">
      <alignment horizontal="center" vertical="center"/>
    </xf>
    <xf numFmtId="0" fontId="0" fillId="40" borderId="49" xfId="0" applyFill="1" applyBorder="1" applyAlignment="1">
      <alignment horizontal="center" vertical="center"/>
    </xf>
    <xf numFmtId="0" fontId="0" fillId="42" borderId="29" xfId="0" applyFill="1" applyBorder="1" applyAlignment="1">
      <alignment horizontal="center" vertical="center"/>
    </xf>
    <xf numFmtId="0" fontId="0" fillId="42" borderId="75" xfId="0" applyFill="1" applyBorder="1" applyAlignment="1">
      <alignment horizontal="center" vertical="center"/>
    </xf>
    <xf numFmtId="0" fontId="0" fillId="42" borderId="25" xfId="0" applyFill="1" applyBorder="1" applyAlignment="1">
      <alignment horizontal="center" vertical="center"/>
    </xf>
    <xf numFmtId="14" fontId="0" fillId="42" borderId="29" xfId="0" applyNumberFormat="1" applyFill="1" applyBorder="1" applyAlignment="1">
      <alignment horizontal="center" vertical="center"/>
    </xf>
    <xf numFmtId="14" fontId="0" fillId="42" borderId="75" xfId="0" applyNumberFormat="1" applyFill="1" applyBorder="1" applyAlignment="1">
      <alignment horizontal="center" vertical="center"/>
    </xf>
    <xf numFmtId="14" fontId="0" fillId="42" borderId="25" xfId="0" applyNumberFormat="1" applyFill="1" applyBorder="1" applyAlignment="1">
      <alignment horizontal="center" vertical="center"/>
    </xf>
    <xf numFmtId="0" fontId="0" fillId="42" borderId="28" xfId="0" applyFill="1" applyBorder="1" applyAlignment="1">
      <alignment horizontal="center" vertical="center"/>
    </xf>
    <xf numFmtId="0" fontId="0" fillId="42" borderId="48" xfId="0" applyFill="1" applyBorder="1" applyAlignment="1">
      <alignment horizontal="center" vertical="center"/>
    </xf>
    <xf numFmtId="0" fontId="0" fillId="42" borderId="49" xfId="0" applyFill="1" applyBorder="1" applyAlignment="1">
      <alignment horizontal="center" vertical="center"/>
    </xf>
    <xf numFmtId="171" fontId="0" fillId="41" borderId="32" xfId="1" applyNumberFormat="1" applyFont="1" applyFill="1" applyBorder="1" applyAlignment="1">
      <alignment horizontal="center" vertical="center"/>
    </xf>
    <xf numFmtId="171" fontId="0" fillId="41" borderId="76" xfId="1" applyNumberFormat="1" applyFont="1" applyFill="1" applyBorder="1" applyAlignment="1">
      <alignment horizontal="center" vertical="center"/>
    </xf>
    <xf numFmtId="171" fontId="0" fillId="41" borderId="52" xfId="1" applyNumberFormat="1" applyFont="1" applyFill="1" applyBorder="1" applyAlignment="1">
      <alignment horizontal="center" vertical="center"/>
    </xf>
    <xf numFmtId="3" fontId="0" fillId="42" borderId="29" xfId="0" applyNumberFormat="1" applyFill="1" applyBorder="1" applyAlignment="1">
      <alignment horizontal="center" vertical="center"/>
    </xf>
    <xf numFmtId="3" fontId="0" fillId="42" borderId="75" xfId="0" applyNumberFormat="1" applyFill="1" applyBorder="1" applyAlignment="1">
      <alignment horizontal="center" vertical="center"/>
    </xf>
    <xf numFmtId="3" fontId="0" fillId="42" borderId="25" xfId="0" applyNumberFormat="1" applyFill="1" applyBorder="1" applyAlignment="1">
      <alignment horizontal="center" vertical="center"/>
    </xf>
    <xf numFmtId="178" fontId="0" fillId="42" borderId="32" xfId="1" applyNumberFormat="1" applyFont="1" applyFill="1" applyBorder="1" applyAlignment="1">
      <alignment horizontal="center" vertical="center"/>
    </xf>
    <xf numFmtId="178" fontId="0" fillId="42" borderId="76" xfId="1" applyNumberFormat="1" applyFont="1" applyFill="1" applyBorder="1" applyAlignment="1">
      <alignment horizontal="center" vertical="center"/>
    </xf>
    <xf numFmtId="178" fontId="0" fillId="42" borderId="52" xfId="1" applyNumberFormat="1" applyFont="1" applyFill="1" applyBorder="1" applyAlignment="1">
      <alignment horizontal="center" vertical="center"/>
    </xf>
    <xf numFmtId="0" fontId="0" fillId="41" borderId="29" xfId="0" applyFill="1" applyBorder="1" applyAlignment="1">
      <alignment horizontal="center" vertical="center"/>
    </xf>
    <xf numFmtId="0" fontId="0" fillId="41" borderId="75" xfId="0" applyFill="1" applyBorder="1" applyAlignment="1">
      <alignment horizontal="center" vertical="center"/>
    </xf>
    <xf numFmtId="0" fontId="0" fillId="41" borderId="25" xfId="0" applyFill="1" applyBorder="1" applyAlignment="1">
      <alignment horizontal="center" vertical="center"/>
    </xf>
    <xf numFmtId="14" fontId="0" fillId="41" borderId="29" xfId="0" applyNumberFormat="1" applyFill="1" applyBorder="1" applyAlignment="1">
      <alignment horizontal="center" vertical="center"/>
    </xf>
    <xf numFmtId="14" fontId="0" fillId="41" borderId="75" xfId="0" applyNumberFormat="1" applyFill="1" applyBorder="1" applyAlignment="1">
      <alignment horizontal="center" vertical="center"/>
    </xf>
    <xf numFmtId="14" fontId="0" fillId="41" borderId="25" xfId="0" applyNumberFormat="1" applyFill="1" applyBorder="1" applyAlignment="1">
      <alignment horizontal="center" vertical="center"/>
    </xf>
    <xf numFmtId="0" fontId="0" fillId="41" borderId="28" xfId="0" applyFill="1" applyBorder="1" applyAlignment="1">
      <alignment horizontal="center" vertical="center"/>
    </xf>
    <xf numFmtId="0" fontId="0" fillId="41" borderId="48" xfId="0" applyFill="1" applyBorder="1" applyAlignment="1">
      <alignment horizontal="center" vertical="center"/>
    </xf>
    <xf numFmtId="0" fontId="0" fillId="41" borderId="49" xfId="0" applyFill="1" applyBorder="1" applyAlignment="1">
      <alignment horizontal="center" vertical="center"/>
    </xf>
    <xf numFmtId="178" fontId="0" fillId="41" borderId="32" xfId="1" applyNumberFormat="1" applyFont="1" applyFill="1" applyBorder="1" applyAlignment="1">
      <alignment horizontal="center" vertical="center"/>
    </xf>
    <xf numFmtId="178" fontId="0" fillId="41" borderId="76" xfId="1" applyNumberFormat="1" applyFont="1" applyFill="1" applyBorder="1" applyAlignment="1">
      <alignment horizontal="center" vertical="center"/>
    </xf>
    <xf numFmtId="178" fontId="0" fillId="41" borderId="52" xfId="1" applyNumberFormat="1" applyFont="1" applyFill="1" applyBorder="1" applyAlignment="1">
      <alignment horizontal="center" vertical="center"/>
    </xf>
    <xf numFmtId="182" fontId="0" fillId="42" borderId="29" xfId="0" applyNumberFormat="1" applyFill="1" applyBorder="1" applyAlignment="1">
      <alignment horizontal="center" vertical="center"/>
    </xf>
    <xf numFmtId="182" fontId="0" fillId="42" borderId="75" xfId="0" applyNumberFormat="1" applyFill="1" applyBorder="1" applyAlignment="1">
      <alignment horizontal="center" vertical="center"/>
    </xf>
    <xf numFmtId="3" fontId="0" fillId="41" borderId="29" xfId="0" applyNumberFormat="1" applyFill="1" applyBorder="1" applyAlignment="1">
      <alignment horizontal="center" vertical="center"/>
    </xf>
    <xf numFmtId="3" fontId="0" fillId="41" borderId="75" xfId="0" applyNumberFormat="1" applyFill="1" applyBorder="1" applyAlignment="1">
      <alignment horizontal="center" vertical="center"/>
    </xf>
    <xf numFmtId="3" fontId="0" fillId="41" borderId="25" xfId="0" applyNumberFormat="1" applyFill="1" applyBorder="1" applyAlignment="1">
      <alignment horizontal="center" vertical="center"/>
    </xf>
    <xf numFmtId="178" fontId="0" fillId="40" borderId="32" xfId="1" applyNumberFormat="1" applyFont="1" applyFill="1" applyBorder="1" applyAlignment="1">
      <alignment horizontal="center" vertical="center"/>
    </xf>
    <xf numFmtId="178" fontId="0" fillId="40" borderId="76" xfId="1" applyNumberFormat="1" applyFont="1" applyFill="1" applyBorder="1" applyAlignment="1">
      <alignment horizontal="center" vertical="center"/>
    </xf>
    <xf numFmtId="178" fontId="0" fillId="40" borderId="52" xfId="1" applyNumberFormat="1" applyFont="1" applyFill="1" applyBorder="1" applyAlignment="1">
      <alignment horizontal="center" vertical="center"/>
    </xf>
    <xf numFmtId="9" fontId="0" fillId="42" borderId="32" xfId="1" applyFont="1" applyFill="1" applyBorder="1" applyAlignment="1">
      <alignment horizontal="center" vertical="center"/>
    </xf>
    <xf numFmtId="9" fontId="0" fillId="42" borderId="76" xfId="1" applyFont="1" applyFill="1" applyBorder="1" applyAlignment="1">
      <alignment horizontal="center" vertical="center"/>
    </xf>
    <xf numFmtId="9" fontId="0" fillId="42" borderId="52" xfId="1" applyFont="1" applyFill="1" applyBorder="1" applyAlignment="1">
      <alignment horizontal="center" vertical="center"/>
    </xf>
    <xf numFmtId="3" fontId="0" fillId="40" borderId="29" xfId="0" applyNumberFormat="1" applyFill="1" applyBorder="1" applyAlignment="1">
      <alignment horizontal="center" vertical="center"/>
    </xf>
    <xf numFmtId="3" fontId="0" fillId="40" borderId="75" xfId="0" applyNumberFormat="1" applyFill="1" applyBorder="1" applyAlignment="1">
      <alignment horizontal="center" vertical="center"/>
    </xf>
    <xf numFmtId="3" fontId="0" fillId="40" borderId="25" xfId="0" applyNumberForma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36" borderId="40" xfId="0" applyFont="1" applyFill="1" applyBorder="1" applyAlignment="1">
      <alignment horizontal="center" vertical="center"/>
    </xf>
    <xf numFmtId="0" fontId="2" fillId="36" borderId="41" xfId="0" applyFont="1" applyFill="1" applyBorder="1" applyAlignment="1">
      <alignment horizontal="center" vertical="center"/>
    </xf>
    <xf numFmtId="0" fontId="2" fillId="36" borderId="42" xfId="0" applyFont="1" applyFill="1" applyBorder="1" applyAlignment="1">
      <alignment horizontal="center" vertical="center"/>
    </xf>
    <xf numFmtId="0" fontId="2" fillId="36" borderId="43" xfId="0" applyFont="1" applyFill="1" applyBorder="1" applyAlignment="1">
      <alignment horizontal="center" vertical="center"/>
    </xf>
    <xf numFmtId="0" fontId="2" fillId="36" borderId="0" xfId="0" applyFont="1" applyFill="1" applyAlignment="1">
      <alignment horizontal="center" vertical="center"/>
    </xf>
    <xf numFmtId="0" fontId="2" fillId="36" borderId="44" xfId="0" applyFont="1" applyFill="1" applyBorder="1" applyAlignment="1">
      <alignment horizontal="center" vertical="center"/>
    </xf>
    <xf numFmtId="166" fontId="2" fillId="37" borderId="45" xfId="0" applyNumberFormat="1" applyFont="1" applyFill="1" applyBorder="1" applyAlignment="1">
      <alignment horizontal="center"/>
    </xf>
    <xf numFmtId="166" fontId="2" fillId="37" borderId="46" xfId="0" applyNumberFormat="1" applyFont="1" applyFill="1" applyBorder="1" applyAlignment="1">
      <alignment horizontal="center"/>
    </xf>
    <xf numFmtId="166" fontId="2" fillId="37" borderId="47" xfId="0" applyNumberFormat="1" applyFont="1" applyFill="1" applyBorder="1" applyAlignment="1">
      <alignment horizontal="center"/>
    </xf>
    <xf numFmtId="0" fontId="2" fillId="30" borderId="40" xfId="0" applyFont="1" applyFill="1" applyBorder="1" applyAlignment="1">
      <alignment horizontal="center"/>
    </xf>
    <xf numFmtId="0" fontId="2" fillId="30" borderId="41" xfId="0" applyFont="1" applyFill="1" applyBorder="1" applyAlignment="1">
      <alignment horizontal="center"/>
    </xf>
    <xf numFmtId="0" fontId="2" fillId="30" borderId="4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0" borderId="4" xfId="0" applyFont="1" applyFill="1" applyBorder="1" applyAlignment="1">
      <alignment horizontal="center" vertical="center" wrapText="1"/>
    </xf>
    <xf numFmtId="0" fontId="2" fillId="30" borderId="11" xfId="0" applyFont="1" applyFill="1" applyBorder="1" applyAlignment="1">
      <alignment horizontal="center" vertical="center" wrapText="1"/>
    </xf>
    <xf numFmtId="0" fontId="2" fillId="30" borderId="73" xfId="0" applyFont="1" applyFill="1" applyBorder="1" applyAlignment="1">
      <alignment horizontal="center" vertical="center" wrapText="1"/>
    </xf>
    <xf numFmtId="0" fontId="2" fillId="30" borderId="2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0" borderId="20" xfId="0" applyFont="1" applyFill="1" applyBorder="1" applyAlignment="1">
      <alignment horizontal="center" vertical="center" wrapText="1"/>
    </xf>
    <xf numFmtId="0" fontId="2" fillId="33" borderId="27" xfId="0" applyFont="1" applyFill="1" applyBorder="1" applyAlignment="1">
      <alignment horizontal="center" vertical="center"/>
    </xf>
    <xf numFmtId="14" fontId="2" fillId="33" borderId="27" xfId="0" applyNumberFormat="1" applyFont="1" applyFill="1" applyBorder="1" applyAlignment="1">
      <alignment horizontal="center" vertical="center"/>
    </xf>
    <xf numFmtId="0" fontId="2" fillId="28" borderId="27" xfId="0" applyFont="1" applyFill="1" applyBorder="1" applyAlignment="1">
      <alignment horizontal="center" vertical="center"/>
    </xf>
    <xf numFmtId="166" fontId="0" fillId="3" borderId="27" xfId="0" applyNumberFormat="1" applyFill="1" applyBorder="1" applyAlignment="1">
      <alignment horizontal="center" vertical="center"/>
    </xf>
  </cellXfs>
  <cellStyles count="339">
    <cellStyle name="20% - Énfasis1 2" xfId="18" xr:uid="{00000000-0005-0000-0000-000000000000}"/>
    <cellStyle name="20% - Énfasis1 2 2" xfId="19" xr:uid="{00000000-0005-0000-0000-000001000000}"/>
    <cellStyle name="20% - Énfasis1 2 3" xfId="20" xr:uid="{00000000-0005-0000-0000-000002000000}"/>
    <cellStyle name="20% - Énfasis1 3" xfId="21" xr:uid="{00000000-0005-0000-0000-000003000000}"/>
    <cellStyle name="20% - Énfasis1 4" xfId="17" xr:uid="{00000000-0005-0000-0000-000004000000}"/>
    <cellStyle name="20% - Énfasis2 2" xfId="23" xr:uid="{00000000-0005-0000-0000-000005000000}"/>
    <cellStyle name="20% - Énfasis2 2 2" xfId="24" xr:uid="{00000000-0005-0000-0000-000006000000}"/>
    <cellStyle name="20% - Énfasis2 2 3" xfId="25" xr:uid="{00000000-0005-0000-0000-000007000000}"/>
    <cellStyle name="20% - Énfasis2 3" xfId="26" xr:uid="{00000000-0005-0000-0000-000008000000}"/>
    <cellStyle name="20% - Énfasis2 4" xfId="22" xr:uid="{00000000-0005-0000-0000-000009000000}"/>
    <cellStyle name="20% - Énfasis3 2" xfId="28" xr:uid="{00000000-0005-0000-0000-00000A000000}"/>
    <cellStyle name="20% - Énfasis3 2 2" xfId="29" xr:uid="{00000000-0005-0000-0000-00000B000000}"/>
    <cellStyle name="20% - Énfasis3 2 3" xfId="30" xr:uid="{00000000-0005-0000-0000-00000C000000}"/>
    <cellStyle name="20% - Énfasis3 3" xfId="31" xr:uid="{00000000-0005-0000-0000-00000D000000}"/>
    <cellStyle name="20% - Énfasis3 4" xfId="27" xr:uid="{00000000-0005-0000-0000-00000E000000}"/>
    <cellStyle name="20% - Énfasis4 2" xfId="33" xr:uid="{00000000-0005-0000-0000-00000F000000}"/>
    <cellStyle name="20% - Énfasis4 2 2" xfId="34" xr:uid="{00000000-0005-0000-0000-000010000000}"/>
    <cellStyle name="20% - Énfasis4 2 3" xfId="35" xr:uid="{00000000-0005-0000-0000-000011000000}"/>
    <cellStyle name="20% - Énfasis4 3" xfId="36" xr:uid="{00000000-0005-0000-0000-000012000000}"/>
    <cellStyle name="20% - Énfasis4 4" xfId="32" xr:uid="{00000000-0005-0000-0000-000013000000}"/>
    <cellStyle name="20% - Énfasis5 2" xfId="38" xr:uid="{00000000-0005-0000-0000-000014000000}"/>
    <cellStyle name="20% - Énfasis5 2 2" xfId="39" xr:uid="{00000000-0005-0000-0000-000015000000}"/>
    <cellStyle name="20% - Énfasis5 2 3" xfId="40" xr:uid="{00000000-0005-0000-0000-000016000000}"/>
    <cellStyle name="20% - Énfasis5 3" xfId="41" xr:uid="{00000000-0005-0000-0000-000017000000}"/>
    <cellStyle name="20% - Énfasis5 4" xfId="37" xr:uid="{00000000-0005-0000-0000-000018000000}"/>
    <cellStyle name="20% - Énfasis6 2" xfId="43" xr:uid="{00000000-0005-0000-0000-000019000000}"/>
    <cellStyle name="20% - Énfasis6 2 2" xfId="44" xr:uid="{00000000-0005-0000-0000-00001A000000}"/>
    <cellStyle name="20% - Énfasis6 2 3" xfId="45" xr:uid="{00000000-0005-0000-0000-00001B000000}"/>
    <cellStyle name="20% - Énfasis6 3" xfId="46" xr:uid="{00000000-0005-0000-0000-00001C000000}"/>
    <cellStyle name="20% - Énfasis6 4" xfId="42" xr:uid="{00000000-0005-0000-0000-00001D000000}"/>
    <cellStyle name="40% - Énfasis1 2" xfId="48" xr:uid="{00000000-0005-0000-0000-00001E000000}"/>
    <cellStyle name="40% - Énfasis1 2 2" xfId="49" xr:uid="{00000000-0005-0000-0000-00001F000000}"/>
    <cellStyle name="40% - Énfasis1 2 3" xfId="50" xr:uid="{00000000-0005-0000-0000-000020000000}"/>
    <cellStyle name="40% - Énfasis1 3" xfId="51" xr:uid="{00000000-0005-0000-0000-000021000000}"/>
    <cellStyle name="40% - Énfasis1 4" xfId="47" xr:uid="{00000000-0005-0000-0000-000022000000}"/>
    <cellStyle name="40% - Énfasis2 2" xfId="53" xr:uid="{00000000-0005-0000-0000-000023000000}"/>
    <cellStyle name="40% - Énfasis2 2 2" xfId="54" xr:uid="{00000000-0005-0000-0000-000024000000}"/>
    <cellStyle name="40% - Énfasis2 2 3" xfId="55" xr:uid="{00000000-0005-0000-0000-000025000000}"/>
    <cellStyle name="40% - Énfasis2 3" xfId="56" xr:uid="{00000000-0005-0000-0000-000026000000}"/>
    <cellStyle name="40% - Énfasis2 4" xfId="52" xr:uid="{00000000-0005-0000-0000-000027000000}"/>
    <cellStyle name="40% - Énfasis3 2" xfId="58" xr:uid="{00000000-0005-0000-0000-000028000000}"/>
    <cellStyle name="40% - Énfasis3 2 2" xfId="59" xr:uid="{00000000-0005-0000-0000-000029000000}"/>
    <cellStyle name="40% - Énfasis3 2 3" xfId="60" xr:uid="{00000000-0005-0000-0000-00002A000000}"/>
    <cellStyle name="40% - Énfasis3 3" xfId="61" xr:uid="{00000000-0005-0000-0000-00002B000000}"/>
    <cellStyle name="40% - Énfasis3 4" xfId="57" xr:uid="{00000000-0005-0000-0000-00002C000000}"/>
    <cellStyle name="40% - Énfasis4 2" xfId="63" xr:uid="{00000000-0005-0000-0000-00002D000000}"/>
    <cellStyle name="40% - Énfasis4 2 2" xfId="64" xr:uid="{00000000-0005-0000-0000-00002E000000}"/>
    <cellStyle name="40% - Énfasis4 2 3" xfId="65" xr:uid="{00000000-0005-0000-0000-00002F000000}"/>
    <cellStyle name="40% - Énfasis4 3" xfId="66" xr:uid="{00000000-0005-0000-0000-000030000000}"/>
    <cellStyle name="40% - Énfasis4 4" xfId="62" xr:uid="{00000000-0005-0000-0000-000031000000}"/>
    <cellStyle name="40% - Énfasis5 2" xfId="68" xr:uid="{00000000-0005-0000-0000-000032000000}"/>
    <cellStyle name="40% - Énfasis5 2 2" xfId="69" xr:uid="{00000000-0005-0000-0000-000033000000}"/>
    <cellStyle name="40% - Énfasis5 2 3" xfId="70" xr:uid="{00000000-0005-0000-0000-000034000000}"/>
    <cellStyle name="40% - Énfasis5 3" xfId="71" xr:uid="{00000000-0005-0000-0000-000035000000}"/>
    <cellStyle name="40% - Énfasis5 4" xfId="67" xr:uid="{00000000-0005-0000-0000-000036000000}"/>
    <cellStyle name="40% - Énfasis6 2" xfId="73" xr:uid="{00000000-0005-0000-0000-000037000000}"/>
    <cellStyle name="40% - Énfasis6 2 2" xfId="74" xr:uid="{00000000-0005-0000-0000-000038000000}"/>
    <cellStyle name="40% - Énfasis6 2 3" xfId="75" xr:uid="{00000000-0005-0000-0000-000039000000}"/>
    <cellStyle name="40% - Énfasis6 3" xfId="76" xr:uid="{00000000-0005-0000-0000-00003A000000}"/>
    <cellStyle name="40% - Énfasis6 4" xfId="72" xr:uid="{00000000-0005-0000-0000-00003B000000}"/>
    <cellStyle name="60% - Énfasis1 2" xfId="78" xr:uid="{00000000-0005-0000-0000-00003C000000}"/>
    <cellStyle name="60% - Énfasis1 2 2" xfId="79" xr:uid="{00000000-0005-0000-0000-00003D000000}"/>
    <cellStyle name="60% - Énfasis1 2 3" xfId="80" xr:uid="{00000000-0005-0000-0000-00003E000000}"/>
    <cellStyle name="60% - Énfasis1 3" xfId="81" xr:uid="{00000000-0005-0000-0000-00003F000000}"/>
    <cellStyle name="60% - Énfasis1 4" xfId="77" xr:uid="{00000000-0005-0000-0000-000040000000}"/>
    <cellStyle name="60% - Énfasis2 2" xfId="83" xr:uid="{00000000-0005-0000-0000-000041000000}"/>
    <cellStyle name="60% - Énfasis2 2 2" xfId="84" xr:uid="{00000000-0005-0000-0000-000042000000}"/>
    <cellStyle name="60% - Énfasis2 2 3" xfId="85" xr:uid="{00000000-0005-0000-0000-000043000000}"/>
    <cellStyle name="60% - Énfasis2 3" xfId="86" xr:uid="{00000000-0005-0000-0000-000044000000}"/>
    <cellStyle name="60% - Énfasis2 4" xfId="82" xr:uid="{00000000-0005-0000-0000-000045000000}"/>
    <cellStyle name="60% - Énfasis3 2" xfId="88" xr:uid="{00000000-0005-0000-0000-000046000000}"/>
    <cellStyle name="60% - Énfasis3 2 2" xfId="89" xr:uid="{00000000-0005-0000-0000-000047000000}"/>
    <cellStyle name="60% - Énfasis3 2 3" xfId="90" xr:uid="{00000000-0005-0000-0000-000048000000}"/>
    <cellStyle name="60% - Énfasis3 3" xfId="91" xr:uid="{00000000-0005-0000-0000-000049000000}"/>
    <cellStyle name="60% - Énfasis3 4" xfId="87" xr:uid="{00000000-0005-0000-0000-00004A000000}"/>
    <cellStyle name="60% - Énfasis4 2" xfId="93" xr:uid="{00000000-0005-0000-0000-00004B000000}"/>
    <cellStyle name="60% - Énfasis4 2 2" xfId="94" xr:uid="{00000000-0005-0000-0000-00004C000000}"/>
    <cellStyle name="60% - Énfasis4 2 3" xfId="95" xr:uid="{00000000-0005-0000-0000-00004D000000}"/>
    <cellStyle name="60% - Énfasis4 3" xfId="96" xr:uid="{00000000-0005-0000-0000-00004E000000}"/>
    <cellStyle name="60% - Énfasis4 4" xfId="92" xr:uid="{00000000-0005-0000-0000-00004F000000}"/>
    <cellStyle name="60% - Énfasis5 2" xfId="98" xr:uid="{00000000-0005-0000-0000-000050000000}"/>
    <cellStyle name="60% - Énfasis5 2 2" xfId="99" xr:uid="{00000000-0005-0000-0000-000051000000}"/>
    <cellStyle name="60% - Énfasis5 2 3" xfId="100" xr:uid="{00000000-0005-0000-0000-000052000000}"/>
    <cellStyle name="60% - Énfasis5 3" xfId="101" xr:uid="{00000000-0005-0000-0000-000053000000}"/>
    <cellStyle name="60% - Énfasis5 4" xfId="97" xr:uid="{00000000-0005-0000-0000-000054000000}"/>
    <cellStyle name="60% - Énfasis6 2" xfId="103" xr:uid="{00000000-0005-0000-0000-000055000000}"/>
    <cellStyle name="60% - Énfasis6 2 2" xfId="104" xr:uid="{00000000-0005-0000-0000-000056000000}"/>
    <cellStyle name="60% - Énfasis6 2 3" xfId="105" xr:uid="{00000000-0005-0000-0000-000057000000}"/>
    <cellStyle name="60% - Énfasis6 3" xfId="106" xr:uid="{00000000-0005-0000-0000-000058000000}"/>
    <cellStyle name="60% - Énfasis6 4" xfId="102" xr:uid="{00000000-0005-0000-0000-000059000000}"/>
    <cellStyle name="Buena 2" xfId="108" xr:uid="{00000000-0005-0000-0000-00005A000000}"/>
    <cellStyle name="Buena 2 2" xfId="109" xr:uid="{00000000-0005-0000-0000-00005B000000}"/>
    <cellStyle name="Buena 2 3" xfId="110" xr:uid="{00000000-0005-0000-0000-00005C000000}"/>
    <cellStyle name="Buena 3" xfId="111" xr:uid="{00000000-0005-0000-0000-00005D000000}"/>
    <cellStyle name="Buena 4" xfId="107" xr:uid="{00000000-0005-0000-0000-00005E000000}"/>
    <cellStyle name="Cálculo 2" xfId="113" xr:uid="{00000000-0005-0000-0000-00005F000000}"/>
    <cellStyle name="Cálculo 2 2" xfId="114" xr:uid="{00000000-0005-0000-0000-000060000000}"/>
    <cellStyle name="Cálculo 2 2 2" xfId="284" xr:uid="{00000000-0005-0000-0000-000061000000}"/>
    <cellStyle name="Cálculo 2 2 3" xfId="287" xr:uid="{00000000-0005-0000-0000-000062000000}"/>
    <cellStyle name="Cálculo 2 3" xfId="115" xr:uid="{00000000-0005-0000-0000-000063000000}"/>
    <cellStyle name="Cálculo 2 3 2" xfId="285" xr:uid="{00000000-0005-0000-0000-000064000000}"/>
    <cellStyle name="Cálculo 2 3 3" xfId="289" xr:uid="{00000000-0005-0000-0000-000065000000}"/>
    <cellStyle name="Cálculo 2 4" xfId="283" xr:uid="{00000000-0005-0000-0000-000066000000}"/>
    <cellStyle name="Cálculo 2 5" xfId="290" xr:uid="{00000000-0005-0000-0000-000067000000}"/>
    <cellStyle name="Cálculo 3" xfId="116" xr:uid="{00000000-0005-0000-0000-000068000000}"/>
    <cellStyle name="Cálculo 3 2" xfId="286" xr:uid="{00000000-0005-0000-0000-000069000000}"/>
    <cellStyle name="Cálculo 3 3" xfId="288" xr:uid="{00000000-0005-0000-0000-00006A000000}"/>
    <cellStyle name="Cálculo 4" xfId="112" xr:uid="{00000000-0005-0000-0000-00006B000000}"/>
    <cellStyle name="Cálculo 4 2" xfId="282" xr:uid="{00000000-0005-0000-0000-00006C000000}"/>
    <cellStyle name="Cálculo 4 3" xfId="291" xr:uid="{00000000-0005-0000-0000-00006D000000}"/>
    <cellStyle name="Celda de comprobación 2" xfId="118" xr:uid="{00000000-0005-0000-0000-00006E000000}"/>
    <cellStyle name="Celda de comprobación 2 2" xfId="119" xr:uid="{00000000-0005-0000-0000-00006F000000}"/>
    <cellStyle name="Celda de comprobación 2 3" xfId="120" xr:uid="{00000000-0005-0000-0000-000070000000}"/>
    <cellStyle name="Celda de comprobación 3" xfId="121" xr:uid="{00000000-0005-0000-0000-000071000000}"/>
    <cellStyle name="Celda de comprobación 4" xfId="117" xr:uid="{00000000-0005-0000-0000-000072000000}"/>
    <cellStyle name="Celda vinculada 2" xfId="123" xr:uid="{00000000-0005-0000-0000-000073000000}"/>
    <cellStyle name="Celda vinculada 2 2" xfId="124" xr:uid="{00000000-0005-0000-0000-000074000000}"/>
    <cellStyle name="Celda vinculada 2 3" xfId="125" xr:uid="{00000000-0005-0000-0000-000075000000}"/>
    <cellStyle name="Celda vinculada 3" xfId="126" xr:uid="{00000000-0005-0000-0000-000076000000}"/>
    <cellStyle name="Celda vinculada 4" xfId="122" xr:uid="{00000000-0005-0000-0000-000077000000}"/>
    <cellStyle name="Encabezado 4 2" xfId="128" xr:uid="{00000000-0005-0000-0000-000078000000}"/>
    <cellStyle name="Encabezado 4 2 2" xfId="129" xr:uid="{00000000-0005-0000-0000-000079000000}"/>
    <cellStyle name="Encabezado 4 2 3" xfId="130" xr:uid="{00000000-0005-0000-0000-00007A000000}"/>
    <cellStyle name="Encabezado 4 3" xfId="131" xr:uid="{00000000-0005-0000-0000-00007B000000}"/>
    <cellStyle name="Encabezado 4 4" xfId="127" xr:uid="{00000000-0005-0000-0000-00007C000000}"/>
    <cellStyle name="Énfasis1 2" xfId="133" xr:uid="{00000000-0005-0000-0000-00007D000000}"/>
    <cellStyle name="Énfasis1 2 2" xfId="134" xr:uid="{00000000-0005-0000-0000-00007E000000}"/>
    <cellStyle name="Énfasis1 2 3" xfId="135" xr:uid="{00000000-0005-0000-0000-00007F000000}"/>
    <cellStyle name="Énfasis1 3" xfId="136" xr:uid="{00000000-0005-0000-0000-000080000000}"/>
    <cellStyle name="Énfasis1 4" xfId="132" xr:uid="{00000000-0005-0000-0000-000081000000}"/>
    <cellStyle name="Énfasis2 2" xfId="138" xr:uid="{00000000-0005-0000-0000-000082000000}"/>
    <cellStyle name="Énfasis2 2 2" xfId="139" xr:uid="{00000000-0005-0000-0000-000083000000}"/>
    <cellStyle name="Énfasis2 2 3" xfId="140" xr:uid="{00000000-0005-0000-0000-000084000000}"/>
    <cellStyle name="Énfasis2 3" xfId="141" xr:uid="{00000000-0005-0000-0000-000085000000}"/>
    <cellStyle name="Énfasis2 4" xfId="137" xr:uid="{00000000-0005-0000-0000-000086000000}"/>
    <cellStyle name="Énfasis3 2" xfId="143" xr:uid="{00000000-0005-0000-0000-000087000000}"/>
    <cellStyle name="Énfasis3 2 2" xfId="144" xr:uid="{00000000-0005-0000-0000-000088000000}"/>
    <cellStyle name="Énfasis3 2 3" xfId="145" xr:uid="{00000000-0005-0000-0000-000089000000}"/>
    <cellStyle name="Énfasis3 3" xfId="146" xr:uid="{00000000-0005-0000-0000-00008A000000}"/>
    <cellStyle name="Énfasis3 4" xfId="142" xr:uid="{00000000-0005-0000-0000-00008B000000}"/>
    <cellStyle name="Énfasis4 2" xfId="148" xr:uid="{00000000-0005-0000-0000-00008C000000}"/>
    <cellStyle name="Énfasis4 2 2" xfId="149" xr:uid="{00000000-0005-0000-0000-00008D000000}"/>
    <cellStyle name="Énfasis4 2 3" xfId="150" xr:uid="{00000000-0005-0000-0000-00008E000000}"/>
    <cellStyle name="Énfasis4 3" xfId="151" xr:uid="{00000000-0005-0000-0000-00008F000000}"/>
    <cellStyle name="Énfasis4 4" xfId="147" xr:uid="{00000000-0005-0000-0000-000090000000}"/>
    <cellStyle name="Énfasis5 2" xfId="153" xr:uid="{00000000-0005-0000-0000-000091000000}"/>
    <cellStyle name="Énfasis5 2 2" xfId="154" xr:uid="{00000000-0005-0000-0000-000092000000}"/>
    <cellStyle name="Énfasis5 2 3" xfId="155" xr:uid="{00000000-0005-0000-0000-000093000000}"/>
    <cellStyle name="Énfasis5 3" xfId="156" xr:uid="{00000000-0005-0000-0000-000094000000}"/>
    <cellStyle name="Énfasis5 4" xfId="152" xr:uid="{00000000-0005-0000-0000-000095000000}"/>
    <cellStyle name="Énfasis6 2" xfId="158" xr:uid="{00000000-0005-0000-0000-000096000000}"/>
    <cellStyle name="Énfasis6 2 2" xfId="159" xr:uid="{00000000-0005-0000-0000-000097000000}"/>
    <cellStyle name="Énfasis6 2 3" xfId="160" xr:uid="{00000000-0005-0000-0000-000098000000}"/>
    <cellStyle name="Énfasis6 3" xfId="161" xr:uid="{00000000-0005-0000-0000-000099000000}"/>
    <cellStyle name="Énfasis6 4" xfId="157" xr:uid="{00000000-0005-0000-0000-00009A000000}"/>
    <cellStyle name="Entrada 2" xfId="163" xr:uid="{00000000-0005-0000-0000-00009B000000}"/>
    <cellStyle name="Entrada 2 2" xfId="164" xr:uid="{00000000-0005-0000-0000-00009C000000}"/>
    <cellStyle name="Entrada 2 2 2" xfId="294" xr:uid="{00000000-0005-0000-0000-00009D000000}"/>
    <cellStyle name="Entrada 2 2 3" xfId="277" xr:uid="{00000000-0005-0000-0000-00009E000000}"/>
    <cellStyle name="Entrada 2 3" xfId="165" xr:uid="{00000000-0005-0000-0000-00009F000000}"/>
    <cellStyle name="Entrada 2 3 2" xfId="295" xr:uid="{00000000-0005-0000-0000-0000A0000000}"/>
    <cellStyle name="Entrada 2 3 3" xfId="279" xr:uid="{00000000-0005-0000-0000-0000A1000000}"/>
    <cellStyle name="Entrada 2 4" xfId="293" xr:uid="{00000000-0005-0000-0000-0000A2000000}"/>
    <cellStyle name="Entrada 2 5" xfId="280" xr:uid="{00000000-0005-0000-0000-0000A3000000}"/>
    <cellStyle name="Entrada 3" xfId="166" xr:uid="{00000000-0005-0000-0000-0000A4000000}"/>
    <cellStyle name="Entrada 3 2" xfId="296" xr:uid="{00000000-0005-0000-0000-0000A5000000}"/>
    <cellStyle name="Entrada 3 3" xfId="278" xr:uid="{00000000-0005-0000-0000-0000A6000000}"/>
    <cellStyle name="Entrada 4" xfId="162" xr:uid="{00000000-0005-0000-0000-0000A7000000}"/>
    <cellStyle name="Entrada 4 2" xfId="292" xr:uid="{00000000-0005-0000-0000-0000A8000000}"/>
    <cellStyle name="Entrada 4 3" xfId="281" xr:uid="{00000000-0005-0000-0000-0000A9000000}"/>
    <cellStyle name="Excel Built-in Normal" xfId="167" xr:uid="{00000000-0005-0000-0000-0000AA000000}"/>
    <cellStyle name="Incorrecto 2" xfId="169" xr:uid="{00000000-0005-0000-0000-0000AB000000}"/>
    <cellStyle name="Incorrecto 2 2" xfId="170" xr:uid="{00000000-0005-0000-0000-0000AC000000}"/>
    <cellStyle name="Incorrecto 2 3" xfId="171" xr:uid="{00000000-0005-0000-0000-0000AD000000}"/>
    <cellStyle name="Incorrecto 3" xfId="172" xr:uid="{00000000-0005-0000-0000-0000AE000000}"/>
    <cellStyle name="Incorrecto 4" xfId="168" xr:uid="{00000000-0005-0000-0000-0000AF000000}"/>
    <cellStyle name="Millares 2" xfId="174" xr:uid="{00000000-0005-0000-0000-0000B0000000}"/>
    <cellStyle name="Millares 2 2" xfId="175" xr:uid="{00000000-0005-0000-0000-0000B1000000}"/>
    <cellStyle name="Millares 2 3" xfId="176" xr:uid="{00000000-0005-0000-0000-0000B2000000}"/>
    <cellStyle name="Millares 3" xfId="173" xr:uid="{00000000-0005-0000-0000-0000B3000000}"/>
    <cellStyle name="Moneda 2" xfId="177" xr:uid="{00000000-0005-0000-0000-0000B4000000}"/>
    <cellStyle name="Neutral 2" xfId="179" xr:uid="{00000000-0005-0000-0000-0000B5000000}"/>
    <cellStyle name="Neutral 2 2" xfId="180" xr:uid="{00000000-0005-0000-0000-0000B6000000}"/>
    <cellStyle name="Neutral 2 3" xfId="181" xr:uid="{00000000-0005-0000-0000-0000B7000000}"/>
    <cellStyle name="Neutral 3" xfId="182" xr:uid="{00000000-0005-0000-0000-0000B8000000}"/>
    <cellStyle name="Neutral 4" xfId="178" xr:uid="{00000000-0005-0000-0000-0000B9000000}"/>
    <cellStyle name="Normal" xfId="0" builtinId="0"/>
    <cellStyle name="Normal 11" xfId="183" xr:uid="{00000000-0005-0000-0000-0000BB000000}"/>
    <cellStyle name="Normal 11 2" xfId="184" xr:uid="{00000000-0005-0000-0000-0000BC000000}"/>
    <cellStyle name="Normal 11 3" xfId="185" xr:uid="{00000000-0005-0000-0000-0000BD000000}"/>
    <cellStyle name="Normal 12" xfId="186" xr:uid="{00000000-0005-0000-0000-0000BE000000}"/>
    <cellStyle name="Normal 12 2" xfId="187" xr:uid="{00000000-0005-0000-0000-0000BF000000}"/>
    <cellStyle name="Normal 12 3" xfId="188" xr:uid="{00000000-0005-0000-0000-0000C0000000}"/>
    <cellStyle name="Normal 13" xfId="318" xr:uid="{00000000-0005-0000-0000-0000C1000000}"/>
    <cellStyle name="Normal 14" xfId="319" xr:uid="{00000000-0005-0000-0000-0000C2000000}"/>
    <cellStyle name="Normal 15" xfId="320" xr:uid="{00000000-0005-0000-0000-0000C3000000}"/>
    <cellStyle name="Normal 16" xfId="189" xr:uid="{00000000-0005-0000-0000-0000C4000000}"/>
    <cellStyle name="Normal 18" xfId="190" xr:uid="{00000000-0005-0000-0000-0000C5000000}"/>
    <cellStyle name="Normal 18 2" xfId="191" xr:uid="{00000000-0005-0000-0000-0000C6000000}"/>
    <cellStyle name="Normal 19" xfId="192" xr:uid="{00000000-0005-0000-0000-0000C7000000}"/>
    <cellStyle name="Normal 2" xfId="7" xr:uid="{00000000-0005-0000-0000-0000C8000000}"/>
    <cellStyle name="Normal 2 2" xfId="12" xr:uid="{00000000-0005-0000-0000-0000C9000000}"/>
    <cellStyle name="Normal 2 2 2" xfId="194" xr:uid="{00000000-0005-0000-0000-0000CA000000}"/>
    <cellStyle name="Normal 2 3" xfId="195" xr:uid="{00000000-0005-0000-0000-0000CB000000}"/>
    <cellStyle name="Normal 2 3 2" xfId="196" xr:uid="{00000000-0005-0000-0000-0000CC000000}"/>
    <cellStyle name="Normal 2 4" xfId="197" xr:uid="{00000000-0005-0000-0000-0000CD000000}"/>
    <cellStyle name="Normal 2 5" xfId="193" xr:uid="{00000000-0005-0000-0000-0000CE000000}"/>
    <cellStyle name="Normal 2 6" xfId="11" xr:uid="{00000000-0005-0000-0000-0000CF000000}"/>
    <cellStyle name="Normal 20" xfId="198" xr:uid="{00000000-0005-0000-0000-0000D0000000}"/>
    <cellStyle name="Normal 20 2" xfId="199" xr:uid="{00000000-0005-0000-0000-0000D1000000}"/>
    <cellStyle name="Normal 21" xfId="200" xr:uid="{00000000-0005-0000-0000-0000D2000000}"/>
    <cellStyle name="Normal 22" xfId="321" xr:uid="{00000000-0005-0000-0000-0000D3000000}"/>
    <cellStyle name="Normal 23" xfId="322" xr:uid="{00000000-0005-0000-0000-0000D4000000}"/>
    <cellStyle name="Normal 24" xfId="201" xr:uid="{00000000-0005-0000-0000-0000D5000000}"/>
    <cellStyle name="Normal 25" xfId="323" xr:uid="{00000000-0005-0000-0000-0000D6000000}"/>
    <cellStyle name="Normal 26" xfId="324" xr:uid="{00000000-0005-0000-0000-0000D7000000}"/>
    <cellStyle name="Normal 27" xfId="325" xr:uid="{00000000-0005-0000-0000-0000D8000000}"/>
    <cellStyle name="Normal 28" xfId="326" xr:uid="{00000000-0005-0000-0000-0000D9000000}"/>
    <cellStyle name="Normal 29" xfId="327" xr:uid="{00000000-0005-0000-0000-0000DA000000}"/>
    <cellStyle name="Normal 3" xfId="3" xr:uid="{00000000-0005-0000-0000-0000DB000000}"/>
    <cellStyle name="Normal 3 2" xfId="202" xr:uid="{00000000-0005-0000-0000-0000DC000000}"/>
    <cellStyle name="Normal 3 3" xfId="266" xr:uid="{00000000-0005-0000-0000-0000DD000000}"/>
    <cellStyle name="Normal 3 4" xfId="13" xr:uid="{00000000-0005-0000-0000-0000DE000000}"/>
    <cellStyle name="Normal 30" xfId="328" xr:uid="{00000000-0005-0000-0000-0000DF000000}"/>
    <cellStyle name="Normal 31" xfId="329" xr:uid="{00000000-0005-0000-0000-0000E0000000}"/>
    <cellStyle name="Normal 32" xfId="330" xr:uid="{00000000-0005-0000-0000-0000E1000000}"/>
    <cellStyle name="Normal 33" xfId="331" xr:uid="{00000000-0005-0000-0000-0000E2000000}"/>
    <cellStyle name="Normal 34" xfId="332" xr:uid="{00000000-0005-0000-0000-0000E3000000}"/>
    <cellStyle name="Normal 35" xfId="333" xr:uid="{00000000-0005-0000-0000-0000E4000000}"/>
    <cellStyle name="Normal 36" xfId="334" xr:uid="{00000000-0005-0000-0000-0000E5000000}"/>
    <cellStyle name="Normal 37" xfId="335" xr:uid="{00000000-0005-0000-0000-0000E6000000}"/>
    <cellStyle name="Normal 38" xfId="336" xr:uid="{00000000-0005-0000-0000-0000E7000000}"/>
    <cellStyle name="Normal 4" xfId="4" xr:uid="{00000000-0005-0000-0000-0000E8000000}"/>
    <cellStyle name="Normal 4 2" xfId="204" xr:uid="{00000000-0005-0000-0000-0000E9000000}"/>
    <cellStyle name="Normal 4 3" xfId="203" xr:uid="{00000000-0005-0000-0000-0000EA000000}"/>
    <cellStyle name="Normal 40" xfId="337" xr:uid="{00000000-0005-0000-0000-0000EB000000}"/>
    <cellStyle name="Normal 5" xfId="9" xr:uid="{00000000-0005-0000-0000-0000EC000000}"/>
    <cellStyle name="Normal 5 2" xfId="206" xr:uid="{00000000-0005-0000-0000-0000ED000000}"/>
    <cellStyle name="Normal 5 3" xfId="205" xr:uid="{00000000-0005-0000-0000-0000EE000000}"/>
    <cellStyle name="Normal 6" xfId="207" xr:uid="{00000000-0005-0000-0000-0000EF000000}"/>
    <cellStyle name="Normal 6 2" xfId="208" xr:uid="{00000000-0005-0000-0000-0000F0000000}"/>
    <cellStyle name="Normal 7" xfId="5" xr:uid="{00000000-0005-0000-0000-0000F1000000}"/>
    <cellStyle name="Normal 7 2" xfId="210" xr:uid="{00000000-0005-0000-0000-0000F2000000}"/>
    <cellStyle name="Normal 7 3" xfId="209" xr:uid="{00000000-0005-0000-0000-0000F3000000}"/>
    <cellStyle name="Normal 8" xfId="16" xr:uid="{00000000-0005-0000-0000-0000F4000000}"/>
    <cellStyle name="Notas 2" xfId="212" xr:uid="{00000000-0005-0000-0000-0000F5000000}"/>
    <cellStyle name="Notas 2 2" xfId="213" xr:uid="{00000000-0005-0000-0000-0000F6000000}"/>
    <cellStyle name="Notas 2 2 2" xfId="299" xr:uid="{00000000-0005-0000-0000-0000F7000000}"/>
    <cellStyle name="Notas 2 2 3" xfId="274" xr:uid="{00000000-0005-0000-0000-0000F8000000}"/>
    <cellStyle name="Notas 2 3" xfId="214" xr:uid="{00000000-0005-0000-0000-0000F9000000}"/>
    <cellStyle name="Notas 2 3 2" xfId="300" xr:uid="{00000000-0005-0000-0000-0000FA000000}"/>
    <cellStyle name="Notas 2 3 3" xfId="272" xr:uid="{00000000-0005-0000-0000-0000FB000000}"/>
    <cellStyle name="Notas 2 4" xfId="298" xr:uid="{00000000-0005-0000-0000-0000FC000000}"/>
    <cellStyle name="Notas 2 5" xfId="275" xr:uid="{00000000-0005-0000-0000-0000FD000000}"/>
    <cellStyle name="Notas 3" xfId="215" xr:uid="{00000000-0005-0000-0000-0000FE000000}"/>
    <cellStyle name="Notas 3 2" xfId="301" xr:uid="{00000000-0005-0000-0000-0000FF000000}"/>
    <cellStyle name="Notas 3 3" xfId="273" xr:uid="{00000000-0005-0000-0000-000000010000}"/>
    <cellStyle name="Notas 4" xfId="211" xr:uid="{00000000-0005-0000-0000-000001010000}"/>
    <cellStyle name="Notas 4 2" xfId="297" xr:uid="{00000000-0005-0000-0000-000002010000}"/>
    <cellStyle name="Notas 4 3" xfId="276" xr:uid="{00000000-0005-0000-0000-000003010000}"/>
    <cellStyle name="Porcentaje" xfId="1" builtinId="5"/>
    <cellStyle name="Porcentaje 2" xfId="14" xr:uid="{00000000-0005-0000-0000-000005010000}"/>
    <cellStyle name="Porcentaje 3" xfId="15" xr:uid="{00000000-0005-0000-0000-000006010000}"/>
    <cellStyle name="Porcentual 10" xfId="2" xr:uid="{00000000-0005-0000-0000-000007010000}"/>
    <cellStyle name="Porcentual 14" xfId="6" xr:uid="{00000000-0005-0000-0000-000008010000}"/>
    <cellStyle name="Porcentual 2" xfId="8" xr:uid="{00000000-0005-0000-0000-000009010000}"/>
    <cellStyle name="Porcentual 2 2" xfId="217" xr:uid="{00000000-0005-0000-0000-00000A010000}"/>
    <cellStyle name="Porcentual 2 3" xfId="218" xr:uid="{00000000-0005-0000-0000-00000B010000}"/>
    <cellStyle name="Porcentual 2 4" xfId="338" xr:uid="{00000000-0005-0000-0000-00000C010000}"/>
    <cellStyle name="Porcentual 3" xfId="10" xr:uid="{00000000-0005-0000-0000-00000D010000}"/>
    <cellStyle name="Porcentual 3 2" xfId="219" xr:uid="{00000000-0005-0000-0000-00000E010000}"/>
    <cellStyle name="Porcentual 4" xfId="220" xr:uid="{00000000-0005-0000-0000-00000F010000}"/>
    <cellStyle name="Porcentual 5" xfId="221" xr:uid="{00000000-0005-0000-0000-000010010000}"/>
    <cellStyle name="Porcentual 6" xfId="222" xr:uid="{00000000-0005-0000-0000-000011010000}"/>
    <cellStyle name="Porcentual 7" xfId="223" xr:uid="{00000000-0005-0000-0000-000012010000}"/>
    <cellStyle name="Porcentual 7 2" xfId="224" xr:uid="{00000000-0005-0000-0000-000013010000}"/>
    <cellStyle name="Porcentual 7 3" xfId="225" xr:uid="{00000000-0005-0000-0000-000014010000}"/>
    <cellStyle name="Porcentual 8" xfId="216" xr:uid="{00000000-0005-0000-0000-000015010000}"/>
    <cellStyle name="Porcentual 9" xfId="317" xr:uid="{00000000-0005-0000-0000-000016010000}"/>
    <cellStyle name="Salida 2" xfId="227" xr:uid="{00000000-0005-0000-0000-000017010000}"/>
    <cellStyle name="Salida 2 2" xfId="228" xr:uid="{00000000-0005-0000-0000-000018010000}"/>
    <cellStyle name="Salida 2 2 2" xfId="304" xr:uid="{00000000-0005-0000-0000-000019010000}"/>
    <cellStyle name="Salida 2 2 3" xfId="267" xr:uid="{00000000-0005-0000-0000-00001A010000}"/>
    <cellStyle name="Salida 2 3" xfId="229" xr:uid="{00000000-0005-0000-0000-00001B010000}"/>
    <cellStyle name="Salida 2 3 2" xfId="305" xr:uid="{00000000-0005-0000-0000-00001C010000}"/>
    <cellStyle name="Salida 2 3 3" xfId="269" xr:uid="{00000000-0005-0000-0000-00001D010000}"/>
    <cellStyle name="Salida 2 4" xfId="303" xr:uid="{00000000-0005-0000-0000-00001E010000}"/>
    <cellStyle name="Salida 2 5" xfId="270" xr:uid="{00000000-0005-0000-0000-00001F010000}"/>
    <cellStyle name="Salida 3" xfId="230" xr:uid="{00000000-0005-0000-0000-000020010000}"/>
    <cellStyle name="Salida 3 2" xfId="306" xr:uid="{00000000-0005-0000-0000-000021010000}"/>
    <cellStyle name="Salida 3 3" xfId="268" xr:uid="{00000000-0005-0000-0000-000022010000}"/>
    <cellStyle name="Salida 4" xfId="226" xr:uid="{00000000-0005-0000-0000-000023010000}"/>
    <cellStyle name="Salida 4 2" xfId="302" xr:uid="{00000000-0005-0000-0000-000024010000}"/>
    <cellStyle name="Salida 4 3" xfId="271" xr:uid="{00000000-0005-0000-0000-000025010000}"/>
    <cellStyle name="Texto de advertencia 2" xfId="232" xr:uid="{00000000-0005-0000-0000-000026010000}"/>
    <cellStyle name="Texto de advertencia 2 2" xfId="233" xr:uid="{00000000-0005-0000-0000-000027010000}"/>
    <cellStyle name="Texto de advertencia 2 3" xfId="234" xr:uid="{00000000-0005-0000-0000-000028010000}"/>
    <cellStyle name="Texto de advertencia 3" xfId="235" xr:uid="{00000000-0005-0000-0000-000029010000}"/>
    <cellStyle name="Texto de advertencia 4" xfId="231" xr:uid="{00000000-0005-0000-0000-00002A010000}"/>
    <cellStyle name="Texto explicativo 2" xfId="237" xr:uid="{00000000-0005-0000-0000-00002B010000}"/>
    <cellStyle name="Texto explicativo 2 2" xfId="238" xr:uid="{00000000-0005-0000-0000-00002C010000}"/>
    <cellStyle name="Texto explicativo 2 3" xfId="239" xr:uid="{00000000-0005-0000-0000-00002D010000}"/>
    <cellStyle name="Texto explicativo 3" xfId="240" xr:uid="{00000000-0005-0000-0000-00002E010000}"/>
    <cellStyle name="Texto explicativo 4" xfId="236" xr:uid="{00000000-0005-0000-0000-00002F010000}"/>
    <cellStyle name="Título 1 2" xfId="243" xr:uid="{00000000-0005-0000-0000-000030010000}"/>
    <cellStyle name="Título 1 2 2" xfId="244" xr:uid="{00000000-0005-0000-0000-000031010000}"/>
    <cellStyle name="Título 1 2 3" xfId="245" xr:uid="{00000000-0005-0000-0000-000032010000}"/>
    <cellStyle name="Título 1 3" xfId="246" xr:uid="{00000000-0005-0000-0000-000033010000}"/>
    <cellStyle name="Título 1 4" xfId="242" xr:uid="{00000000-0005-0000-0000-000034010000}"/>
    <cellStyle name="Título 2 2" xfId="248" xr:uid="{00000000-0005-0000-0000-000035010000}"/>
    <cellStyle name="Título 2 2 2" xfId="249" xr:uid="{00000000-0005-0000-0000-000036010000}"/>
    <cellStyle name="Título 2 2 3" xfId="250" xr:uid="{00000000-0005-0000-0000-000037010000}"/>
    <cellStyle name="Título 2 3" xfId="251" xr:uid="{00000000-0005-0000-0000-000038010000}"/>
    <cellStyle name="Título 2 4" xfId="247" xr:uid="{00000000-0005-0000-0000-000039010000}"/>
    <cellStyle name="Título 3 2" xfId="253" xr:uid="{00000000-0005-0000-0000-00003A010000}"/>
    <cellStyle name="Título 3 2 2" xfId="254" xr:uid="{00000000-0005-0000-0000-00003B010000}"/>
    <cellStyle name="Título 3 2 3" xfId="255" xr:uid="{00000000-0005-0000-0000-00003C010000}"/>
    <cellStyle name="Título 3 3" xfId="256" xr:uid="{00000000-0005-0000-0000-00003D010000}"/>
    <cellStyle name="Título 3 4" xfId="252" xr:uid="{00000000-0005-0000-0000-00003E010000}"/>
    <cellStyle name="Título 4" xfId="257" xr:uid="{00000000-0005-0000-0000-00003F010000}"/>
    <cellStyle name="Título 4 2" xfId="258" xr:uid="{00000000-0005-0000-0000-000040010000}"/>
    <cellStyle name="Título 4 3" xfId="259" xr:uid="{00000000-0005-0000-0000-000041010000}"/>
    <cellStyle name="Título 5" xfId="260" xr:uid="{00000000-0005-0000-0000-000042010000}"/>
    <cellStyle name="Título 6" xfId="241" xr:uid="{00000000-0005-0000-0000-000043010000}"/>
    <cellStyle name="Total 2" xfId="262" xr:uid="{00000000-0005-0000-0000-000044010000}"/>
    <cellStyle name="Total 2 2" xfId="263" xr:uid="{00000000-0005-0000-0000-000045010000}"/>
    <cellStyle name="Total 2 2 2" xfId="309" xr:uid="{00000000-0005-0000-0000-000046010000}"/>
    <cellStyle name="Total 2 2 3" xfId="314" xr:uid="{00000000-0005-0000-0000-000047010000}"/>
    <cellStyle name="Total 2 3" xfId="264" xr:uid="{00000000-0005-0000-0000-000048010000}"/>
    <cellStyle name="Total 2 3 2" xfId="310" xr:uid="{00000000-0005-0000-0000-000049010000}"/>
    <cellStyle name="Total 2 3 3" xfId="315" xr:uid="{00000000-0005-0000-0000-00004A010000}"/>
    <cellStyle name="Total 2 4" xfId="308" xr:uid="{00000000-0005-0000-0000-00004B010000}"/>
    <cellStyle name="Total 2 5" xfId="313" xr:uid="{00000000-0005-0000-0000-00004C010000}"/>
    <cellStyle name="Total 3" xfId="265" xr:uid="{00000000-0005-0000-0000-00004D010000}"/>
    <cellStyle name="Total 3 2" xfId="311" xr:uid="{00000000-0005-0000-0000-00004E010000}"/>
    <cellStyle name="Total 3 3" xfId="316" xr:uid="{00000000-0005-0000-0000-00004F010000}"/>
    <cellStyle name="Total 4" xfId="261" xr:uid="{00000000-0005-0000-0000-000050010000}"/>
    <cellStyle name="Total 4 2" xfId="307" xr:uid="{00000000-0005-0000-0000-000051010000}"/>
    <cellStyle name="Total 4 3" xfId="312" xr:uid="{00000000-0005-0000-0000-00005201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FFF8"/>
      <color rgb="FFF8FDF5"/>
      <color rgb="FFF6FEF4"/>
      <color rgb="FFBCF9FA"/>
      <color rgb="FFFF99CC"/>
      <color rgb="FF00CC99"/>
      <color rgb="FFB2B2B2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Q54"/>
  <sheetViews>
    <sheetView tabSelected="1" zoomScale="115" zoomScaleNormal="115" workbookViewId="0">
      <selection activeCell="M20" sqref="M20"/>
    </sheetView>
  </sheetViews>
  <sheetFormatPr defaultColWidth="11.42578125" defaultRowHeight="15"/>
  <cols>
    <col min="1" max="1" width="11.42578125" style="155"/>
    <col min="2" max="2" width="18.85546875" bestFit="1" customWidth="1"/>
    <col min="3" max="3" width="29.5703125" customWidth="1"/>
    <col min="4" max="4" width="23" customWidth="1"/>
    <col min="5" max="5" width="14.5703125" bestFit="1" customWidth="1"/>
    <col min="6" max="6" width="12.85546875" bestFit="1" customWidth="1"/>
    <col min="7" max="7" width="13.28515625" customWidth="1"/>
    <col min="9" max="9" width="11.85546875" bestFit="1" customWidth="1"/>
    <col min="11" max="13" width="11.42578125" style="155"/>
    <col min="14" max="14" width="14.85546875" style="155" bestFit="1" customWidth="1"/>
    <col min="15" max="17" width="11.42578125" style="155"/>
  </cols>
  <sheetData>
    <row r="1" spans="2:10" s="155" customFormat="1" ht="15.75" thickBot="1"/>
    <row r="2" spans="2:10">
      <c r="B2" s="454" t="s">
        <v>0</v>
      </c>
      <c r="C2" s="455"/>
      <c r="D2" s="455"/>
      <c r="E2" s="455"/>
      <c r="F2" s="455"/>
      <c r="G2" s="455"/>
      <c r="H2" s="455"/>
      <c r="I2" s="455"/>
      <c r="J2" s="456"/>
    </row>
    <row r="3" spans="2:10">
      <c r="B3" s="457"/>
      <c r="C3" s="458"/>
      <c r="D3" s="458"/>
      <c r="E3" s="458"/>
      <c r="F3" s="458"/>
      <c r="G3" s="458"/>
      <c r="H3" s="458"/>
      <c r="I3" s="458"/>
      <c r="J3" s="459"/>
    </row>
    <row r="4" spans="2:10">
      <c r="B4" s="478">
        <v>45763</v>
      </c>
      <c r="C4" s="479"/>
      <c r="D4" s="479"/>
      <c r="E4" s="479"/>
      <c r="F4" s="479"/>
      <c r="G4" s="479"/>
      <c r="H4" s="479"/>
      <c r="I4" s="479"/>
      <c r="J4" s="480"/>
    </row>
    <row r="5" spans="2:10" ht="15.75" thickBot="1">
      <c r="B5" s="475" t="s">
        <v>1</v>
      </c>
      <c r="C5" s="476"/>
      <c r="D5" s="476"/>
      <c r="E5" s="476"/>
      <c r="F5" s="476"/>
      <c r="G5" s="476"/>
      <c r="H5" s="476"/>
      <c r="I5" s="476"/>
      <c r="J5" s="477"/>
    </row>
    <row r="6" spans="2:10" s="155" customFormat="1"/>
    <row r="7" spans="2:10" ht="15.75" thickBot="1">
      <c r="B7" s="155"/>
      <c r="C7" s="155"/>
      <c r="D7" s="155"/>
      <c r="E7" s="155"/>
      <c r="F7" s="155"/>
      <c r="G7" s="155"/>
      <c r="H7" s="155"/>
      <c r="I7" s="155"/>
      <c r="J7" s="155"/>
    </row>
    <row r="8" spans="2:10" ht="15.75" thickBot="1">
      <c r="B8" s="285" t="s">
        <v>2</v>
      </c>
      <c r="C8" s="207" t="s">
        <v>3</v>
      </c>
      <c r="D8" s="207" t="s">
        <v>4</v>
      </c>
      <c r="E8" s="207" t="s">
        <v>5</v>
      </c>
      <c r="F8" s="207" t="s">
        <v>6</v>
      </c>
      <c r="G8" s="207" t="s">
        <v>7</v>
      </c>
      <c r="H8" s="207" t="s">
        <v>8</v>
      </c>
      <c r="I8" s="207" t="s">
        <v>9</v>
      </c>
      <c r="J8" s="209" t="s">
        <v>10</v>
      </c>
    </row>
    <row r="9" spans="2:10" ht="15" customHeight="1">
      <c r="B9" s="465" t="s">
        <v>11</v>
      </c>
      <c r="C9" s="468" t="s">
        <v>12</v>
      </c>
      <c r="D9" s="288" t="s">
        <v>13</v>
      </c>
      <c r="E9" s="276">
        <f>'Artesanal Anchoveta XV-IV'!F7</f>
        <v>62735</v>
      </c>
      <c r="F9" s="116">
        <f>'Artesanal Anchoveta XV-IV'!G7</f>
        <v>5739</v>
      </c>
      <c r="G9" s="276">
        <f>'Artesanal Anchoveta XV-IV'!H7</f>
        <v>68474</v>
      </c>
      <c r="H9" s="276">
        <f>'Artesanal Anchoveta XV-IV'!Q7</f>
        <v>68491.706000000006</v>
      </c>
      <c r="I9" s="276">
        <f>'Artesanal Anchoveta XV-IV'!R7</f>
        <v>-17.706000000005588</v>
      </c>
      <c r="J9" s="277">
        <f>'Artesanal Anchoveta XV-IV'!S7</f>
        <v>1.0002585798989398</v>
      </c>
    </row>
    <row r="10" spans="2:10" ht="15" customHeight="1">
      <c r="B10" s="463"/>
      <c r="C10" s="469"/>
      <c r="D10" s="317" t="s">
        <v>14</v>
      </c>
      <c r="E10" s="215" t="s">
        <v>15</v>
      </c>
      <c r="F10" s="46" t="s">
        <v>15</v>
      </c>
      <c r="G10" s="215">
        <f>'Cesiones ind y colec'!R8</f>
        <v>140000</v>
      </c>
      <c r="H10" s="215">
        <f>'Cesiones ind y colec'!S8</f>
        <v>17732.544000000005</v>
      </c>
      <c r="I10" s="215">
        <f>'Cesiones ind y colec'!T8</f>
        <v>122267.45599999999</v>
      </c>
      <c r="J10" s="64">
        <f>'Cesiones ind y colec'!U8</f>
        <v>0.12666102857142861</v>
      </c>
    </row>
    <row r="11" spans="2:10">
      <c r="B11" s="463"/>
      <c r="C11" s="469"/>
      <c r="D11" s="317" t="s">
        <v>16</v>
      </c>
      <c r="E11" s="215">
        <f>'Artesanal Anchoveta XV-IV'!F8</f>
        <v>23594</v>
      </c>
      <c r="F11" s="46">
        <f>+'Artesanal Anchoveta XV-IV'!G8</f>
        <v>0</v>
      </c>
      <c r="G11" s="215">
        <f>+'Artesanal Anchoveta XV-IV'!H8</f>
        <v>23594</v>
      </c>
      <c r="H11" s="215">
        <f>+'Artesanal Anchoveta XV-IV'!Q8</f>
        <v>12094.473</v>
      </c>
      <c r="I11" s="215">
        <f t="shared" ref="I11:I24" si="0">+G11-H11</f>
        <v>11499.527</v>
      </c>
      <c r="J11" s="64">
        <f t="shared" ref="J11:J24" si="1">+H11/G11</f>
        <v>0.51260799355768416</v>
      </c>
    </row>
    <row r="12" spans="2:10">
      <c r="B12" s="463"/>
      <c r="C12" s="469"/>
      <c r="D12" s="317" t="s">
        <v>17</v>
      </c>
      <c r="E12" s="215" t="s">
        <v>15</v>
      </c>
      <c r="F12" s="46" t="s">
        <v>15</v>
      </c>
      <c r="G12" s="215">
        <f>'Cesiones ind y colec'!R9</f>
        <v>20000</v>
      </c>
      <c r="H12" s="215">
        <f>'Cesiones ind y colec'!S9</f>
        <v>0</v>
      </c>
      <c r="I12" s="215">
        <f>'Cesiones ind y colec'!T9</f>
        <v>20000</v>
      </c>
      <c r="J12" s="64">
        <f>'Cesiones ind y colec'!U9</f>
        <v>0</v>
      </c>
    </row>
    <row r="13" spans="2:10">
      <c r="B13" s="463"/>
      <c r="C13" s="469"/>
      <c r="D13" s="317" t="s">
        <v>18</v>
      </c>
      <c r="E13" s="215">
        <f>'Artesanal Anchoveta XV-IV'!F10</f>
        <v>7849.5</v>
      </c>
      <c r="F13" s="46">
        <f>+'Artesanal Anchoveta XV-IV'!G10</f>
        <v>0</v>
      </c>
      <c r="G13" s="215">
        <f>'Artesanal Anchoveta XV-IV'!H10</f>
        <v>7849.5</v>
      </c>
      <c r="H13" s="215">
        <f>+'Artesanal Anchoveta XV-IV'!Q10</f>
        <v>0</v>
      </c>
      <c r="I13" s="215">
        <f t="shared" si="0"/>
        <v>7849.5</v>
      </c>
      <c r="J13" s="64">
        <f t="shared" si="1"/>
        <v>0</v>
      </c>
    </row>
    <row r="14" spans="2:10">
      <c r="B14" s="463"/>
      <c r="C14" s="469"/>
      <c r="D14" s="317" t="s">
        <v>19</v>
      </c>
      <c r="E14" s="215" t="s">
        <v>15</v>
      </c>
      <c r="F14" s="46" t="s">
        <v>15</v>
      </c>
      <c r="G14" s="215">
        <f>'Cesiones ind y colec'!R10</f>
        <v>0</v>
      </c>
      <c r="H14" s="215">
        <f>'Cesiones ind y colec'!S10</f>
        <v>0</v>
      </c>
      <c r="I14" s="215">
        <f>'Cesiones ind y colec'!T10</f>
        <v>0</v>
      </c>
      <c r="J14" s="64">
        <f>'Cesiones ind y colec'!U10</f>
        <v>0</v>
      </c>
    </row>
    <row r="15" spans="2:10" ht="15" customHeight="1">
      <c r="B15" s="463"/>
      <c r="C15" s="469"/>
      <c r="D15" s="317" t="s">
        <v>20</v>
      </c>
      <c r="E15" s="278">
        <f>'Artesanal Anchoveta XV-IV'!F11+'Artesanal Anchoveta XV-IV'!F12+'Artesanal Anchoveta XV-IV'!F13+'Artesanal Anchoveta XV-IV'!F14</f>
        <v>3364</v>
      </c>
      <c r="F15" s="46">
        <f>+'Artesanal Anchoveta XV-IV'!G11+'Artesanal Anchoveta XV-IV'!G12+'Artesanal Anchoveta XV-IV'!G13+'Artesanal Anchoveta XV-IV'!G14</f>
        <v>0</v>
      </c>
      <c r="G15" s="215">
        <f>+'Artesanal Anchoveta XV-IV'!H11+'Artesanal Anchoveta XV-IV'!H12+'Artesanal Anchoveta XV-IV'!H13+'Artesanal Anchoveta XV-IV'!H14</f>
        <v>3364</v>
      </c>
      <c r="H15" s="215">
        <f>+'Artesanal Anchoveta XV-IV'!Q11+'Artesanal Anchoveta XV-IV'!Q12+'Artesanal Anchoveta XV-IV'!Q14</f>
        <v>32.966999999999999</v>
      </c>
      <c r="I15" s="215">
        <f t="shared" si="0"/>
        <v>3331.0329999999999</v>
      </c>
      <c r="J15" s="64">
        <f t="shared" si="1"/>
        <v>9.7999405469678946E-3</v>
      </c>
    </row>
    <row r="16" spans="2:10" ht="15" customHeight="1">
      <c r="B16" s="463"/>
      <c r="C16" s="469"/>
      <c r="D16" s="317" t="s">
        <v>21</v>
      </c>
      <c r="E16" s="215" t="s">
        <v>15</v>
      </c>
      <c r="F16" s="46" t="s">
        <v>15</v>
      </c>
      <c r="G16" s="215">
        <f>'Cesiones ind y colec'!R11</f>
        <v>0</v>
      </c>
      <c r="H16" s="215">
        <f>'Cesiones ind y colec'!S11</f>
        <v>0</v>
      </c>
      <c r="I16" s="215">
        <f>'Cesiones ind y colec'!T11</f>
        <v>0</v>
      </c>
      <c r="J16" s="64" t="e">
        <f>'Cesiones ind y colec'!U11</f>
        <v>#DIV/0!</v>
      </c>
    </row>
    <row r="17" spans="2:16">
      <c r="B17" s="463"/>
      <c r="C17" s="469"/>
      <c r="D17" s="317" t="s">
        <v>22</v>
      </c>
      <c r="E17" s="215">
        <f>'Artesanal Anchoveta XV-IV'!F9</f>
        <v>1000</v>
      </c>
      <c r="F17" s="215">
        <f>+'Artesanal Anchoveta XV-IV'!G9</f>
        <v>0</v>
      </c>
      <c r="G17" s="215">
        <f>+'Artesanal Anchoveta XV-IV'!H9</f>
        <v>1000</v>
      </c>
      <c r="H17" s="215">
        <f>+'Artesanal Anchoveta XV-IV'!I9</f>
        <v>0</v>
      </c>
      <c r="I17" s="215">
        <f t="shared" si="0"/>
        <v>1000</v>
      </c>
      <c r="J17" s="64">
        <f t="shared" si="1"/>
        <v>0</v>
      </c>
      <c r="M17" s="306"/>
    </row>
    <row r="18" spans="2:16" ht="15.75" thickBot="1">
      <c r="B18" s="463"/>
      <c r="C18" s="470"/>
      <c r="D18" s="289" t="s">
        <v>23</v>
      </c>
      <c r="E18" s="280">
        <f>'Artesanal Anchoveta XV-IV'!F15</f>
        <v>500</v>
      </c>
      <c r="F18" s="280">
        <f>+'Artesanal Anchoveta XV-IV'!G15</f>
        <v>0</v>
      </c>
      <c r="G18" s="280">
        <f>+'Artesanal Anchoveta XV-IV'!H15</f>
        <v>500</v>
      </c>
      <c r="H18" s="280">
        <f>+'Artesanal Anchoveta XV-IV'!I15</f>
        <v>0</v>
      </c>
      <c r="I18" s="280">
        <f t="shared" si="0"/>
        <v>500</v>
      </c>
      <c r="J18" s="65">
        <f t="shared" si="1"/>
        <v>0</v>
      </c>
      <c r="M18" s="306"/>
    </row>
    <row r="19" spans="2:16" ht="15" customHeight="1" thickTop="1">
      <c r="B19" s="463"/>
      <c r="C19" s="471" t="s">
        <v>24</v>
      </c>
      <c r="D19" s="290" t="s">
        <v>13</v>
      </c>
      <c r="E19" s="224">
        <f>+'Artesanal S.española XV-IV'!M7</f>
        <v>1294</v>
      </c>
      <c r="F19" s="54">
        <f>+'Artesanal S.española XV-IV'!N7</f>
        <v>0</v>
      </c>
      <c r="G19" s="224">
        <f>+'Artesanal S.española XV-IV'!O7</f>
        <v>1294</v>
      </c>
      <c r="H19" s="224">
        <f>+'Artesanal S.española XV-IV'!P7</f>
        <v>254.63200000000001</v>
      </c>
      <c r="I19" s="224">
        <f t="shared" si="0"/>
        <v>1039.3679999999999</v>
      </c>
      <c r="J19" s="66">
        <f t="shared" si="1"/>
        <v>0.19677897990726431</v>
      </c>
      <c r="M19" s="306"/>
      <c r="O19" s="306"/>
    </row>
    <row r="20" spans="2:16">
      <c r="B20" s="463"/>
      <c r="C20" s="469"/>
      <c r="D20" s="317" t="s">
        <v>16</v>
      </c>
      <c r="E20" s="215">
        <f>+'Artesanal S.española XV-IV'!M8</f>
        <v>4895</v>
      </c>
      <c r="F20" s="46">
        <f>+'Artesanal S.española XV-IV'!N8</f>
        <v>0</v>
      </c>
      <c r="G20" s="215">
        <f>+'Artesanal S.española XV-IV'!O8</f>
        <v>4895</v>
      </c>
      <c r="H20" s="215">
        <f>+'Artesanal S.española XV-IV'!P8</f>
        <v>2271.48</v>
      </c>
      <c r="I20" s="215">
        <f t="shared" si="0"/>
        <v>2623.52</v>
      </c>
      <c r="J20" s="64">
        <f t="shared" si="1"/>
        <v>0.46404085801838613</v>
      </c>
    </row>
    <row r="21" spans="2:16">
      <c r="B21" s="463"/>
      <c r="C21" s="469"/>
      <c r="D21" s="317" t="s">
        <v>18</v>
      </c>
      <c r="E21" s="215">
        <f>+'Artesanal S.española XV-IV'!M10</f>
        <v>880.75</v>
      </c>
      <c r="F21" s="46">
        <f>+'Artesanal S.española XV-IV'!N10</f>
        <v>0</v>
      </c>
      <c r="G21" s="215">
        <f>+'Artesanal S.española XV-IV'!O10</f>
        <v>880.75</v>
      </c>
      <c r="H21" s="215">
        <f>+'Artesanal S.española XV-IV'!P10</f>
        <v>463.16899999999998</v>
      </c>
      <c r="I21" s="215">
        <f t="shared" si="0"/>
        <v>417.58100000000002</v>
      </c>
      <c r="J21" s="64">
        <f t="shared" si="1"/>
        <v>0.52588021572523413</v>
      </c>
    </row>
    <row r="22" spans="2:16">
      <c r="B22" s="463"/>
      <c r="C22" s="469"/>
      <c r="D22" s="317" t="s">
        <v>20</v>
      </c>
      <c r="E22" s="215">
        <f>+'Artesanal S.española XV-IV'!M11</f>
        <v>880.75</v>
      </c>
      <c r="F22" s="46">
        <f>+'Artesanal S.española XV-IV'!N11</f>
        <v>0</v>
      </c>
      <c r="G22" s="215">
        <f>+'Artesanal S.española XV-IV'!O11</f>
        <v>880.75</v>
      </c>
      <c r="H22" s="215">
        <f>+'Artesanal S.española XV-IV'!P11</f>
        <v>147.68</v>
      </c>
      <c r="I22" s="215">
        <f t="shared" si="0"/>
        <v>733.06999999999994</v>
      </c>
      <c r="J22" s="64">
        <f t="shared" si="1"/>
        <v>0.16767527675276753</v>
      </c>
    </row>
    <row r="23" spans="2:16">
      <c r="B23" s="463"/>
      <c r="C23" s="469"/>
      <c r="D23" s="317" t="s">
        <v>22</v>
      </c>
      <c r="E23" s="215">
        <f>'Artesanal S.española XV-IV'!F9</f>
        <v>700</v>
      </c>
      <c r="F23" s="215">
        <f>+'Artesanal S.española XV-IV'!G9</f>
        <v>0</v>
      </c>
      <c r="G23" s="215">
        <f>+'Artesanal S.española XV-IV'!H9</f>
        <v>700</v>
      </c>
      <c r="H23" s="215">
        <f>+'Artesanal S.española XV-IV'!I9</f>
        <v>108.843</v>
      </c>
      <c r="I23" s="215">
        <f t="shared" si="0"/>
        <v>591.15700000000004</v>
      </c>
      <c r="J23" s="64">
        <f t="shared" si="1"/>
        <v>0.15549000000000002</v>
      </c>
    </row>
    <row r="24" spans="2:16" ht="15.75" thickBot="1">
      <c r="B24" s="464"/>
      <c r="C24" s="470"/>
      <c r="D24" s="289" t="s">
        <v>23</v>
      </c>
      <c r="E24" s="280">
        <f>+'Artesanal S.española XV-IV'!F12</f>
        <v>700</v>
      </c>
      <c r="F24" s="280">
        <f>+'Artesanal S.española XV-IV'!G12</f>
        <v>0</v>
      </c>
      <c r="G24" s="280">
        <f>+'Artesanal S.española XV-IV'!H12</f>
        <v>700</v>
      </c>
      <c r="H24" s="280">
        <f>+'Artesanal S.española XV-IV'!I12</f>
        <v>4.157</v>
      </c>
      <c r="I24" s="280">
        <f t="shared" si="0"/>
        <v>695.84299999999996</v>
      </c>
      <c r="J24" s="65">
        <f t="shared" si="1"/>
        <v>5.9385714285714285E-3</v>
      </c>
    </row>
    <row r="25" spans="2:16" ht="28.5" customHeight="1" thickTop="1">
      <c r="B25" s="286" t="s">
        <v>25</v>
      </c>
      <c r="C25" s="473" t="s">
        <v>26</v>
      </c>
      <c r="D25" s="466" t="s">
        <v>27</v>
      </c>
      <c r="E25" s="281">
        <v>400</v>
      </c>
      <c r="F25" s="282">
        <v>0</v>
      </c>
      <c r="G25" s="281">
        <f t="shared" ref="G25:G28" si="2">+E25+F25</f>
        <v>400</v>
      </c>
      <c r="H25" s="281">
        <f>'P. Investigación'!H26+'P. Investigación'!H33</f>
        <v>0</v>
      </c>
      <c r="I25" s="281">
        <f>+G25-H25</f>
        <v>400</v>
      </c>
      <c r="J25" s="283">
        <f>+H25/G25</f>
        <v>0</v>
      </c>
      <c r="M25" s="306"/>
      <c r="N25" s="306"/>
      <c r="O25" s="306"/>
      <c r="P25" s="306"/>
    </row>
    <row r="26" spans="2:16" ht="15.75" thickBot="1">
      <c r="B26" s="287" t="s">
        <v>28</v>
      </c>
      <c r="C26" s="474"/>
      <c r="D26" s="467"/>
      <c r="E26" s="280">
        <v>5739</v>
      </c>
      <c r="F26" s="59">
        <v>-5739</v>
      </c>
      <c r="G26" s="280">
        <f>+E26+F26</f>
        <v>0</v>
      </c>
      <c r="H26" s="280">
        <v>0</v>
      </c>
      <c r="I26" s="280">
        <v>0</v>
      </c>
      <c r="J26" s="65">
        <v>0</v>
      </c>
    </row>
    <row r="27" spans="2:16" ht="15.75" thickTop="1">
      <c r="B27" s="286" t="s">
        <v>25</v>
      </c>
      <c r="C27" s="301" t="s">
        <v>26</v>
      </c>
      <c r="D27" s="466" t="s">
        <v>29</v>
      </c>
      <c r="E27" s="281">
        <v>77</v>
      </c>
      <c r="F27" s="282">
        <v>0</v>
      </c>
      <c r="G27" s="281">
        <f t="shared" si="2"/>
        <v>77</v>
      </c>
      <c r="H27" s="281">
        <f>+'P. Investigación'!H19+'P. Investigación'!H42</f>
        <v>0</v>
      </c>
      <c r="I27" s="281">
        <f>+G27-H27</f>
        <v>77</v>
      </c>
      <c r="J27" s="283">
        <f>+H27/G27</f>
        <v>0</v>
      </c>
      <c r="M27" s="306"/>
      <c r="N27" s="306"/>
      <c r="O27" s="306"/>
    </row>
    <row r="28" spans="2:16" ht="15.75" thickBot="1">
      <c r="B28" s="287" t="s">
        <v>25</v>
      </c>
      <c r="C28" s="302" t="s">
        <v>24</v>
      </c>
      <c r="D28" s="467"/>
      <c r="E28" s="280">
        <v>77</v>
      </c>
      <c r="F28" s="59">
        <v>0</v>
      </c>
      <c r="G28" s="280">
        <f t="shared" si="2"/>
        <v>77</v>
      </c>
      <c r="H28" s="280">
        <v>0</v>
      </c>
      <c r="I28" s="280">
        <v>0</v>
      </c>
      <c r="J28" s="65">
        <v>0</v>
      </c>
      <c r="M28" s="306"/>
    </row>
    <row r="29" spans="2:16" ht="15.75" thickTop="1">
      <c r="B29" s="462" t="s">
        <v>30</v>
      </c>
      <c r="C29" s="472" t="s">
        <v>26</v>
      </c>
      <c r="D29" s="291" t="s">
        <v>27</v>
      </c>
      <c r="E29" s="284">
        <f>Industrial!E13</f>
        <v>480651.9040000001</v>
      </c>
      <c r="F29" s="282">
        <f>+Industrial!L13</f>
        <v>-195241.10800000001</v>
      </c>
      <c r="G29" s="281">
        <f>+Industrial!M13</f>
        <v>285410.79600000003</v>
      </c>
      <c r="H29" s="281">
        <f>+Industrial!N13</f>
        <v>14.260999999999999</v>
      </c>
      <c r="I29" s="281">
        <f>+G29-H29</f>
        <v>285396.53500000003</v>
      </c>
      <c r="J29" s="283">
        <f>+H29/G29</f>
        <v>4.9966575195704925E-5</v>
      </c>
      <c r="M29" s="306"/>
      <c r="N29" s="307"/>
      <c r="O29" s="186"/>
      <c r="P29" s="306"/>
    </row>
    <row r="30" spans="2:16">
      <c r="B30" s="463"/>
      <c r="C30" s="460"/>
      <c r="D30" s="318" t="s">
        <v>29</v>
      </c>
      <c r="E30" s="215">
        <f>+Industrial!K32</f>
        <v>11713.505000000001</v>
      </c>
      <c r="F30" s="46">
        <f>+Industrial!L32</f>
        <v>0</v>
      </c>
      <c r="G30" s="215">
        <f>+Industrial!M32</f>
        <v>11713.505000000001</v>
      </c>
      <c r="H30" s="215">
        <f>+Industrial!N32</f>
        <v>0</v>
      </c>
      <c r="I30" s="215">
        <f>+G30-H30</f>
        <v>11713.505000000001</v>
      </c>
      <c r="J30" s="64">
        <f>+H30/G30</f>
        <v>0</v>
      </c>
    </row>
    <row r="31" spans="2:16">
      <c r="B31" s="463"/>
      <c r="C31" s="460" t="s">
        <v>31</v>
      </c>
      <c r="D31" s="318" t="s">
        <v>27</v>
      </c>
      <c r="E31" s="215">
        <f>Industrial!E40</f>
        <v>2911.0049999999997</v>
      </c>
      <c r="F31" s="46">
        <f>+Industrial!L40</f>
        <v>0</v>
      </c>
      <c r="G31" s="215">
        <f>+Industrial!M40</f>
        <v>2911.0049999999997</v>
      </c>
      <c r="H31" s="215">
        <f>+Industrial!N40</f>
        <v>0</v>
      </c>
      <c r="I31" s="215">
        <f>+G31-H31</f>
        <v>2911.0049999999997</v>
      </c>
      <c r="J31" s="64">
        <f>+H31/G31</f>
        <v>0</v>
      </c>
      <c r="N31" s="306"/>
      <c r="O31" s="306"/>
    </row>
    <row r="32" spans="2:16" ht="15.75" thickBot="1">
      <c r="B32" s="464"/>
      <c r="C32" s="461"/>
      <c r="D32" s="292" t="s">
        <v>29</v>
      </c>
      <c r="E32" s="280">
        <f>+Industrial!K54</f>
        <v>2461.5000000000005</v>
      </c>
      <c r="F32" s="59">
        <f>+Industrial!L54</f>
        <v>0</v>
      </c>
      <c r="G32" s="280">
        <f>+Industrial!M54</f>
        <v>2461.5000000000005</v>
      </c>
      <c r="H32" s="280">
        <f>+Industrial!N54</f>
        <v>0</v>
      </c>
      <c r="I32" s="280">
        <f>+G32-H32</f>
        <v>2461.5000000000005</v>
      </c>
      <c r="J32" s="65">
        <f>+H32/G32</f>
        <v>0</v>
      </c>
      <c r="M32" s="306"/>
    </row>
    <row r="33" spans="2:14" ht="15.75" thickTop="1">
      <c r="B33" s="450" t="s">
        <v>32</v>
      </c>
      <c r="C33" s="303" t="s">
        <v>12</v>
      </c>
      <c r="D33" s="452" t="s">
        <v>33</v>
      </c>
      <c r="E33" s="224">
        <v>0</v>
      </c>
      <c r="F33" s="54">
        <f>'Cesiones ind y colec'!R5</f>
        <v>195241.10800000004</v>
      </c>
      <c r="G33" s="224">
        <f>'Cesiones ind y colec'!R5</f>
        <v>195241.10800000004</v>
      </c>
      <c r="H33" s="224">
        <f>'Cesiones ind y colec'!S5</f>
        <v>17732.544000000005</v>
      </c>
      <c r="I33" s="224">
        <f>'Cesiones ind y colec'!T5</f>
        <v>177508.56400000004</v>
      </c>
      <c r="J33" s="66">
        <f>'Cesiones ind y colec'!U5</f>
        <v>9.0823823843490997E-2</v>
      </c>
      <c r="M33" s="307"/>
    </row>
    <row r="34" spans="2:14" ht="15.75" thickBot="1">
      <c r="B34" s="451"/>
      <c r="C34" s="304" t="s">
        <v>24</v>
      </c>
      <c r="D34" s="453"/>
      <c r="E34" s="279">
        <v>0</v>
      </c>
      <c r="F34" s="70">
        <f>'Cesiones ind y colec'!R6</f>
        <v>0</v>
      </c>
      <c r="G34" s="279">
        <f>'Cesiones ind y colec'!R6</f>
        <v>0</v>
      </c>
      <c r="H34" s="279">
        <f>'Cesiones ind y colec'!R6</f>
        <v>0</v>
      </c>
      <c r="I34" s="279">
        <f>'Cesiones ind y colec'!T6</f>
        <v>0</v>
      </c>
      <c r="J34" s="72" t="e">
        <f>'Cesiones ind y colec'!U6</f>
        <v>#DIV/0!</v>
      </c>
    </row>
    <row r="35" spans="2:14" s="155" customFormat="1">
      <c r="E35" s="310">
        <f>SUM(E9:E34)</f>
        <v>612423.91400000011</v>
      </c>
      <c r="F35" s="193">
        <f>SUM(F9:F34)</f>
        <v>2.9103830456733704E-11</v>
      </c>
      <c r="G35" s="186"/>
    </row>
    <row r="36" spans="2:14" s="155" customFormat="1"/>
    <row r="37" spans="2:14" s="155" customFormat="1"/>
    <row r="38" spans="2:14" s="155" customFormat="1" hidden="1">
      <c r="J38" s="300"/>
    </row>
    <row r="39" spans="2:14" s="155" customFormat="1"/>
    <row r="40" spans="2:14" s="155" customFormat="1">
      <c r="N40" s="309"/>
    </row>
    <row r="41" spans="2:14" s="155" customFormat="1">
      <c r="L41" s="308"/>
    </row>
    <row r="42" spans="2:14" s="155" customFormat="1"/>
    <row r="43" spans="2:14" s="155" customFormat="1"/>
    <row r="44" spans="2:14" s="155" customFormat="1"/>
    <row r="45" spans="2:14" s="155" customFormat="1"/>
    <row r="46" spans="2:14" s="155" customFormat="1"/>
    <row r="47" spans="2:14" s="155" customFormat="1"/>
    <row r="48" spans="2:14" s="155" customFormat="1"/>
    <row r="49" s="155" customFormat="1"/>
    <row r="50" s="155" customFormat="1"/>
    <row r="51" s="155" customFormat="1"/>
    <row r="52" s="155" customFormat="1"/>
    <row r="53" s="155" customFormat="1"/>
    <row r="54" s="155" customFormat="1"/>
  </sheetData>
  <mergeCells count="14">
    <mergeCell ref="B33:B34"/>
    <mergeCell ref="D33:D34"/>
    <mergeCell ref="B2:J3"/>
    <mergeCell ref="C31:C32"/>
    <mergeCell ref="B29:B32"/>
    <mergeCell ref="B9:B24"/>
    <mergeCell ref="D25:D26"/>
    <mergeCell ref="D27:D28"/>
    <mergeCell ref="C9:C18"/>
    <mergeCell ref="C19:C24"/>
    <mergeCell ref="C29:C30"/>
    <mergeCell ref="C25:C26"/>
    <mergeCell ref="B5:J5"/>
    <mergeCell ref="B4:J4"/>
  </mergeCells>
  <conditionalFormatting sqref="J9:J38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{AE35FE12-155C-417A-BB2A-2FC71964CE2A}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E35FE12-155C-417A-BB2A-2FC71964CE2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J9:J38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</sheetPr>
  <dimension ref="B1:S22"/>
  <sheetViews>
    <sheetView zoomScale="120" zoomScaleNormal="120" workbookViewId="0">
      <selection activeCell="G19" sqref="G19"/>
    </sheetView>
  </sheetViews>
  <sheetFormatPr defaultColWidth="11.42578125" defaultRowHeight="15"/>
  <cols>
    <col min="1" max="1" width="2.85546875" style="5" customWidth="1"/>
    <col min="2" max="2" width="21.7109375" style="5" customWidth="1"/>
    <col min="3" max="3" width="27.85546875" style="5" bestFit="1" customWidth="1"/>
    <col min="4" max="4" width="30.85546875" style="5" customWidth="1"/>
    <col min="5" max="5" width="8.85546875" style="5" bestFit="1" customWidth="1"/>
    <col min="6" max="6" width="12.28515625" style="5" customWidth="1"/>
    <col min="7" max="7" width="12.7109375" style="5" bestFit="1" customWidth="1"/>
    <col min="8" max="12" width="11.42578125" style="5"/>
    <col min="13" max="13" width="14" style="5" customWidth="1"/>
    <col min="14" max="19" width="11.42578125" style="5" customWidth="1"/>
    <col min="20" max="16384" width="11.42578125" style="5"/>
  </cols>
  <sheetData>
    <row r="1" spans="2:19" ht="15.75" thickBot="1"/>
    <row r="2" spans="2:19">
      <c r="B2" s="454" t="s">
        <v>34</v>
      </c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6"/>
    </row>
    <row r="3" spans="2:19">
      <c r="B3" s="457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9"/>
    </row>
    <row r="4" spans="2:19" ht="15.75" thickBot="1">
      <c r="B4" s="484">
        <f>Resumen!B4</f>
        <v>45763</v>
      </c>
      <c r="C4" s="485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5"/>
      <c r="R4" s="485"/>
      <c r="S4" s="486"/>
    </row>
    <row r="5" spans="2:19" ht="15.75" thickBot="1">
      <c r="N5" s="487" t="s">
        <v>35</v>
      </c>
      <c r="O5" s="487"/>
      <c r="P5" s="487"/>
      <c r="Q5" s="487"/>
      <c r="R5" s="487"/>
      <c r="S5" s="487"/>
    </row>
    <row r="6" spans="2:19" ht="30">
      <c r="B6" s="60" t="s">
        <v>36</v>
      </c>
      <c r="C6" s="61" t="s">
        <v>37</v>
      </c>
      <c r="D6" s="61" t="s">
        <v>38</v>
      </c>
      <c r="E6" s="61" t="s">
        <v>39</v>
      </c>
      <c r="F6" s="62" t="s">
        <v>40</v>
      </c>
      <c r="G6" s="61" t="s">
        <v>6</v>
      </c>
      <c r="H6" s="62" t="s">
        <v>41</v>
      </c>
      <c r="I6" s="62" t="s">
        <v>42</v>
      </c>
      <c r="J6" s="62" t="s">
        <v>43</v>
      </c>
      <c r="K6" s="62" t="s">
        <v>44</v>
      </c>
      <c r="L6" s="61" t="s">
        <v>45</v>
      </c>
      <c r="M6" s="63" t="s">
        <v>46</v>
      </c>
      <c r="N6" s="82" t="s">
        <v>40</v>
      </c>
      <c r="O6" s="61" t="s">
        <v>6</v>
      </c>
      <c r="P6" s="61" t="s">
        <v>41</v>
      </c>
      <c r="Q6" s="61" t="s">
        <v>8</v>
      </c>
      <c r="R6" s="61" t="s">
        <v>9</v>
      </c>
      <c r="S6" s="63" t="s">
        <v>45</v>
      </c>
    </row>
    <row r="7" spans="2:19">
      <c r="B7" s="488" t="s">
        <v>47</v>
      </c>
      <c r="C7" s="45" t="s">
        <v>48</v>
      </c>
      <c r="D7" s="78" t="s">
        <v>49</v>
      </c>
      <c r="E7" s="44" t="s">
        <v>50</v>
      </c>
      <c r="F7" s="44">
        <v>62735</v>
      </c>
      <c r="G7" s="44">
        <v>5739</v>
      </c>
      <c r="H7" s="44">
        <f t="shared" ref="H7:H15" si="0">+F7+G7</f>
        <v>68474</v>
      </c>
      <c r="I7" s="27">
        <v>68491.706000000006</v>
      </c>
      <c r="J7" s="46"/>
      <c r="K7" s="46">
        <f>+H7-I7</f>
        <v>-17.706000000005588</v>
      </c>
      <c r="L7" s="28">
        <f>+I7/H7</f>
        <v>1.0002585798989398</v>
      </c>
      <c r="M7" s="342">
        <v>45758</v>
      </c>
      <c r="N7" s="319">
        <f>+F7</f>
        <v>62735</v>
      </c>
      <c r="O7" s="46">
        <f>+G7</f>
        <v>5739</v>
      </c>
      <c r="P7" s="46">
        <f>+N7+O7</f>
        <v>68474</v>
      </c>
      <c r="Q7" s="46">
        <f t="shared" ref="Q7:Q15" si="1">+I7</f>
        <v>68491.706000000006</v>
      </c>
      <c r="R7" s="46">
        <f t="shared" ref="R7:R15" si="2">+P7-Q7</f>
        <v>-17.706000000005588</v>
      </c>
      <c r="S7" s="64">
        <f t="shared" ref="S7:S15" si="3">+Q7/P7</f>
        <v>1.0002585798989398</v>
      </c>
    </row>
    <row r="8" spans="2:19">
      <c r="B8" s="488"/>
      <c r="C8" s="43" t="s">
        <v>51</v>
      </c>
      <c r="D8" s="78" t="s">
        <v>52</v>
      </c>
      <c r="E8" s="44" t="s">
        <v>50</v>
      </c>
      <c r="F8" s="46">
        <v>23594</v>
      </c>
      <c r="G8" s="46"/>
      <c r="H8" s="46">
        <f>+F8+G8</f>
        <v>23594</v>
      </c>
      <c r="I8" s="27">
        <v>12094.473</v>
      </c>
      <c r="J8" s="27"/>
      <c r="K8" s="46">
        <f t="shared" ref="K8:K15" si="4">+H8-I8</f>
        <v>11499.527</v>
      </c>
      <c r="L8" s="28">
        <f>+I8/H8</f>
        <v>0.51260799355768416</v>
      </c>
      <c r="M8" s="86" t="s">
        <v>15</v>
      </c>
      <c r="N8" s="319">
        <f>F8</f>
        <v>23594</v>
      </c>
      <c r="O8" s="46">
        <f t="shared" ref="N8:O11" si="5">+G8</f>
        <v>0</v>
      </c>
      <c r="P8" s="46">
        <f>+N8+O8</f>
        <v>23594</v>
      </c>
      <c r="Q8" s="46">
        <f>+I8</f>
        <v>12094.473</v>
      </c>
      <c r="R8" s="46">
        <f>+P8-Q8</f>
        <v>11499.527</v>
      </c>
      <c r="S8" s="64">
        <f>+Q8/P8</f>
        <v>0.51260799355768416</v>
      </c>
    </row>
    <row r="9" spans="2:19" ht="15.75" thickBot="1">
      <c r="B9" s="489"/>
      <c r="C9" s="58" t="s">
        <v>53</v>
      </c>
      <c r="D9" s="79" t="s">
        <v>27</v>
      </c>
      <c r="E9" s="75" t="s">
        <v>50</v>
      </c>
      <c r="F9" s="59">
        <v>1000</v>
      </c>
      <c r="G9" s="59"/>
      <c r="H9" s="59">
        <f t="shared" si="0"/>
        <v>1000</v>
      </c>
      <c r="I9" s="59"/>
      <c r="J9" s="59"/>
      <c r="K9" s="59">
        <f t="shared" si="4"/>
        <v>1000</v>
      </c>
      <c r="L9" s="305">
        <f t="shared" ref="L9:L15" si="6">+I9/H9</f>
        <v>0</v>
      </c>
      <c r="M9" s="87" t="s">
        <v>15</v>
      </c>
      <c r="N9" s="83">
        <f t="shared" si="5"/>
        <v>1000</v>
      </c>
      <c r="O9" s="59">
        <f t="shared" si="5"/>
        <v>0</v>
      </c>
      <c r="P9" s="59">
        <f>+H9</f>
        <v>1000</v>
      </c>
      <c r="Q9" s="59">
        <f t="shared" si="1"/>
        <v>0</v>
      </c>
      <c r="R9" s="59">
        <f t="shared" si="2"/>
        <v>1000</v>
      </c>
      <c r="S9" s="65">
        <f t="shared" si="3"/>
        <v>0</v>
      </c>
    </row>
    <row r="10" spans="2:19" ht="15.75" thickTop="1">
      <c r="B10" s="481" t="s">
        <v>54</v>
      </c>
      <c r="C10" s="73" t="s">
        <v>55</v>
      </c>
      <c r="D10" s="80" t="s">
        <v>56</v>
      </c>
      <c r="E10" s="76" t="s">
        <v>50</v>
      </c>
      <c r="F10" s="54">
        <v>7849.5</v>
      </c>
      <c r="G10" s="54"/>
      <c r="H10" s="54">
        <f t="shared" si="0"/>
        <v>7849.5</v>
      </c>
      <c r="I10" s="55"/>
      <c r="J10" s="55"/>
      <c r="K10" s="54">
        <f t="shared" si="4"/>
        <v>7849.5</v>
      </c>
      <c r="L10" s="56">
        <f t="shared" si="6"/>
        <v>0</v>
      </c>
      <c r="M10" s="88" t="s">
        <v>15</v>
      </c>
      <c r="N10" s="84">
        <f t="shared" si="5"/>
        <v>7849.5</v>
      </c>
      <c r="O10" s="54">
        <f t="shared" si="5"/>
        <v>0</v>
      </c>
      <c r="P10" s="54">
        <f>+N10+O10</f>
        <v>7849.5</v>
      </c>
      <c r="Q10" s="54">
        <f t="shared" si="1"/>
        <v>0</v>
      </c>
      <c r="R10" s="54">
        <f t="shared" si="2"/>
        <v>7849.5</v>
      </c>
      <c r="S10" s="66">
        <f t="shared" si="3"/>
        <v>0</v>
      </c>
    </row>
    <row r="11" spans="2:19">
      <c r="B11" s="482"/>
      <c r="C11" s="490" t="s">
        <v>57</v>
      </c>
      <c r="D11" s="77" t="s">
        <v>58</v>
      </c>
      <c r="E11" s="44" t="s">
        <v>50</v>
      </c>
      <c r="F11" s="46">
        <v>248.02099999999999</v>
      </c>
      <c r="G11" s="46"/>
      <c r="H11" s="46">
        <f>+F11+G11</f>
        <v>248.02099999999999</v>
      </c>
      <c r="I11" s="27"/>
      <c r="J11" s="27"/>
      <c r="K11" s="46">
        <f t="shared" si="4"/>
        <v>248.02099999999999</v>
      </c>
      <c r="L11" s="28">
        <f t="shared" si="6"/>
        <v>0</v>
      </c>
      <c r="M11" s="86" t="s">
        <v>15</v>
      </c>
      <c r="N11" s="319">
        <f>+F11</f>
        <v>248.02099999999999</v>
      </c>
      <c r="O11" s="46">
        <f t="shared" si="5"/>
        <v>0</v>
      </c>
      <c r="P11" s="46">
        <f>+N11+O11</f>
        <v>248.02099999999999</v>
      </c>
      <c r="Q11" s="46">
        <f t="shared" si="1"/>
        <v>0</v>
      </c>
      <c r="R11" s="46">
        <f t="shared" si="2"/>
        <v>248.02099999999999</v>
      </c>
      <c r="S11" s="64">
        <f t="shared" si="3"/>
        <v>0</v>
      </c>
    </row>
    <row r="12" spans="2:19">
      <c r="B12" s="482"/>
      <c r="C12" s="490"/>
      <c r="D12" s="77" t="s">
        <v>59</v>
      </c>
      <c r="E12" s="44" t="s">
        <v>50</v>
      </c>
      <c r="F12" s="46">
        <v>2841.442</v>
      </c>
      <c r="G12" s="46"/>
      <c r="H12" s="46">
        <f>+F12+G12</f>
        <v>2841.442</v>
      </c>
      <c r="I12" s="27">
        <v>32.966999999999999</v>
      </c>
      <c r="J12" s="27"/>
      <c r="K12" s="46">
        <f t="shared" ref="K12:K13" si="7">+H12-I12</f>
        <v>2808.4749999999999</v>
      </c>
      <c r="L12" s="28">
        <f t="shared" ref="L12:L13" si="8">+I12/H12</f>
        <v>1.1602207611487406E-2</v>
      </c>
      <c r="M12" s="86" t="s">
        <v>15</v>
      </c>
      <c r="N12" s="319">
        <f>+F12</f>
        <v>2841.442</v>
      </c>
      <c r="O12" s="46">
        <f t="shared" ref="O12" si="9">+G12</f>
        <v>0</v>
      </c>
      <c r="P12" s="46">
        <f>+N12+O12</f>
        <v>2841.442</v>
      </c>
      <c r="Q12" s="46">
        <f t="shared" ref="Q12" si="10">+I12</f>
        <v>32.966999999999999</v>
      </c>
      <c r="R12" s="46">
        <f t="shared" ref="R12" si="11">+P12-Q12</f>
        <v>2808.4749999999999</v>
      </c>
      <c r="S12" s="64">
        <f t="shared" ref="S12" si="12">+Q12/P12</f>
        <v>1.1602207611487406E-2</v>
      </c>
    </row>
    <row r="13" spans="2:19" ht="30">
      <c r="B13" s="482"/>
      <c r="C13" s="490"/>
      <c r="D13" s="77" t="s">
        <v>60</v>
      </c>
      <c r="E13" s="44" t="s">
        <v>50</v>
      </c>
      <c r="F13" s="46">
        <v>48.984000000000002</v>
      </c>
      <c r="G13" s="46"/>
      <c r="H13" s="46">
        <f>+F13+G13</f>
        <v>48.984000000000002</v>
      </c>
      <c r="I13" s="27"/>
      <c r="J13" s="27"/>
      <c r="K13" s="46">
        <f t="shared" si="7"/>
        <v>48.984000000000002</v>
      </c>
      <c r="L13" s="28">
        <f t="shared" si="8"/>
        <v>0</v>
      </c>
      <c r="M13" s="86" t="s">
        <v>15</v>
      </c>
      <c r="N13" s="319">
        <f>+F13</f>
        <v>48.984000000000002</v>
      </c>
      <c r="O13" s="46">
        <f t="shared" ref="O13" si="13">+G13</f>
        <v>0</v>
      </c>
      <c r="P13" s="46">
        <f>+N13+O13</f>
        <v>48.984000000000002</v>
      </c>
      <c r="Q13" s="46">
        <f t="shared" ref="Q13" si="14">+I13</f>
        <v>0</v>
      </c>
      <c r="R13" s="46">
        <f t="shared" ref="R13" si="15">+P13-Q13</f>
        <v>48.984000000000002</v>
      </c>
      <c r="S13" s="64">
        <f t="shared" ref="S13" si="16">+Q13/P13</f>
        <v>0</v>
      </c>
    </row>
    <row r="14" spans="2:19">
      <c r="B14" s="482"/>
      <c r="C14" s="490"/>
      <c r="D14" s="77" t="s">
        <v>61</v>
      </c>
      <c r="E14" s="44" t="s">
        <v>50</v>
      </c>
      <c r="F14" s="46">
        <v>225.553</v>
      </c>
      <c r="G14" s="46"/>
      <c r="H14" s="46">
        <f>+F14+G14</f>
        <v>225.553</v>
      </c>
      <c r="I14" s="27"/>
      <c r="J14" s="27"/>
      <c r="K14" s="46">
        <f>+H14-(I14+J14)</f>
        <v>225.553</v>
      </c>
      <c r="L14" s="28">
        <f t="shared" si="6"/>
        <v>0</v>
      </c>
      <c r="M14" s="86" t="s">
        <v>15</v>
      </c>
      <c r="N14" s="319">
        <f>+F14</f>
        <v>225.553</v>
      </c>
      <c r="O14" s="46">
        <f>+G14</f>
        <v>0</v>
      </c>
      <c r="P14" s="46">
        <f>+N14+O14</f>
        <v>225.553</v>
      </c>
      <c r="Q14" s="46">
        <f t="shared" si="1"/>
        <v>0</v>
      </c>
      <c r="R14" s="46">
        <f t="shared" si="2"/>
        <v>225.553</v>
      </c>
      <c r="S14" s="64">
        <f t="shared" si="3"/>
        <v>0</v>
      </c>
    </row>
    <row r="15" spans="2:19" ht="15.75" thickBot="1">
      <c r="B15" s="483"/>
      <c r="C15" s="74" t="s">
        <v>53</v>
      </c>
      <c r="D15" s="81" t="s">
        <v>29</v>
      </c>
      <c r="E15" s="67" t="s">
        <v>50</v>
      </c>
      <c r="F15" s="70">
        <v>500</v>
      </c>
      <c r="G15" s="70"/>
      <c r="H15" s="70">
        <f t="shared" si="0"/>
        <v>500</v>
      </c>
      <c r="I15" s="70"/>
      <c r="J15" s="70"/>
      <c r="K15" s="70">
        <f t="shared" si="4"/>
        <v>500</v>
      </c>
      <c r="L15" s="71">
        <f t="shared" si="6"/>
        <v>0</v>
      </c>
      <c r="M15" s="89" t="s">
        <v>15</v>
      </c>
      <c r="N15" s="85">
        <f>+F15</f>
        <v>500</v>
      </c>
      <c r="O15" s="70">
        <f>+G15</f>
        <v>0</v>
      </c>
      <c r="P15" s="70">
        <f>+H15</f>
        <v>500</v>
      </c>
      <c r="Q15" s="70">
        <f t="shared" si="1"/>
        <v>0</v>
      </c>
      <c r="R15" s="70">
        <f t="shared" si="2"/>
        <v>500</v>
      </c>
      <c r="S15" s="72">
        <f t="shared" si="3"/>
        <v>0</v>
      </c>
    </row>
    <row r="16" spans="2:19">
      <c r="F16" s="50"/>
    </row>
    <row r="19" spans="4:4">
      <c r="D19" s="51"/>
    </row>
    <row r="20" spans="4:4">
      <c r="D20" s="51"/>
    </row>
    <row r="21" spans="4:4">
      <c r="D21" s="51"/>
    </row>
    <row r="22" spans="4:4">
      <c r="D22" s="51"/>
    </row>
  </sheetData>
  <mergeCells count="6">
    <mergeCell ref="B2:S3"/>
    <mergeCell ref="B10:B15"/>
    <mergeCell ref="B4:S4"/>
    <mergeCell ref="N5:S5"/>
    <mergeCell ref="B7:B9"/>
    <mergeCell ref="C11:C14"/>
  </mergeCells>
  <conditionalFormatting sqref="K7:K15">
    <cfRule type="cellIs" dxfId="5" priority="3" operator="lessThan">
      <formula>0</formula>
    </cfRule>
  </conditionalFormatting>
  <conditionalFormatting sqref="S7:S8 L7:L15 S10:S15">
    <cfRule type="cellIs" dxfId="4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H10 P10:P11 P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2:S14"/>
  <sheetViews>
    <sheetView zoomScale="110" zoomScaleNormal="110" workbookViewId="0">
      <selection activeCell="I11" sqref="I11"/>
    </sheetView>
  </sheetViews>
  <sheetFormatPr defaultColWidth="11.42578125" defaultRowHeight="15"/>
  <cols>
    <col min="1" max="1" width="3" customWidth="1"/>
    <col min="2" max="2" width="24.5703125" customWidth="1"/>
    <col min="3" max="3" width="27.42578125" customWidth="1"/>
    <col min="4" max="4" width="20.85546875" customWidth="1"/>
    <col min="5" max="5" width="8.85546875" bestFit="1" customWidth="1"/>
    <col min="6" max="6" width="16.7109375" customWidth="1"/>
    <col min="7" max="7" width="12.85546875" bestFit="1" customWidth="1"/>
    <col min="8" max="8" width="13.5703125" customWidth="1"/>
    <col min="9" max="9" width="10" customWidth="1"/>
    <col min="10" max="10" width="9.42578125" customWidth="1"/>
    <col min="11" max="11" width="14.140625" customWidth="1"/>
    <col min="13" max="13" width="10" hidden="1" customWidth="1"/>
    <col min="14" max="14" width="12.85546875" hidden="1" customWidth="1"/>
    <col min="15" max="15" width="10" hidden="1" customWidth="1"/>
    <col min="16" max="16" width="9" hidden="1" customWidth="1"/>
    <col min="17" max="17" width="9.42578125" hidden="1" customWidth="1"/>
    <col min="18" max="18" width="2.140625" hidden="1" customWidth="1"/>
  </cols>
  <sheetData>
    <row r="2" spans="2:19">
      <c r="B2" s="495" t="s">
        <v>62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</row>
    <row r="3" spans="2:19"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</row>
    <row r="4" spans="2:19">
      <c r="B4" s="496">
        <f>Resumen!B4</f>
        <v>45763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</row>
    <row r="5" spans="2:19" ht="15.75" thickBot="1">
      <c r="M5" s="497" t="s">
        <v>35</v>
      </c>
      <c r="N5" s="497"/>
      <c r="O5" s="497"/>
      <c r="P5" s="497"/>
      <c r="Q5" s="497"/>
      <c r="R5" s="497"/>
    </row>
    <row r="6" spans="2:19" ht="46.5" customHeight="1" thickBot="1">
      <c r="B6" s="105" t="s">
        <v>36</v>
      </c>
      <c r="C6" s="106" t="s">
        <v>37</v>
      </c>
      <c r="D6" s="106" t="s">
        <v>38</v>
      </c>
      <c r="E6" s="106" t="s">
        <v>39</v>
      </c>
      <c r="F6" s="107" t="s">
        <v>40</v>
      </c>
      <c r="G6" s="106" t="s">
        <v>6</v>
      </c>
      <c r="H6" s="107" t="s">
        <v>41</v>
      </c>
      <c r="I6" s="106" t="s">
        <v>8</v>
      </c>
      <c r="J6" s="106" t="s">
        <v>9</v>
      </c>
      <c r="K6" s="106" t="s">
        <v>45</v>
      </c>
      <c r="L6" s="108" t="s">
        <v>46</v>
      </c>
      <c r="M6" s="320" t="s">
        <v>40</v>
      </c>
      <c r="N6" s="321" t="s">
        <v>6</v>
      </c>
      <c r="O6" s="322" t="s">
        <v>41</v>
      </c>
      <c r="P6" s="321" t="s">
        <v>8</v>
      </c>
      <c r="Q6" s="321" t="s">
        <v>9</v>
      </c>
      <c r="R6" s="322" t="s">
        <v>45</v>
      </c>
    </row>
    <row r="7" spans="2:19">
      <c r="B7" s="493" t="s">
        <v>63</v>
      </c>
      <c r="C7" s="114" t="s">
        <v>48</v>
      </c>
      <c r="D7" s="114" t="s">
        <v>49</v>
      </c>
      <c r="E7" s="115" t="s">
        <v>50</v>
      </c>
      <c r="F7" s="116">
        <v>1294</v>
      </c>
      <c r="G7" s="116"/>
      <c r="H7" s="116">
        <f t="shared" ref="H7:H12" si="0">+F7+G7</f>
        <v>1294</v>
      </c>
      <c r="I7" s="311">
        <v>254.63200000000001</v>
      </c>
      <c r="J7" s="116">
        <f t="shared" ref="J7:J12" si="1">+H7-I7</f>
        <v>1039.3679999999999</v>
      </c>
      <c r="K7" s="293">
        <f t="shared" ref="K7:K10" si="2">+I7/H7</f>
        <v>0.19677897990726431</v>
      </c>
      <c r="L7" s="117" t="s">
        <v>15</v>
      </c>
      <c r="M7" s="319">
        <f t="shared" ref="M7:N12" si="3">+F7</f>
        <v>1294</v>
      </c>
      <c r="N7" s="46">
        <f t="shared" si="3"/>
        <v>0</v>
      </c>
      <c r="O7" s="46">
        <f>+M7+N7</f>
        <v>1294</v>
      </c>
      <c r="P7" s="46">
        <f t="shared" ref="P7:P12" si="4">+I7</f>
        <v>254.63200000000001</v>
      </c>
      <c r="Q7" s="46">
        <f t="shared" ref="Q7:Q12" si="5">+O7-P7</f>
        <v>1039.3679999999999</v>
      </c>
      <c r="R7" s="323">
        <f t="shared" ref="R7:R12" si="6">+P7/O7</f>
        <v>0.19677897990726431</v>
      </c>
    </row>
    <row r="8" spans="2:19">
      <c r="B8" s="491"/>
      <c r="C8" s="36" t="s">
        <v>51</v>
      </c>
      <c r="D8" s="96" t="s">
        <v>52</v>
      </c>
      <c r="E8" s="36" t="s">
        <v>50</v>
      </c>
      <c r="F8" s="97">
        <v>4895</v>
      </c>
      <c r="G8" s="97"/>
      <c r="H8" s="97">
        <f>+F8+G8</f>
        <v>4895</v>
      </c>
      <c r="I8" s="312">
        <v>2271.48</v>
      </c>
      <c r="J8" s="46">
        <f>+H8-I8</f>
        <v>2623.52</v>
      </c>
      <c r="K8" s="294">
        <f>+I8/H8</f>
        <v>0.46404085801838613</v>
      </c>
      <c r="L8" s="98" t="s">
        <v>15</v>
      </c>
      <c r="M8" s="319">
        <f t="shared" si="3"/>
        <v>4895</v>
      </c>
      <c r="N8" s="46">
        <f t="shared" si="3"/>
        <v>0</v>
      </c>
      <c r="O8" s="46">
        <f>+M8+N8</f>
        <v>4895</v>
      </c>
      <c r="P8" s="46">
        <f t="shared" si="4"/>
        <v>2271.48</v>
      </c>
      <c r="Q8" s="46">
        <f t="shared" si="5"/>
        <v>2623.52</v>
      </c>
      <c r="R8" s="323">
        <f t="shared" si="6"/>
        <v>0.46404085801838613</v>
      </c>
    </row>
    <row r="9" spans="2:19" ht="15.75" thickBot="1">
      <c r="B9" s="494"/>
      <c r="C9" s="118" t="s">
        <v>53</v>
      </c>
      <c r="D9" s="57" t="s">
        <v>27</v>
      </c>
      <c r="E9" s="75" t="s">
        <v>50</v>
      </c>
      <c r="F9" s="119">
        <v>700</v>
      </c>
      <c r="G9" s="59"/>
      <c r="H9" s="59">
        <f t="shared" si="0"/>
        <v>700</v>
      </c>
      <c r="I9" s="313">
        <v>108.843</v>
      </c>
      <c r="J9" s="59">
        <f t="shared" si="1"/>
        <v>591.15700000000004</v>
      </c>
      <c r="K9" s="295">
        <f>+I9/H9</f>
        <v>0.15549000000000002</v>
      </c>
      <c r="L9" s="120" t="s">
        <v>15</v>
      </c>
      <c r="M9" s="84">
        <f t="shared" si="3"/>
        <v>700</v>
      </c>
      <c r="N9" s="54">
        <f t="shared" si="3"/>
        <v>0</v>
      </c>
      <c r="O9" s="54">
        <f>+H9</f>
        <v>700</v>
      </c>
      <c r="P9" s="54">
        <f t="shared" si="4"/>
        <v>108.843</v>
      </c>
      <c r="Q9" s="54">
        <f t="shared" si="5"/>
        <v>591.15700000000004</v>
      </c>
      <c r="R9" s="92">
        <f t="shared" si="6"/>
        <v>0.15549000000000002</v>
      </c>
    </row>
    <row r="10" spans="2:19" ht="15" customHeight="1" thickTop="1">
      <c r="B10" s="491" t="s">
        <v>64</v>
      </c>
      <c r="C10" s="109" t="s">
        <v>65</v>
      </c>
      <c r="D10" s="109" t="s">
        <v>56</v>
      </c>
      <c r="E10" s="109" t="s">
        <v>50</v>
      </c>
      <c r="F10" s="110">
        <v>880.75</v>
      </c>
      <c r="G10" s="111"/>
      <c r="H10" s="112">
        <f t="shared" si="0"/>
        <v>880.75</v>
      </c>
      <c r="I10" s="314">
        <v>463.16899999999998</v>
      </c>
      <c r="J10" s="112">
        <f t="shared" si="1"/>
        <v>417.58100000000002</v>
      </c>
      <c r="K10" s="296">
        <f t="shared" si="2"/>
        <v>0.52588021572523413</v>
      </c>
      <c r="L10" s="113" t="s">
        <v>15</v>
      </c>
      <c r="M10" s="324">
        <f t="shared" si="3"/>
        <v>880.75</v>
      </c>
      <c r="N10" s="97">
        <f t="shared" si="3"/>
        <v>0</v>
      </c>
      <c r="O10" s="97">
        <f>+M10+N10</f>
        <v>880.75</v>
      </c>
      <c r="P10" s="97">
        <f t="shared" si="4"/>
        <v>463.16899999999998</v>
      </c>
      <c r="Q10" s="97">
        <f t="shared" si="5"/>
        <v>417.58100000000002</v>
      </c>
      <c r="R10" s="297">
        <f t="shared" si="6"/>
        <v>0.52588021572523413</v>
      </c>
      <c r="S10" s="32"/>
    </row>
    <row r="11" spans="2:19">
      <c r="B11" s="491"/>
      <c r="C11" s="102" t="s">
        <v>57</v>
      </c>
      <c r="D11" s="102" t="s">
        <v>66</v>
      </c>
      <c r="E11" s="102" t="s">
        <v>50</v>
      </c>
      <c r="F11" s="103">
        <v>880.75</v>
      </c>
      <c r="G11" s="99"/>
      <c r="H11" s="97">
        <f t="shared" si="0"/>
        <v>880.75</v>
      </c>
      <c r="I11" s="315">
        <v>147.68</v>
      </c>
      <c r="J11" s="97">
        <f t="shared" si="1"/>
        <v>733.06999999999994</v>
      </c>
      <c r="K11" s="297">
        <f>+I11/H11</f>
        <v>0.16767527675276753</v>
      </c>
      <c r="L11" s="98" t="s">
        <v>15</v>
      </c>
      <c r="M11" s="324">
        <f t="shared" si="3"/>
        <v>880.75</v>
      </c>
      <c r="N11" s="97">
        <f t="shared" si="3"/>
        <v>0</v>
      </c>
      <c r="O11" s="97">
        <f>+M11+N11</f>
        <v>880.75</v>
      </c>
      <c r="P11" s="97">
        <f t="shared" si="4"/>
        <v>147.68</v>
      </c>
      <c r="Q11" s="97">
        <f t="shared" si="5"/>
        <v>733.06999999999994</v>
      </c>
      <c r="R11" s="297">
        <f>+P11/O11</f>
        <v>0.16767527675276753</v>
      </c>
      <c r="S11" s="32"/>
    </row>
    <row r="12" spans="2:19" ht="15.75" thickBot="1">
      <c r="B12" s="492"/>
      <c r="C12" s="67" t="s">
        <v>53</v>
      </c>
      <c r="D12" s="67" t="s">
        <v>29</v>
      </c>
      <c r="E12" s="67" t="s">
        <v>50</v>
      </c>
      <c r="F12" s="70">
        <v>700</v>
      </c>
      <c r="G12" s="70"/>
      <c r="H12" s="100">
        <f t="shared" si="0"/>
        <v>700</v>
      </c>
      <c r="I12" s="316">
        <v>4.157</v>
      </c>
      <c r="J12" s="100">
        <f t="shared" si="1"/>
        <v>695.84299999999996</v>
      </c>
      <c r="K12" s="298">
        <f>+I12/H12</f>
        <v>5.9385714285714285E-3</v>
      </c>
      <c r="L12" s="101" t="s">
        <v>15</v>
      </c>
      <c r="M12" s="324">
        <f t="shared" si="3"/>
        <v>700</v>
      </c>
      <c r="N12" s="97">
        <f t="shared" si="3"/>
        <v>0</v>
      </c>
      <c r="O12" s="97">
        <f>+M12+N12</f>
        <v>700</v>
      </c>
      <c r="P12" s="97">
        <f t="shared" si="4"/>
        <v>4.157</v>
      </c>
      <c r="Q12" s="97">
        <f t="shared" si="5"/>
        <v>695.84299999999996</v>
      </c>
      <c r="R12" s="325">
        <f t="shared" si="6"/>
        <v>5.9385714285714285E-3</v>
      </c>
      <c r="S12" s="32"/>
    </row>
    <row r="13" spans="2:19" hidden="1">
      <c r="F13" s="90"/>
      <c r="H13" s="32"/>
      <c r="I13" s="32"/>
      <c r="J13" s="32"/>
      <c r="K13" s="299">
        <v>1</v>
      </c>
      <c r="L13" s="32"/>
      <c r="M13" s="32"/>
      <c r="N13" s="32"/>
      <c r="O13" s="32"/>
      <c r="P13" s="32"/>
      <c r="Q13" s="32"/>
      <c r="R13" s="32"/>
      <c r="S13" s="32"/>
    </row>
    <row r="14" spans="2:19"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</sheetData>
  <mergeCells count="5">
    <mergeCell ref="B10:B12"/>
    <mergeCell ref="B7:B9"/>
    <mergeCell ref="B2:R3"/>
    <mergeCell ref="B4:R4"/>
    <mergeCell ref="M5:R5"/>
  </mergeCells>
  <conditionalFormatting sqref="J7:J12">
    <cfRule type="cellIs" dxfId="3" priority="4" operator="lessThan">
      <formula>0</formula>
    </cfRule>
  </conditionalFormatting>
  <conditionalFormatting sqref="K7:K12">
    <cfRule type="cellIs" dxfId="2" priority="3" operator="greaterThan">
      <formula>0.9</formula>
    </cfRule>
  </conditionalFormatting>
  <conditionalFormatting sqref="K7:K1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{128B9E4B-E454-489B-B4F0-3D07480DAE8F}</x14:id>
        </ext>
      </extLst>
    </cfRule>
  </conditionalFormatting>
  <conditionalFormatting sqref="R7:R12">
    <cfRule type="cellIs" dxfId="1" priority="2" operator="greaterThan">
      <formula>0.9</formula>
    </cfRule>
  </conditionalFormatting>
  <pageMargins left="0.7" right="0.7" top="0.75" bottom="0.75" header="0.3" footer="0.3"/>
  <pageSetup orientation="portrait" r:id="rId1"/>
  <ignoredErrors>
    <ignoredError sqref="O7 O9:O12 O8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28B9E4B-E454-489B-B4F0-3D07480DAE8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K7:K13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A1:AB204"/>
  <sheetViews>
    <sheetView zoomScale="110" zoomScaleNormal="110" workbookViewId="0">
      <pane ySplit="4" topLeftCell="A49" activePane="bottomLeft" state="frozen"/>
      <selection pane="bottomLeft" activeCell="L63" sqref="L63"/>
      <selection activeCell="K47" sqref="K47:K54"/>
    </sheetView>
  </sheetViews>
  <sheetFormatPr defaultColWidth="11.42578125" defaultRowHeight="15"/>
  <cols>
    <col min="1" max="1" width="4.5703125" style="5" customWidth="1"/>
    <col min="2" max="2" width="9.140625" style="5" bestFit="1" customWidth="1"/>
    <col min="3" max="3" width="13.140625" style="5" customWidth="1"/>
    <col min="4" max="4" width="14.85546875" style="5" customWidth="1"/>
    <col min="5" max="5" width="11.42578125" style="5"/>
    <col min="6" max="6" width="27.7109375" style="5" customWidth="1"/>
    <col min="7" max="8" width="11.42578125" style="5"/>
    <col min="9" max="9" width="10.42578125" style="5" bestFit="1" customWidth="1"/>
    <col min="10" max="10" width="11.85546875" style="5" bestFit="1" customWidth="1"/>
    <col min="11" max="11" width="12.7109375" style="5" bestFit="1" customWidth="1"/>
    <col min="12" max="13" width="10" style="5" customWidth="1"/>
    <col min="14" max="14" width="13.42578125" style="5" customWidth="1"/>
    <col min="15" max="15" width="13.5703125" style="5" customWidth="1"/>
    <col min="16" max="16" width="11.42578125" style="5"/>
    <col min="17" max="18" width="17.7109375" style="5" customWidth="1"/>
    <col min="19" max="19" width="13" style="5" bestFit="1" customWidth="1"/>
    <col min="20" max="20" width="15" style="5" bestFit="1" customWidth="1"/>
    <col min="21" max="21" width="16.42578125" style="5" bestFit="1" customWidth="1"/>
    <col min="22" max="22" width="31.5703125" style="5" bestFit="1" customWidth="1"/>
    <col min="23" max="16384" width="11.42578125" style="5"/>
  </cols>
  <sheetData>
    <row r="1" spans="2:28">
      <c r="H1" s="454" t="s">
        <v>67</v>
      </c>
      <c r="I1" s="455"/>
      <c r="J1" s="455"/>
      <c r="K1" s="456"/>
      <c r="L1" s="504" t="s">
        <v>68</v>
      </c>
      <c r="M1" s="505"/>
      <c r="N1" s="505"/>
      <c r="O1" s="506"/>
    </row>
    <row r="2" spans="2:28" ht="15.75" thickBot="1">
      <c r="H2" s="501">
        <f>Resumen!B4</f>
        <v>45763</v>
      </c>
      <c r="I2" s="502"/>
      <c r="J2" s="502"/>
      <c r="K2" s="503"/>
      <c r="L2" s="507">
        <f>H2</f>
        <v>45763</v>
      </c>
      <c r="M2" s="508"/>
      <c r="N2" s="508"/>
      <c r="O2" s="509"/>
    </row>
    <row r="3" spans="2:28" ht="15.75" thickBot="1">
      <c r="H3" s="121" t="s">
        <v>69</v>
      </c>
      <c r="I3" s="122" t="s">
        <v>70</v>
      </c>
      <c r="J3" s="122" t="s">
        <v>71</v>
      </c>
      <c r="K3" s="135" t="s">
        <v>72</v>
      </c>
      <c r="L3" s="143" t="s">
        <v>69</v>
      </c>
      <c r="M3" s="106" t="s">
        <v>70</v>
      </c>
      <c r="N3" s="106" t="s">
        <v>71</v>
      </c>
      <c r="O3" s="108" t="s">
        <v>72</v>
      </c>
      <c r="Q3" s="499" t="s">
        <v>73</v>
      </c>
      <c r="R3" s="499"/>
      <c r="S3" s="500"/>
      <c r="T3" s="500"/>
      <c r="U3" s="500"/>
    </row>
    <row r="4" spans="2:28" ht="30.75" thickBot="1">
      <c r="B4" s="123" t="s">
        <v>74</v>
      </c>
      <c r="C4" s="124" t="s">
        <v>75</v>
      </c>
      <c r="D4" s="125" t="s">
        <v>76</v>
      </c>
      <c r="E4" s="124" t="s">
        <v>77</v>
      </c>
      <c r="F4" s="124" t="s">
        <v>78</v>
      </c>
      <c r="G4" s="126" t="s">
        <v>79</v>
      </c>
      <c r="H4" s="121" t="s">
        <v>12</v>
      </c>
      <c r="I4" s="122" t="s">
        <v>12</v>
      </c>
      <c r="J4" s="122" t="s">
        <v>12</v>
      </c>
      <c r="K4" s="135" t="s">
        <v>12</v>
      </c>
      <c r="L4" s="105" t="s">
        <v>24</v>
      </c>
      <c r="M4" s="107" t="s">
        <v>24</v>
      </c>
      <c r="N4" s="107" t="s">
        <v>24</v>
      </c>
      <c r="O4" s="127" t="s">
        <v>24</v>
      </c>
      <c r="Q4" s="326" t="s">
        <v>69</v>
      </c>
      <c r="R4" s="326" t="s">
        <v>69</v>
      </c>
      <c r="S4" s="326" t="s">
        <v>70</v>
      </c>
      <c r="T4" s="326" t="s">
        <v>71</v>
      </c>
      <c r="U4" s="326" t="s">
        <v>72</v>
      </c>
    </row>
    <row r="5" spans="2:28">
      <c r="B5" s="352"/>
      <c r="C5" s="521">
        <v>45736</v>
      </c>
      <c r="D5" s="517">
        <v>739</v>
      </c>
      <c r="E5" s="517" t="s">
        <v>80</v>
      </c>
      <c r="F5" s="353" t="s">
        <v>81</v>
      </c>
      <c r="G5" s="354">
        <v>703618</v>
      </c>
      <c r="H5" s="524">
        <v>120000</v>
      </c>
      <c r="I5" s="353">
        <v>499.9</v>
      </c>
      <c r="J5" s="517">
        <f>H5-P5</f>
        <v>106072.25099999999</v>
      </c>
      <c r="K5" s="511">
        <f>P5/H5</f>
        <v>0.11606457500000006</v>
      </c>
      <c r="L5" s="352"/>
      <c r="M5" s="353"/>
      <c r="N5" s="353"/>
      <c r="O5" s="355"/>
      <c r="P5" s="5">
        <f>SUM(I5:I48)</f>
        <v>13927.749000000007</v>
      </c>
      <c r="Q5" s="25" t="s">
        <v>12</v>
      </c>
      <c r="R5" s="129">
        <f>SUM(H5:H245)</f>
        <v>195241.10800000004</v>
      </c>
      <c r="S5" s="129">
        <f>SUM(I5:I280)</f>
        <v>17732.544000000005</v>
      </c>
      <c r="T5" s="129">
        <f>R5-S5</f>
        <v>177508.56400000004</v>
      </c>
      <c r="U5" s="26">
        <f>S5/R5</f>
        <v>9.0823823843490997E-2</v>
      </c>
    </row>
    <row r="6" spans="2:28">
      <c r="B6" s="345"/>
      <c r="C6" s="522"/>
      <c r="D6" s="518"/>
      <c r="E6" s="518"/>
      <c r="F6" s="343" t="s">
        <v>82</v>
      </c>
      <c r="G6" s="344">
        <v>969768</v>
      </c>
      <c r="H6" s="525"/>
      <c r="I6" s="403">
        <v>821.178</v>
      </c>
      <c r="J6" s="518"/>
      <c r="K6" s="512"/>
      <c r="L6" s="345"/>
      <c r="M6" s="343"/>
      <c r="N6" s="343"/>
      <c r="O6" s="346"/>
      <c r="Q6" s="25" t="s">
        <v>83</v>
      </c>
      <c r="R6" s="129">
        <f>SUM(L24:L198)</f>
        <v>0</v>
      </c>
      <c r="S6" s="129">
        <f>SUM(M24:M272)</f>
        <v>0</v>
      </c>
      <c r="T6" s="129">
        <f>R6-S6</f>
        <v>0</v>
      </c>
      <c r="U6" s="26" t="e">
        <f>S6/R6</f>
        <v>#DIV/0!</v>
      </c>
    </row>
    <row r="7" spans="2:28">
      <c r="B7" s="345"/>
      <c r="C7" s="522"/>
      <c r="D7" s="518"/>
      <c r="E7" s="518"/>
      <c r="F7" s="343" t="s">
        <v>84</v>
      </c>
      <c r="G7" s="344">
        <v>701585</v>
      </c>
      <c r="H7" s="525"/>
      <c r="I7" s="343">
        <v>318.61500000000001</v>
      </c>
      <c r="J7" s="518"/>
      <c r="K7" s="512"/>
      <c r="L7" s="345"/>
      <c r="M7" s="343"/>
      <c r="N7" s="343"/>
      <c r="O7" s="346"/>
      <c r="Q7" s="25" t="s">
        <v>85</v>
      </c>
      <c r="R7" s="129">
        <f>R5+R6</f>
        <v>195241.10800000004</v>
      </c>
      <c r="S7" s="129">
        <f t="shared" ref="S7:T7" si="0">S5+S6</f>
        <v>17732.544000000005</v>
      </c>
      <c r="T7" s="129">
        <f t="shared" si="0"/>
        <v>177508.56400000004</v>
      </c>
      <c r="U7" s="26">
        <f>S7/R7</f>
        <v>9.0823823843490997E-2</v>
      </c>
    </row>
    <row r="8" spans="2:28">
      <c r="B8" s="442"/>
      <c r="C8" s="522"/>
      <c r="D8" s="520"/>
      <c r="E8" s="518"/>
      <c r="F8" s="343" t="s">
        <v>86</v>
      </c>
      <c r="G8" s="344">
        <v>701311</v>
      </c>
      <c r="H8" s="525"/>
      <c r="I8" s="343">
        <v>83.984999999999999</v>
      </c>
      <c r="J8" s="518"/>
      <c r="K8" s="512"/>
      <c r="L8" s="345"/>
      <c r="M8" s="343"/>
      <c r="N8" s="343"/>
      <c r="O8" s="346"/>
      <c r="Q8" s="25" t="s">
        <v>87</v>
      </c>
      <c r="R8" s="129">
        <f>H5+H16+H55+H101+H108+H114+H124+H176</f>
        <v>140000</v>
      </c>
      <c r="S8" s="129">
        <f>(SUM(I5:I257))</f>
        <v>17732.544000000005</v>
      </c>
      <c r="T8" s="129">
        <f>R8-S8</f>
        <v>122267.45599999999</v>
      </c>
      <c r="U8" s="26">
        <f>S8/R8</f>
        <v>0.12666102857142861</v>
      </c>
    </row>
    <row r="9" spans="2:28">
      <c r="B9" s="345"/>
      <c r="C9" s="522"/>
      <c r="D9" s="518"/>
      <c r="E9" s="518"/>
      <c r="F9" s="343" t="s">
        <v>88</v>
      </c>
      <c r="G9" s="344">
        <v>967834</v>
      </c>
      <c r="H9" s="525"/>
      <c r="I9" s="343">
        <v>252.26400000000001</v>
      </c>
      <c r="J9" s="518"/>
      <c r="K9" s="512"/>
      <c r="L9" s="345"/>
      <c r="M9" s="343"/>
      <c r="N9" s="343"/>
      <c r="O9" s="346"/>
      <c r="Q9" s="25" t="s">
        <v>89</v>
      </c>
      <c r="R9" s="129">
        <f>H101+H108+H114</f>
        <v>20000</v>
      </c>
      <c r="S9" s="129">
        <f>SUM(I101:I107,I108:I113,I114:I117)</f>
        <v>0</v>
      </c>
      <c r="T9" s="129">
        <f>R9-S9</f>
        <v>20000</v>
      </c>
      <c r="U9" s="26">
        <f>S9/R9</f>
        <v>0</v>
      </c>
    </row>
    <row r="10" spans="2:28">
      <c r="B10" s="345"/>
      <c r="C10" s="522"/>
      <c r="D10" s="518"/>
      <c r="E10" s="518"/>
      <c r="F10" s="343" t="s">
        <v>90</v>
      </c>
      <c r="G10" s="344">
        <v>701521</v>
      </c>
      <c r="H10" s="525"/>
      <c r="I10" s="343">
        <v>421.404</v>
      </c>
      <c r="J10" s="518"/>
      <c r="K10" s="512"/>
      <c r="L10" s="345"/>
      <c r="M10" s="343"/>
      <c r="N10" s="343"/>
      <c r="O10" s="346"/>
      <c r="Q10" s="25" t="s">
        <v>91</v>
      </c>
      <c r="R10" s="129">
        <v>0</v>
      </c>
      <c r="S10" s="129">
        <v>0</v>
      </c>
      <c r="T10" s="129">
        <v>0</v>
      </c>
      <c r="U10" s="26">
        <v>0</v>
      </c>
    </row>
    <row r="11" spans="2:28">
      <c r="B11" s="345"/>
      <c r="C11" s="522"/>
      <c r="D11" s="518"/>
      <c r="E11" s="518"/>
      <c r="F11" s="343" t="s">
        <v>92</v>
      </c>
      <c r="G11" s="344">
        <v>913564</v>
      </c>
      <c r="H11" s="525"/>
      <c r="I11" s="343"/>
      <c r="J11" s="518"/>
      <c r="K11" s="512"/>
      <c r="L11" s="345"/>
      <c r="M11" s="343"/>
      <c r="N11" s="343"/>
      <c r="O11" s="346"/>
      <c r="Q11" s="25" t="s">
        <v>93</v>
      </c>
      <c r="R11" s="129">
        <f>H176</f>
        <v>0</v>
      </c>
      <c r="S11" s="129">
        <f>SUM(I176:I188)</f>
        <v>0</v>
      </c>
      <c r="T11" s="129">
        <f>R11-S11</f>
        <v>0</v>
      </c>
      <c r="U11" s="26" t="e">
        <f>S11/R11</f>
        <v>#DIV/0!</v>
      </c>
    </row>
    <row r="12" spans="2:28">
      <c r="B12" s="356"/>
      <c r="C12" s="522"/>
      <c r="D12" s="518"/>
      <c r="E12" s="518"/>
      <c r="F12" s="343" t="s">
        <v>94</v>
      </c>
      <c r="G12" s="344">
        <v>965747</v>
      </c>
      <c r="H12" s="525"/>
      <c r="I12" s="403">
        <v>431.31200000000001</v>
      </c>
      <c r="J12" s="518"/>
      <c r="K12" s="512"/>
      <c r="L12" s="345"/>
      <c r="M12" s="343"/>
      <c r="N12" s="343"/>
      <c r="O12" s="346"/>
      <c r="Q12" s="9"/>
      <c r="U12" s="33"/>
    </row>
    <row r="13" spans="2:28">
      <c r="B13" s="356"/>
      <c r="C13" s="522"/>
      <c r="D13" s="518"/>
      <c r="E13" s="518"/>
      <c r="F13" s="343" t="s">
        <v>95</v>
      </c>
      <c r="G13" s="344">
        <v>969720</v>
      </c>
      <c r="H13" s="525"/>
      <c r="I13" s="403">
        <v>594.35299999999995</v>
      </c>
      <c r="J13" s="518"/>
      <c r="K13" s="512"/>
      <c r="L13" s="345"/>
      <c r="M13" s="343"/>
      <c r="N13" s="343"/>
      <c r="O13" s="346"/>
      <c r="Q13" s="9"/>
      <c r="U13" s="33"/>
    </row>
    <row r="14" spans="2:28" ht="18.75">
      <c r="B14" s="356"/>
      <c r="C14" s="522"/>
      <c r="D14" s="518"/>
      <c r="E14" s="518"/>
      <c r="F14" s="343" t="s">
        <v>96</v>
      </c>
      <c r="G14" s="344">
        <v>961059</v>
      </c>
      <c r="H14" s="525"/>
      <c r="I14" s="403">
        <v>525.45799999999997</v>
      </c>
      <c r="J14" s="518"/>
      <c r="K14" s="512"/>
      <c r="L14" s="345"/>
      <c r="M14" s="343"/>
      <c r="N14" s="343"/>
      <c r="O14" s="346"/>
      <c r="Q14" s="9"/>
      <c r="T14" s="510"/>
      <c r="U14" s="510"/>
      <c r="V14" s="510"/>
      <c r="W14" s="510"/>
      <c r="X14" s="510"/>
      <c r="Y14" s="510"/>
      <c r="Z14" s="510"/>
      <c r="AA14" s="510"/>
      <c r="AB14" s="510"/>
    </row>
    <row r="15" spans="2:28">
      <c r="B15" s="345"/>
      <c r="C15" s="522"/>
      <c r="D15" s="518"/>
      <c r="E15" s="518"/>
      <c r="F15" s="343" t="s">
        <v>97</v>
      </c>
      <c r="G15" s="344">
        <v>703130</v>
      </c>
      <c r="H15" s="525"/>
      <c r="I15" s="343">
        <v>617.21500000000003</v>
      </c>
      <c r="J15" s="518"/>
      <c r="K15" s="512"/>
      <c r="L15" s="345"/>
      <c r="M15" s="343"/>
      <c r="N15" s="343"/>
      <c r="O15" s="346"/>
      <c r="T15" s="498"/>
      <c r="U15" s="498"/>
      <c r="V15" s="498"/>
      <c r="W15" s="498"/>
      <c r="X15" s="498"/>
      <c r="Y15" s="498"/>
      <c r="Z15" s="498"/>
      <c r="AA15" s="498"/>
      <c r="AB15" s="498"/>
    </row>
    <row r="16" spans="2:28">
      <c r="B16" s="345"/>
      <c r="C16" s="522"/>
      <c r="D16" s="518"/>
      <c r="E16" s="518"/>
      <c r="F16" s="343" t="s">
        <v>98</v>
      </c>
      <c r="G16" s="344">
        <v>700047</v>
      </c>
      <c r="H16" s="525"/>
      <c r="I16" s="343">
        <v>337.80700000000002</v>
      </c>
      <c r="J16" s="518"/>
      <c r="K16" s="512"/>
      <c r="L16" s="345"/>
      <c r="M16" s="343"/>
      <c r="N16" s="343"/>
      <c r="O16" s="346"/>
      <c r="T16" s="104"/>
      <c r="U16" s="104"/>
      <c r="V16" s="104"/>
      <c r="W16" s="104"/>
      <c r="X16" s="104"/>
      <c r="Y16" s="104"/>
      <c r="Z16" s="104"/>
      <c r="AA16" s="104"/>
      <c r="AB16" s="104"/>
    </row>
    <row r="17" spans="2:15">
      <c r="B17" s="345"/>
      <c r="C17" s="522"/>
      <c r="D17" s="518"/>
      <c r="E17" s="518"/>
      <c r="F17" s="343" t="s">
        <v>99</v>
      </c>
      <c r="G17" s="344">
        <v>963544</v>
      </c>
      <c r="H17" s="525"/>
      <c r="I17" s="343">
        <v>285.2</v>
      </c>
      <c r="J17" s="518"/>
      <c r="K17" s="512"/>
      <c r="L17" s="345"/>
      <c r="M17" s="343"/>
      <c r="N17" s="343"/>
      <c r="O17" s="346"/>
    </row>
    <row r="18" spans="2:15">
      <c r="B18" s="345"/>
      <c r="C18" s="522"/>
      <c r="D18" s="518"/>
      <c r="E18" s="518"/>
      <c r="F18" s="343" t="s">
        <v>100</v>
      </c>
      <c r="G18" s="344">
        <v>963409</v>
      </c>
      <c r="H18" s="525"/>
      <c r="I18" s="403">
        <v>8.34</v>
      </c>
      <c r="J18" s="518"/>
      <c r="K18" s="512"/>
      <c r="L18" s="345"/>
      <c r="M18" s="343"/>
      <c r="N18" s="343"/>
      <c r="O18" s="346"/>
    </row>
    <row r="19" spans="2:15">
      <c r="B19" s="345"/>
      <c r="C19" s="522"/>
      <c r="D19" s="518"/>
      <c r="E19" s="518"/>
      <c r="F19" s="343" t="s">
        <v>101</v>
      </c>
      <c r="G19" s="344">
        <v>700857</v>
      </c>
      <c r="H19" s="525"/>
      <c r="I19" s="343">
        <v>504.84699999999998</v>
      </c>
      <c r="J19" s="518"/>
      <c r="K19" s="512"/>
      <c r="L19" s="345"/>
      <c r="M19" s="343"/>
      <c r="N19" s="343"/>
      <c r="O19" s="346"/>
    </row>
    <row r="20" spans="2:15">
      <c r="B20" s="345"/>
      <c r="C20" s="522"/>
      <c r="D20" s="518"/>
      <c r="E20" s="518"/>
      <c r="F20" s="343" t="s">
        <v>102</v>
      </c>
      <c r="G20" s="344">
        <v>698422</v>
      </c>
      <c r="H20" s="525"/>
      <c r="I20" s="343">
        <v>183.24700000000001</v>
      </c>
      <c r="J20" s="518"/>
      <c r="K20" s="512"/>
      <c r="L20" s="345"/>
      <c r="M20" s="343"/>
      <c r="N20" s="343"/>
      <c r="O20" s="346"/>
    </row>
    <row r="21" spans="2:15">
      <c r="B21" s="345"/>
      <c r="C21" s="522"/>
      <c r="D21" s="518"/>
      <c r="E21" s="518"/>
      <c r="F21" s="343" t="s">
        <v>103</v>
      </c>
      <c r="G21" s="344">
        <v>964506</v>
      </c>
      <c r="H21" s="525"/>
      <c r="I21" s="343">
        <v>69.290000000000006</v>
      </c>
      <c r="J21" s="518"/>
      <c r="K21" s="512"/>
      <c r="L21" s="345"/>
      <c r="M21" s="343"/>
      <c r="N21" s="343"/>
      <c r="O21" s="346"/>
    </row>
    <row r="22" spans="2:15">
      <c r="B22" s="345"/>
      <c r="C22" s="522"/>
      <c r="D22" s="518"/>
      <c r="E22" s="518"/>
      <c r="F22" s="343" t="s">
        <v>104</v>
      </c>
      <c r="G22" s="344">
        <v>701006</v>
      </c>
      <c r="H22" s="525"/>
      <c r="I22" s="403">
        <v>565.79899999999998</v>
      </c>
      <c r="J22" s="518"/>
      <c r="K22" s="512"/>
      <c r="L22" s="345"/>
      <c r="M22" s="343"/>
      <c r="N22" s="343"/>
      <c r="O22" s="346"/>
    </row>
    <row r="23" spans="2:15">
      <c r="B23" s="345"/>
      <c r="C23" s="522"/>
      <c r="D23" s="518"/>
      <c r="E23" s="518"/>
      <c r="F23" s="343" t="s">
        <v>105</v>
      </c>
      <c r="G23" s="344">
        <v>703668</v>
      </c>
      <c r="H23" s="525"/>
      <c r="I23" s="343">
        <v>201.41499999999999</v>
      </c>
      <c r="J23" s="518"/>
      <c r="K23" s="512"/>
      <c r="L23" s="345"/>
      <c r="M23" s="343"/>
      <c r="N23" s="343"/>
      <c r="O23" s="346"/>
    </row>
    <row r="24" spans="2:15">
      <c r="B24" s="345"/>
      <c r="C24" s="522"/>
      <c r="D24" s="518"/>
      <c r="E24" s="518"/>
      <c r="F24" s="343" t="s">
        <v>106</v>
      </c>
      <c r="G24" s="344">
        <v>702964</v>
      </c>
      <c r="H24" s="525"/>
      <c r="I24" s="343">
        <v>462.77100000000002</v>
      </c>
      <c r="J24" s="518"/>
      <c r="K24" s="512"/>
      <c r="L24" s="345"/>
      <c r="M24" s="343"/>
      <c r="N24" s="343"/>
      <c r="O24" s="350"/>
    </row>
    <row r="25" spans="2:15">
      <c r="B25" s="345"/>
      <c r="C25" s="522"/>
      <c r="D25" s="518"/>
      <c r="E25" s="518"/>
      <c r="F25" s="343" t="s">
        <v>107</v>
      </c>
      <c r="G25" s="344">
        <v>964706</v>
      </c>
      <c r="H25" s="525"/>
      <c r="I25" s="343">
        <v>214.72</v>
      </c>
      <c r="J25" s="518"/>
      <c r="K25" s="512"/>
      <c r="L25" s="345"/>
      <c r="M25" s="349"/>
      <c r="N25" s="343"/>
      <c r="O25" s="350"/>
    </row>
    <row r="26" spans="2:15">
      <c r="B26" s="345"/>
      <c r="C26" s="522"/>
      <c r="D26" s="518"/>
      <c r="E26" s="518"/>
      <c r="F26" s="343" t="s">
        <v>108</v>
      </c>
      <c r="G26" s="344">
        <v>703617</v>
      </c>
      <c r="H26" s="525"/>
      <c r="I26" s="343">
        <v>253.89500000000001</v>
      </c>
      <c r="J26" s="518"/>
      <c r="K26" s="512"/>
      <c r="L26" s="345"/>
      <c r="M26" s="349"/>
      <c r="N26" s="343"/>
      <c r="O26" s="350"/>
    </row>
    <row r="27" spans="2:15">
      <c r="B27" s="345"/>
      <c r="C27" s="522"/>
      <c r="D27" s="518"/>
      <c r="E27" s="518"/>
      <c r="F27" s="343" t="s">
        <v>109</v>
      </c>
      <c r="G27" s="344">
        <v>699115</v>
      </c>
      <c r="H27" s="525"/>
      <c r="I27" s="343">
        <v>175.42500000000001</v>
      </c>
      <c r="J27" s="518"/>
      <c r="K27" s="512"/>
      <c r="L27" s="345"/>
      <c r="M27" s="349"/>
      <c r="N27" s="343"/>
      <c r="O27" s="350"/>
    </row>
    <row r="28" spans="2:15">
      <c r="B28" s="345"/>
      <c r="C28" s="522"/>
      <c r="D28" s="518"/>
      <c r="E28" s="518"/>
      <c r="F28" s="343" t="s">
        <v>110</v>
      </c>
      <c r="G28" s="344">
        <v>966916</v>
      </c>
      <c r="H28" s="525"/>
      <c r="I28" s="343">
        <v>269.26</v>
      </c>
      <c r="J28" s="518"/>
      <c r="K28" s="512"/>
      <c r="L28" s="345"/>
      <c r="M28" s="349"/>
      <c r="N28" s="343"/>
      <c r="O28" s="350"/>
    </row>
    <row r="29" spans="2:15">
      <c r="B29" s="345"/>
      <c r="C29" s="522"/>
      <c r="D29" s="518"/>
      <c r="E29" s="518"/>
      <c r="F29" s="343" t="s">
        <v>111</v>
      </c>
      <c r="G29" s="344">
        <v>702074</v>
      </c>
      <c r="H29" s="525"/>
      <c r="I29" s="343">
        <v>503.82600000000002</v>
      </c>
      <c r="J29" s="518"/>
      <c r="K29" s="512"/>
      <c r="L29" s="345"/>
      <c r="M29" s="343"/>
      <c r="N29" s="343"/>
      <c r="O29" s="351"/>
    </row>
    <row r="30" spans="2:15">
      <c r="B30" s="345"/>
      <c r="C30" s="522"/>
      <c r="D30" s="518"/>
      <c r="E30" s="518"/>
      <c r="F30" s="347" t="s">
        <v>112</v>
      </c>
      <c r="G30" s="348">
        <v>702942</v>
      </c>
      <c r="H30" s="525"/>
      <c r="I30" s="343">
        <v>293.7</v>
      </c>
      <c r="J30" s="518"/>
      <c r="K30" s="512"/>
      <c r="L30" s="345"/>
      <c r="M30" s="343"/>
      <c r="N30" s="343"/>
      <c r="O30" s="351"/>
    </row>
    <row r="31" spans="2:15">
      <c r="B31" s="345"/>
      <c r="C31" s="522"/>
      <c r="D31" s="518"/>
      <c r="E31" s="518"/>
      <c r="F31" s="443" t="s">
        <v>113</v>
      </c>
      <c r="G31" s="444">
        <v>961261</v>
      </c>
      <c r="H31" s="525"/>
      <c r="I31" s="343">
        <v>582.15499999999997</v>
      </c>
      <c r="J31" s="518"/>
      <c r="K31" s="512"/>
      <c r="L31" s="345"/>
      <c r="M31" s="343"/>
      <c r="N31" s="343"/>
      <c r="O31" s="351"/>
    </row>
    <row r="32" spans="2:15">
      <c r="B32" s="345"/>
      <c r="C32" s="522"/>
      <c r="D32" s="518"/>
      <c r="E32" s="518"/>
      <c r="F32" s="443" t="s">
        <v>114</v>
      </c>
      <c r="G32" s="444">
        <v>700665</v>
      </c>
      <c r="H32" s="525"/>
      <c r="I32" s="343">
        <v>667.375</v>
      </c>
      <c r="J32" s="518"/>
      <c r="K32" s="512"/>
      <c r="L32" s="345"/>
      <c r="M32" s="343"/>
      <c r="N32" s="343"/>
      <c r="O32" s="351"/>
    </row>
    <row r="33" spans="2:15">
      <c r="B33" s="345"/>
      <c r="C33" s="522"/>
      <c r="D33" s="518"/>
      <c r="E33" s="518"/>
      <c r="F33" s="343" t="s">
        <v>115</v>
      </c>
      <c r="G33" s="344">
        <v>698348</v>
      </c>
      <c r="H33" s="525"/>
      <c r="I33" s="343">
        <v>274.82</v>
      </c>
      <c r="J33" s="518"/>
      <c r="K33" s="512"/>
      <c r="L33" s="345"/>
      <c r="M33" s="343"/>
      <c r="N33" s="343"/>
      <c r="O33" s="351"/>
    </row>
    <row r="34" spans="2:15">
      <c r="B34" s="345"/>
      <c r="C34" s="522"/>
      <c r="D34" s="518"/>
      <c r="E34" s="518"/>
      <c r="F34" s="347" t="s">
        <v>116</v>
      </c>
      <c r="G34" s="348">
        <v>955856</v>
      </c>
      <c r="H34" s="525"/>
      <c r="I34" s="343">
        <v>106.325</v>
      </c>
      <c r="J34" s="518"/>
      <c r="K34" s="512"/>
      <c r="L34" s="345"/>
      <c r="M34" s="343"/>
      <c r="N34" s="343"/>
      <c r="O34" s="351"/>
    </row>
    <row r="35" spans="2:15">
      <c r="B35" s="345"/>
      <c r="C35" s="522"/>
      <c r="D35" s="518"/>
      <c r="E35" s="518"/>
      <c r="F35" s="343" t="s">
        <v>117</v>
      </c>
      <c r="G35" s="344">
        <v>703388</v>
      </c>
      <c r="H35" s="525"/>
      <c r="I35" s="343">
        <v>356.20499999999998</v>
      </c>
      <c r="J35" s="518"/>
      <c r="K35" s="512"/>
      <c r="L35" s="345"/>
      <c r="M35" s="343"/>
      <c r="N35" s="343"/>
      <c r="O35" s="351"/>
    </row>
    <row r="36" spans="2:15">
      <c r="B36" s="345"/>
      <c r="C36" s="522"/>
      <c r="D36" s="518"/>
      <c r="E36" s="518"/>
      <c r="F36" s="347" t="s">
        <v>118</v>
      </c>
      <c r="G36" s="348">
        <v>699580</v>
      </c>
      <c r="H36" s="525"/>
      <c r="I36" s="343">
        <v>342.32600000000002</v>
      </c>
      <c r="J36" s="518"/>
      <c r="K36" s="512"/>
      <c r="L36" s="345"/>
      <c r="M36" s="343"/>
      <c r="N36" s="343"/>
      <c r="O36" s="351"/>
    </row>
    <row r="37" spans="2:15">
      <c r="B37" s="345"/>
      <c r="C37" s="522"/>
      <c r="D37" s="518"/>
      <c r="E37" s="518"/>
      <c r="F37" s="343" t="s">
        <v>119</v>
      </c>
      <c r="G37" s="344">
        <v>963908</v>
      </c>
      <c r="H37" s="525"/>
      <c r="I37" s="343">
        <v>234.03</v>
      </c>
      <c r="J37" s="518"/>
      <c r="K37" s="512"/>
      <c r="L37" s="345"/>
      <c r="M37" s="343"/>
      <c r="N37" s="343"/>
      <c r="O37" s="351"/>
    </row>
    <row r="38" spans="2:15">
      <c r="B38" s="345"/>
      <c r="C38" s="522"/>
      <c r="D38" s="518"/>
      <c r="E38" s="518"/>
      <c r="F38" s="343" t="s">
        <v>120</v>
      </c>
      <c r="G38" s="344">
        <v>700773</v>
      </c>
      <c r="H38" s="525"/>
      <c r="I38" s="343">
        <v>551.53</v>
      </c>
      <c r="J38" s="518"/>
      <c r="K38" s="512"/>
      <c r="L38" s="345"/>
      <c r="M38" s="343"/>
      <c r="N38" s="343"/>
      <c r="O38" s="351"/>
    </row>
    <row r="39" spans="2:15">
      <c r="B39" s="345"/>
      <c r="C39" s="522"/>
      <c r="D39" s="518"/>
      <c r="E39" s="518"/>
      <c r="F39" s="343" t="s">
        <v>121</v>
      </c>
      <c r="G39" s="344">
        <v>914124</v>
      </c>
      <c r="H39" s="525"/>
      <c r="I39" s="343">
        <v>236.46299999999999</v>
      </c>
      <c r="J39" s="518"/>
      <c r="K39" s="512"/>
      <c r="L39" s="345"/>
      <c r="M39" s="343"/>
      <c r="N39" s="343"/>
      <c r="O39" s="351"/>
    </row>
    <row r="40" spans="2:15">
      <c r="B40" s="345"/>
      <c r="C40" s="522"/>
      <c r="D40" s="518"/>
      <c r="E40" s="518"/>
      <c r="F40" s="343" t="s">
        <v>122</v>
      </c>
      <c r="G40" s="344">
        <v>914125</v>
      </c>
      <c r="H40" s="525"/>
      <c r="I40" s="343">
        <v>94.17</v>
      </c>
      <c r="J40" s="518"/>
      <c r="K40" s="512"/>
      <c r="L40" s="345"/>
      <c r="M40" s="343"/>
      <c r="N40" s="343"/>
      <c r="O40" s="351"/>
    </row>
    <row r="41" spans="2:15">
      <c r="B41" s="345"/>
      <c r="C41" s="522"/>
      <c r="D41" s="518"/>
      <c r="E41" s="518"/>
      <c r="F41" s="343" t="s">
        <v>123</v>
      </c>
      <c r="G41" s="344">
        <v>914147</v>
      </c>
      <c r="H41" s="525"/>
      <c r="I41" s="343">
        <v>226.11</v>
      </c>
      <c r="J41" s="518"/>
      <c r="K41" s="512"/>
      <c r="L41" s="345"/>
      <c r="M41" s="343"/>
      <c r="N41" s="343"/>
      <c r="O41" s="351"/>
    </row>
    <row r="42" spans="2:15">
      <c r="B42" s="345"/>
      <c r="C42" s="522"/>
      <c r="D42" s="518"/>
      <c r="E42" s="518"/>
      <c r="F42" s="343" t="s">
        <v>124</v>
      </c>
      <c r="G42" s="344">
        <v>968795</v>
      </c>
      <c r="H42" s="525"/>
      <c r="I42" s="343"/>
      <c r="J42" s="518"/>
      <c r="K42" s="512"/>
      <c r="L42" s="345"/>
      <c r="M42" s="343"/>
      <c r="N42" s="343"/>
      <c r="O42" s="351"/>
    </row>
    <row r="43" spans="2:15">
      <c r="B43" s="345"/>
      <c r="C43" s="522"/>
      <c r="D43" s="518"/>
      <c r="E43" s="518"/>
      <c r="F43" s="343" t="s">
        <v>125</v>
      </c>
      <c r="G43" s="344">
        <v>700388</v>
      </c>
      <c r="H43" s="525"/>
      <c r="I43" s="343">
        <v>444.56900000000002</v>
      </c>
      <c r="J43" s="518"/>
      <c r="K43" s="512"/>
      <c r="L43" s="345"/>
      <c r="M43" s="343"/>
      <c r="N43" s="343"/>
      <c r="O43" s="351"/>
    </row>
    <row r="44" spans="2:15">
      <c r="B44" s="345"/>
      <c r="C44" s="522"/>
      <c r="D44" s="518"/>
      <c r="E44" s="518"/>
      <c r="F44" s="343" t="s">
        <v>126</v>
      </c>
      <c r="G44" s="344">
        <v>966363</v>
      </c>
      <c r="H44" s="525"/>
      <c r="I44" s="343">
        <v>217.44200000000001</v>
      </c>
      <c r="J44" s="518"/>
      <c r="K44" s="512"/>
      <c r="L44" s="345"/>
      <c r="M44" s="343"/>
      <c r="N44" s="343"/>
      <c r="O44" s="351"/>
    </row>
    <row r="45" spans="2:15">
      <c r="B45" s="345"/>
      <c r="C45" s="522"/>
      <c r="D45" s="518"/>
      <c r="E45" s="518"/>
      <c r="F45" s="343" t="s">
        <v>127</v>
      </c>
      <c r="G45" s="344">
        <v>702651</v>
      </c>
      <c r="H45" s="525"/>
      <c r="I45" s="343"/>
      <c r="J45" s="518"/>
      <c r="K45" s="512"/>
      <c r="L45" s="345"/>
      <c r="M45" s="343"/>
      <c r="N45" s="343"/>
      <c r="O45" s="351"/>
    </row>
    <row r="46" spans="2:15">
      <c r="B46" s="345"/>
      <c r="C46" s="522"/>
      <c r="D46" s="518"/>
      <c r="E46" s="518"/>
      <c r="F46" s="343" t="s">
        <v>128</v>
      </c>
      <c r="G46" s="344">
        <v>952277</v>
      </c>
      <c r="H46" s="525"/>
      <c r="I46" s="343">
        <v>397.428</v>
      </c>
      <c r="J46" s="518"/>
      <c r="K46" s="512"/>
      <c r="L46" s="345"/>
      <c r="M46" s="343"/>
      <c r="N46" s="343"/>
      <c r="O46" s="351"/>
    </row>
    <row r="47" spans="2:15">
      <c r="B47" s="438"/>
      <c r="C47" s="522"/>
      <c r="D47" s="518"/>
      <c r="E47" s="518"/>
      <c r="F47" s="439" t="s">
        <v>129</v>
      </c>
      <c r="G47" s="440">
        <v>703722</v>
      </c>
      <c r="H47" s="525"/>
      <c r="I47" s="439"/>
      <c r="J47" s="518"/>
      <c r="K47" s="512"/>
      <c r="L47" s="438"/>
      <c r="M47" s="439"/>
      <c r="N47" s="439"/>
      <c r="O47" s="441"/>
    </row>
    <row r="48" spans="2:15" ht="15.75" thickBot="1">
      <c r="B48" s="357"/>
      <c r="C48" s="523"/>
      <c r="D48" s="519"/>
      <c r="E48" s="519"/>
      <c r="F48" s="358" t="s">
        <v>130</v>
      </c>
      <c r="G48" s="359">
        <v>952279</v>
      </c>
      <c r="H48" s="526"/>
      <c r="I48" s="358">
        <v>301.57499999999999</v>
      </c>
      <c r="J48" s="519"/>
      <c r="K48" s="513"/>
      <c r="L48" s="357"/>
      <c r="M48" s="358"/>
      <c r="N48" s="358"/>
      <c r="O48" s="360"/>
    </row>
    <row r="49" spans="2:16" ht="15.75" thickBot="1">
      <c r="B49" s="375"/>
      <c r="C49" s="530">
        <v>45736</v>
      </c>
      <c r="D49" s="527">
        <v>470</v>
      </c>
      <c r="E49" s="527" t="s">
        <v>80</v>
      </c>
      <c r="F49" s="376" t="s">
        <v>131</v>
      </c>
      <c r="G49" s="377">
        <v>702567</v>
      </c>
      <c r="H49" s="533">
        <v>10000</v>
      </c>
      <c r="I49" s="378">
        <v>164.46</v>
      </c>
      <c r="J49" s="527">
        <f>H49-P49</f>
        <v>9286.1360000000004</v>
      </c>
      <c r="K49" s="514">
        <f>P49/H49</f>
        <v>7.1386400000000003E-2</v>
      </c>
      <c r="L49" s="375"/>
      <c r="M49" s="378"/>
      <c r="N49" s="378"/>
      <c r="O49" s="379"/>
      <c r="P49" s="390">
        <f>SUM(I49:I52)</f>
        <v>713.86400000000003</v>
      </c>
    </row>
    <row r="50" spans="2:16">
      <c r="B50" s="380"/>
      <c r="C50" s="531"/>
      <c r="D50" s="528"/>
      <c r="E50" s="528"/>
      <c r="F50" s="381" t="s">
        <v>132</v>
      </c>
      <c r="G50" s="382">
        <v>702390</v>
      </c>
      <c r="H50" s="534"/>
      <c r="I50" s="383">
        <v>29.294</v>
      </c>
      <c r="J50" s="528"/>
      <c r="K50" s="515"/>
      <c r="L50" s="380"/>
      <c r="M50" s="383"/>
      <c r="N50" s="383"/>
      <c r="O50" s="384"/>
    </row>
    <row r="51" spans="2:16">
      <c r="B51" s="380"/>
      <c r="C51" s="531"/>
      <c r="D51" s="528"/>
      <c r="E51" s="528"/>
      <c r="F51" s="381" t="s">
        <v>133</v>
      </c>
      <c r="G51" s="382">
        <v>702703</v>
      </c>
      <c r="H51" s="534"/>
      <c r="I51" s="383">
        <v>315.95999999999998</v>
      </c>
      <c r="J51" s="528"/>
      <c r="K51" s="515"/>
      <c r="L51" s="380"/>
      <c r="M51" s="383"/>
      <c r="N51" s="383"/>
      <c r="O51" s="384"/>
    </row>
    <row r="52" spans="2:16" ht="15.75" thickBot="1">
      <c r="B52" s="385"/>
      <c r="C52" s="532"/>
      <c r="D52" s="529"/>
      <c r="E52" s="529"/>
      <c r="F52" s="386" t="s">
        <v>134</v>
      </c>
      <c r="G52" s="387">
        <v>700966</v>
      </c>
      <c r="H52" s="535"/>
      <c r="I52" s="388">
        <v>204.15</v>
      </c>
      <c r="J52" s="529"/>
      <c r="K52" s="516"/>
      <c r="L52" s="385"/>
      <c r="M52" s="388"/>
      <c r="N52" s="388"/>
      <c r="O52" s="389"/>
    </row>
    <row r="53" spans="2:16">
      <c r="B53" s="361"/>
      <c r="C53" s="548">
        <v>45742</v>
      </c>
      <c r="D53" s="545">
        <v>781</v>
      </c>
      <c r="E53" s="545" t="s">
        <v>80</v>
      </c>
      <c r="F53" s="362" t="s">
        <v>135</v>
      </c>
      <c r="G53" s="363">
        <v>701740</v>
      </c>
      <c r="H53" s="551">
        <v>15000</v>
      </c>
      <c r="I53" s="364">
        <v>499.51600000000002</v>
      </c>
      <c r="J53" s="545">
        <f>H53-P53</f>
        <v>12100.870999999999</v>
      </c>
      <c r="K53" s="536">
        <f>P53/H53</f>
        <v>0.19327526666666667</v>
      </c>
      <c r="L53" s="361"/>
      <c r="M53" s="364"/>
      <c r="N53" s="364"/>
      <c r="O53" s="365"/>
      <c r="P53" s="393">
        <f>SUM(I53:I67)</f>
        <v>2899.1289999999999</v>
      </c>
    </row>
    <row r="54" spans="2:16">
      <c r="B54" s="366"/>
      <c r="C54" s="549"/>
      <c r="D54" s="546"/>
      <c r="E54" s="546"/>
      <c r="F54" s="367" t="s">
        <v>136</v>
      </c>
      <c r="G54" s="368">
        <v>699329</v>
      </c>
      <c r="H54" s="552"/>
      <c r="I54" s="369">
        <v>74.725999999999999</v>
      </c>
      <c r="J54" s="546"/>
      <c r="K54" s="537"/>
      <c r="L54" s="366"/>
      <c r="M54" s="369"/>
      <c r="N54" s="369"/>
      <c r="O54" s="370"/>
    </row>
    <row r="55" spans="2:16">
      <c r="B55" s="366"/>
      <c r="C55" s="549"/>
      <c r="D55" s="546"/>
      <c r="E55" s="546"/>
      <c r="F55" s="367" t="s">
        <v>137</v>
      </c>
      <c r="G55" s="368">
        <v>700757</v>
      </c>
      <c r="H55" s="552"/>
      <c r="I55" s="445"/>
      <c r="J55" s="546"/>
      <c r="K55" s="537"/>
      <c r="L55" s="366"/>
      <c r="M55" s="369"/>
      <c r="N55" s="369"/>
      <c r="O55" s="392"/>
    </row>
    <row r="56" spans="2:16">
      <c r="B56" s="366"/>
      <c r="C56" s="549"/>
      <c r="D56" s="546"/>
      <c r="E56" s="546"/>
      <c r="F56" s="367" t="s">
        <v>138</v>
      </c>
      <c r="G56" s="368">
        <v>703788</v>
      </c>
      <c r="H56" s="552"/>
      <c r="I56" s="445">
        <v>130.79</v>
      </c>
      <c r="J56" s="546"/>
      <c r="K56" s="537"/>
      <c r="L56" s="366"/>
      <c r="M56" s="369"/>
      <c r="N56" s="369"/>
      <c r="O56" s="392"/>
    </row>
    <row r="57" spans="2:16">
      <c r="B57" s="366"/>
      <c r="C57" s="549"/>
      <c r="D57" s="546"/>
      <c r="E57" s="546"/>
      <c r="F57" s="367" t="s">
        <v>139</v>
      </c>
      <c r="G57" s="368">
        <v>699260</v>
      </c>
      <c r="H57" s="552"/>
      <c r="I57" s="445">
        <v>450.26100000000002</v>
      </c>
      <c r="J57" s="546"/>
      <c r="K57" s="537"/>
      <c r="L57" s="366"/>
      <c r="M57" s="369"/>
      <c r="N57" s="369"/>
      <c r="O57" s="392"/>
    </row>
    <row r="58" spans="2:16">
      <c r="B58" s="366"/>
      <c r="C58" s="549"/>
      <c r="D58" s="546"/>
      <c r="E58" s="546"/>
      <c r="F58" s="367" t="s">
        <v>140</v>
      </c>
      <c r="G58" s="368">
        <v>969710</v>
      </c>
      <c r="H58" s="552"/>
      <c r="I58" s="445">
        <v>601.35</v>
      </c>
      <c r="J58" s="546"/>
      <c r="K58" s="537"/>
      <c r="L58" s="366"/>
      <c r="M58" s="369"/>
      <c r="N58" s="369"/>
      <c r="O58" s="392"/>
    </row>
    <row r="59" spans="2:16">
      <c r="B59" s="366"/>
      <c r="C59" s="549"/>
      <c r="D59" s="546"/>
      <c r="E59" s="546"/>
      <c r="F59" s="367" t="s">
        <v>141</v>
      </c>
      <c r="G59" s="368">
        <v>702802</v>
      </c>
      <c r="H59" s="552"/>
      <c r="I59" s="445">
        <v>91.617999999999995</v>
      </c>
      <c r="J59" s="546"/>
      <c r="K59" s="537"/>
      <c r="L59" s="366"/>
      <c r="M59" s="369"/>
      <c r="N59" s="369"/>
      <c r="O59" s="392"/>
    </row>
    <row r="60" spans="2:16">
      <c r="B60" s="366"/>
      <c r="C60" s="549"/>
      <c r="D60" s="546"/>
      <c r="E60" s="546"/>
      <c r="F60" s="367" t="s">
        <v>142</v>
      </c>
      <c r="G60" s="368">
        <v>913564</v>
      </c>
      <c r="H60" s="552"/>
      <c r="I60" s="445"/>
      <c r="J60" s="546"/>
      <c r="K60" s="537"/>
      <c r="L60" s="366"/>
      <c r="M60" s="369"/>
      <c r="N60" s="369"/>
      <c r="O60" s="392"/>
    </row>
    <row r="61" spans="2:16">
      <c r="B61" s="366"/>
      <c r="C61" s="549"/>
      <c r="D61" s="546"/>
      <c r="E61" s="546"/>
      <c r="F61" s="367" t="s">
        <v>143</v>
      </c>
      <c r="G61" s="368">
        <v>703515</v>
      </c>
      <c r="H61" s="552"/>
      <c r="I61" s="369">
        <v>133.02199999999999</v>
      </c>
      <c r="J61" s="546"/>
      <c r="K61" s="537"/>
      <c r="L61" s="366"/>
      <c r="M61" s="369"/>
      <c r="N61" s="369"/>
      <c r="O61" s="392"/>
    </row>
    <row r="62" spans="2:16">
      <c r="B62" s="394"/>
      <c r="C62" s="549"/>
      <c r="D62" s="546"/>
      <c r="E62" s="546"/>
      <c r="F62" s="367" t="s">
        <v>144</v>
      </c>
      <c r="G62" s="368">
        <v>701438</v>
      </c>
      <c r="H62" s="552"/>
      <c r="I62" s="369"/>
      <c r="J62" s="546"/>
      <c r="K62" s="537"/>
      <c r="L62" s="366"/>
      <c r="M62" s="369"/>
      <c r="N62" s="369"/>
      <c r="O62" s="392"/>
    </row>
    <row r="63" spans="2:16">
      <c r="B63" s="394"/>
      <c r="C63" s="549"/>
      <c r="D63" s="546"/>
      <c r="E63" s="546"/>
      <c r="F63" s="367" t="s">
        <v>145</v>
      </c>
      <c r="G63" s="368">
        <v>703243</v>
      </c>
      <c r="H63" s="552"/>
      <c r="I63" s="446">
        <v>99.911000000000001</v>
      </c>
      <c r="J63" s="546"/>
      <c r="K63" s="537"/>
      <c r="L63" s="366"/>
      <c r="M63" s="369"/>
      <c r="N63" s="369"/>
      <c r="O63" s="392"/>
    </row>
    <row r="64" spans="2:16">
      <c r="B64" s="366"/>
      <c r="C64" s="549"/>
      <c r="D64" s="546"/>
      <c r="E64" s="546"/>
      <c r="F64" s="367" t="s">
        <v>146</v>
      </c>
      <c r="G64" s="368">
        <v>700798</v>
      </c>
      <c r="H64" s="552"/>
      <c r="I64" s="445">
        <v>96.968000000000004</v>
      </c>
      <c r="J64" s="546"/>
      <c r="K64" s="537"/>
      <c r="L64" s="366"/>
      <c r="M64" s="369"/>
      <c r="N64" s="369"/>
      <c r="O64" s="392"/>
    </row>
    <row r="65" spans="2:16">
      <c r="B65" s="366"/>
      <c r="C65" s="549"/>
      <c r="D65" s="546"/>
      <c r="E65" s="546"/>
      <c r="F65" s="367" t="s">
        <v>147</v>
      </c>
      <c r="G65" s="368">
        <v>967665</v>
      </c>
      <c r="H65" s="552"/>
      <c r="I65" s="445">
        <v>89.790999999999997</v>
      </c>
      <c r="J65" s="546"/>
      <c r="K65" s="537"/>
      <c r="L65" s="366"/>
      <c r="M65" s="369"/>
      <c r="N65" s="369"/>
      <c r="O65" s="392"/>
    </row>
    <row r="66" spans="2:16">
      <c r="B66" s="366"/>
      <c r="C66" s="549"/>
      <c r="D66" s="546"/>
      <c r="E66" s="546"/>
      <c r="F66" s="367" t="s">
        <v>148</v>
      </c>
      <c r="G66" s="368">
        <v>702604</v>
      </c>
      <c r="H66" s="552"/>
      <c r="I66" s="445">
        <v>235.93700000000001</v>
      </c>
      <c r="J66" s="546"/>
      <c r="K66" s="537"/>
      <c r="L66" s="366"/>
      <c r="M66" s="369"/>
      <c r="N66" s="369"/>
      <c r="O66" s="392"/>
    </row>
    <row r="67" spans="2:16" ht="15.75" thickBot="1">
      <c r="B67" s="371"/>
      <c r="C67" s="550"/>
      <c r="D67" s="547"/>
      <c r="E67" s="547"/>
      <c r="F67" s="372" t="s">
        <v>149</v>
      </c>
      <c r="G67" s="373">
        <v>702453</v>
      </c>
      <c r="H67" s="553"/>
      <c r="I67" s="447">
        <v>395.23899999999998</v>
      </c>
      <c r="J67" s="547"/>
      <c r="K67" s="538"/>
      <c r="L67" s="371"/>
      <c r="M67" s="374"/>
      <c r="N67" s="374"/>
      <c r="O67" s="395"/>
    </row>
    <row r="68" spans="2:16">
      <c r="B68" s="375"/>
      <c r="C68" s="530">
        <v>45742</v>
      </c>
      <c r="D68" s="527">
        <v>784</v>
      </c>
      <c r="E68" s="527" t="s">
        <v>150</v>
      </c>
      <c r="F68" s="378" t="s">
        <v>144</v>
      </c>
      <c r="G68" s="399">
        <v>701438</v>
      </c>
      <c r="H68" s="533">
        <v>3364.5639999999999</v>
      </c>
      <c r="I68" s="376">
        <v>50.457000000000001</v>
      </c>
      <c r="J68" s="539">
        <f>H68-P68</f>
        <v>3172.7619999999997</v>
      </c>
      <c r="K68" s="542">
        <f>P68/H68</f>
        <v>5.7006494749393989E-2</v>
      </c>
      <c r="L68" s="375"/>
      <c r="M68" s="378"/>
      <c r="N68" s="378"/>
      <c r="O68" s="400"/>
      <c r="P68" s="5">
        <f>SUM(I68:I73)</f>
        <v>191.80200000000002</v>
      </c>
    </row>
    <row r="69" spans="2:16">
      <c r="B69" s="380"/>
      <c r="C69" s="531"/>
      <c r="D69" s="528"/>
      <c r="E69" s="528"/>
      <c r="F69" s="383" t="s">
        <v>141</v>
      </c>
      <c r="G69" s="396">
        <v>702802</v>
      </c>
      <c r="H69" s="534"/>
      <c r="I69" s="448">
        <v>19.28</v>
      </c>
      <c r="J69" s="540"/>
      <c r="K69" s="543"/>
      <c r="L69" s="380"/>
      <c r="M69" s="383"/>
      <c r="N69" s="383"/>
      <c r="O69" s="398"/>
    </row>
    <row r="70" spans="2:16">
      <c r="B70" s="380"/>
      <c r="C70" s="531"/>
      <c r="D70" s="528"/>
      <c r="E70" s="528"/>
      <c r="F70" s="383" t="s">
        <v>136</v>
      </c>
      <c r="G70" s="396">
        <v>699329</v>
      </c>
      <c r="H70" s="534"/>
      <c r="I70" s="448">
        <v>12.51</v>
      </c>
      <c r="J70" s="540"/>
      <c r="K70" s="543"/>
      <c r="L70" s="380"/>
      <c r="M70" s="383"/>
      <c r="N70" s="383"/>
      <c r="O70" s="398"/>
    </row>
    <row r="71" spans="2:16">
      <c r="B71" s="380"/>
      <c r="C71" s="531"/>
      <c r="D71" s="528"/>
      <c r="E71" s="528"/>
      <c r="F71" s="383" t="s">
        <v>146</v>
      </c>
      <c r="G71" s="396">
        <v>700798</v>
      </c>
      <c r="H71" s="534"/>
      <c r="I71" s="448">
        <v>59.414999999999999</v>
      </c>
      <c r="J71" s="540"/>
      <c r="K71" s="543"/>
      <c r="L71" s="380"/>
      <c r="M71" s="383"/>
      <c r="N71" s="383"/>
      <c r="O71" s="398"/>
    </row>
    <row r="72" spans="2:16">
      <c r="B72" s="380"/>
      <c r="C72" s="531"/>
      <c r="D72" s="528"/>
      <c r="E72" s="528"/>
      <c r="F72" s="383" t="s">
        <v>145</v>
      </c>
      <c r="G72" s="396">
        <v>703243</v>
      </c>
      <c r="H72" s="534"/>
      <c r="I72" s="448"/>
      <c r="J72" s="540"/>
      <c r="K72" s="543"/>
      <c r="L72" s="380"/>
      <c r="M72" s="383"/>
      <c r="N72" s="383"/>
      <c r="O72" s="398"/>
    </row>
    <row r="73" spans="2:16" ht="15.75" thickBot="1">
      <c r="B73" s="385"/>
      <c r="C73" s="532"/>
      <c r="D73" s="529"/>
      <c r="E73" s="529"/>
      <c r="F73" s="388" t="s">
        <v>138</v>
      </c>
      <c r="G73" s="401">
        <v>703788</v>
      </c>
      <c r="H73" s="535"/>
      <c r="I73" s="449">
        <v>50.14</v>
      </c>
      <c r="J73" s="541"/>
      <c r="K73" s="544"/>
      <c r="L73" s="385"/>
      <c r="M73" s="388"/>
      <c r="N73" s="388"/>
      <c r="O73" s="402"/>
    </row>
    <row r="74" spans="2:16">
      <c r="B74" s="361"/>
      <c r="C74" s="548">
        <v>45750</v>
      </c>
      <c r="D74" s="545">
        <v>867</v>
      </c>
      <c r="E74" s="545" t="s">
        <v>150</v>
      </c>
      <c r="F74" s="364" t="s">
        <v>151</v>
      </c>
      <c r="G74" s="404">
        <v>963544</v>
      </c>
      <c r="H74" s="551">
        <v>4232.9579999999996</v>
      </c>
      <c r="I74" s="405"/>
      <c r="J74" s="559">
        <f>H74-P74</f>
        <v>4232.9579999999996</v>
      </c>
      <c r="K74" s="554">
        <f>P74/H74</f>
        <v>0</v>
      </c>
      <c r="L74" s="361"/>
      <c r="M74" s="364"/>
      <c r="N74" s="364"/>
      <c r="O74" s="406"/>
      <c r="P74" s="5">
        <f>SUM(I74:I80)</f>
        <v>0</v>
      </c>
    </row>
    <row r="75" spans="2:16">
      <c r="B75" s="366"/>
      <c r="C75" s="549"/>
      <c r="D75" s="546"/>
      <c r="E75" s="546"/>
      <c r="F75" s="369" t="s">
        <v>100</v>
      </c>
      <c r="G75" s="407">
        <v>963409</v>
      </c>
      <c r="H75" s="552"/>
      <c r="I75" s="391"/>
      <c r="J75" s="560"/>
      <c r="K75" s="555"/>
      <c r="L75" s="366"/>
      <c r="M75" s="369"/>
      <c r="N75" s="369"/>
      <c r="O75" s="392"/>
    </row>
    <row r="76" spans="2:16">
      <c r="B76" s="366"/>
      <c r="C76" s="549"/>
      <c r="D76" s="546"/>
      <c r="E76" s="546"/>
      <c r="F76" s="369" t="s">
        <v>123</v>
      </c>
      <c r="G76" s="407">
        <v>914147</v>
      </c>
      <c r="H76" s="552"/>
      <c r="I76" s="391"/>
      <c r="J76" s="560"/>
      <c r="K76" s="555"/>
      <c r="L76" s="366"/>
      <c r="M76" s="369"/>
      <c r="N76" s="369"/>
      <c r="O76" s="392"/>
    </row>
    <row r="77" spans="2:16">
      <c r="B77" s="366"/>
      <c r="C77" s="549"/>
      <c r="D77" s="546"/>
      <c r="E77" s="546"/>
      <c r="F77" s="369" t="s">
        <v>122</v>
      </c>
      <c r="G77" s="407">
        <v>914125</v>
      </c>
      <c r="H77" s="552"/>
      <c r="I77" s="391"/>
      <c r="J77" s="560"/>
      <c r="K77" s="555"/>
      <c r="L77" s="366"/>
      <c r="M77" s="369"/>
      <c r="N77" s="369"/>
      <c r="O77" s="392"/>
    </row>
    <row r="78" spans="2:16">
      <c r="B78" s="366"/>
      <c r="C78" s="549"/>
      <c r="D78" s="546"/>
      <c r="E78" s="546"/>
      <c r="F78" s="369" t="s">
        <v>152</v>
      </c>
      <c r="G78" s="407">
        <v>964706</v>
      </c>
      <c r="H78" s="552"/>
      <c r="I78" s="391"/>
      <c r="J78" s="560"/>
      <c r="K78" s="555"/>
      <c r="L78" s="366"/>
      <c r="M78" s="369"/>
      <c r="N78" s="369"/>
      <c r="O78" s="392"/>
    </row>
    <row r="79" spans="2:16">
      <c r="B79" s="366"/>
      <c r="C79" s="549"/>
      <c r="D79" s="546"/>
      <c r="E79" s="546"/>
      <c r="F79" s="369" t="s">
        <v>121</v>
      </c>
      <c r="G79" s="407">
        <v>914124</v>
      </c>
      <c r="H79" s="552"/>
      <c r="I79" s="391"/>
      <c r="J79" s="560"/>
      <c r="K79" s="555"/>
      <c r="L79" s="366"/>
      <c r="M79" s="369"/>
      <c r="N79" s="369"/>
      <c r="O79" s="392"/>
    </row>
    <row r="80" spans="2:16" ht="15.75" thickBot="1">
      <c r="B80" s="371"/>
      <c r="C80" s="550"/>
      <c r="D80" s="547"/>
      <c r="E80" s="547"/>
      <c r="F80" s="374" t="s">
        <v>124</v>
      </c>
      <c r="G80" s="408">
        <v>968795</v>
      </c>
      <c r="H80" s="553"/>
      <c r="I80" s="409"/>
      <c r="J80" s="561"/>
      <c r="K80" s="556"/>
      <c r="L80" s="371"/>
      <c r="M80" s="374"/>
      <c r="N80" s="374"/>
      <c r="O80" s="395"/>
    </row>
    <row r="81" spans="2:16">
      <c r="B81" s="410"/>
      <c r="C81" s="530">
        <v>45750</v>
      </c>
      <c r="D81" s="527">
        <v>868</v>
      </c>
      <c r="E81" s="527" t="s">
        <v>150</v>
      </c>
      <c r="F81" s="410" t="s">
        <v>136</v>
      </c>
      <c r="G81" s="411">
        <v>699329</v>
      </c>
      <c r="H81" s="533">
        <v>2643.5859999999998</v>
      </c>
      <c r="I81" s="413"/>
      <c r="J81" s="557">
        <f>H81-P81</f>
        <v>2643.5859999999998</v>
      </c>
      <c r="K81" s="542">
        <f>P81/H81</f>
        <v>0</v>
      </c>
      <c r="L81" s="412"/>
      <c r="M81" s="410"/>
      <c r="N81" s="410"/>
      <c r="O81" s="414"/>
      <c r="P81" s="5">
        <f>SUM(I81:I86)</f>
        <v>0</v>
      </c>
    </row>
    <row r="82" spans="2:16">
      <c r="B82" s="383"/>
      <c r="C82" s="531"/>
      <c r="D82" s="528"/>
      <c r="E82" s="528"/>
      <c r="F82" s="383" t="s">
        <v>138</v>
      </c>
      <c r="G82" s="396">
        <v>703788</v>
      </c>
      <c r="H82" s="534"/>
      <c r="I82" s="415"/>
      <c r="J82" s="558"/>
      <c r="K82" s="543"/>
      <c r="L82" s="380"/>
      <c r="M82" s="383"/>
      <c r="N82" s="383"/>
      <c r="O82" s="398"/>
    </row>
    <row r="83" spans="2:16">
      <c r="B83" s="383"/>
      <c r="C83" s="531"/>
      <c r="D83" s="528"/>
      <c r="E83" s="528"/>
      <c r="F83" s="383" t="s">
        <v>141</v>
      </c>
      <c r="G83" s="396">
        <v>702802</v>
      </c>
      <c r="H83" s="534"/>
      <c r="I83" s="415"/>
      <c r="J83" s="558"/>
      <c r="K83" s="543"/>
      <c r="L83" s="380"/>
      <c r="M83" s="383"/>
      <c r="N83" s="383"/>
      <c r="O83" s="398"/>
    </row>
    <row r="84" spans="2:16">
      <c r="B84" s="383"/>
      <c r="C84" s="531"/>
      <c r="D84" s="528"/>
      <c r="E84" s="528"/>
      <c r="F84" s="383" t="s">
        <v>144</v>
      </c>
      <c r="G84" s="396">
        <v>701438</v>
      </c>
      <c r="H84" s="534"/>
      <c r="I84" s="397"/>
      <c r="J84" s="558"/>
      <c r="K84" s="543"/>
      <c r="L84" s="380"/>
      <c r="M84" s="383"/>
      <c r="N84" s="383"/>
      <c r="O84" s="398"/>
    </row>
    <row r="85" spans="2:16">
      <c r="B85" s="383"/>
      <c r="C85" s="531"/>
      <c r="D85" s="528"/>
      <c r="E85" s="528"/>
      <c r="F85" s="383" t="s">
        <v>145</v>
      </c>
      <c r="G85" s="396">
        <v>703243</v>
      </c>
      <c r="H85" s="534"/>
      <c r="I85" s="397"/>
      <c r="J85" s="558"/>
      <c r="K85" s="543"/>
      <c r="L85" s="380"/>
      <c r="M85" s="383"/>
      <c r="N85" s="383"/>
      <c r="O85" s="398"/>
    </row>
    <row r="86" spans="2:16" ht="15.75" thickBot="1">
      <c r="B86" s="418"/>
      <c r="C86" s="531"/>
      <c r="D86" s="528"/>
      <c r="E86" s="528"/>
      <c r="F86" s="418" t="s">
        <v>146</v>
      </c>
      <c r="G86" s="419">
        <v>700798</v>
      </c>
      <c r="H86" s="534"/>
      <c r="I86" s="420"/>
      <c r="J86" s="558"/>
      <c r="K86" s="543"/>
      <c r="L86" s="421"/>
      <c r="M86" s="418"/>
      <c r="N86" s="418"/>
      <c r="O86" s="422"/>
    </row>
    <row r="87" spans="2:16">
      <c r="B87" s="352"/>
      <c r="C87" s="521">
        <v>45757</v>
      </c>
      <c r="D87" s="517">
        <v>920</v>
      </c>
      <c r="E87" s="517" t="s">
        <v>16</v>
      </c>
      <c r="F87" s="353" t="s">
        <v>153</v>
      </c>
      <c r="G87" s="354">
        <v>969667</v>
      </c>
      <c r="H87" s="524">
        <v>20000</v>
      </c>
      <c r="I87" s="428"/>
      <c r="J87" s="568">
        <f>H87-P87</f>
        <v>20000</v>
      </c>
      <c r="K87" s="562">
        <f>P87/H87</f>
        <v>0</v>
      </c>
      <c r="L87" s="352"/>
      <c r="M87" s="353"/>
      <c r="N87" s="353"/>
      <c r="O87" s="355"/>
      <c r="P87" s="5">
        <f>SUM(I87:I100)</f>
        <v>0</v>
      </c>
    </row>
    <row r="88" spans="2:16">
      <c r="B88" s="345"/>
      <c r="C88" s="522"/>
      <c r="D88" s="518"/>
      <c r="E88" s="518"/>
      <c r="F88" s="343" t="s">
        <v>154</v>
      </c>
      <c r="G88" s="344">
        <v>700408</v>
      </c>
      <c r="H88" s="525"/>
      <c r="I88" s="429"/>
      <c r="J88" s="569"/>
      <c r="K88" s="563"/>
      <c r="L88" s="345"/>
      <c r="M88" s="343"/>
      <c r="N88" s="343"/>
      <c r="O88" s="346"/>
    </row>
    <row r="89" spans="2:16">
      <c r="B89" s="345"/>
      <c r="C89" s="522"/>
      <c r="D89" s="518"/>
      <c r="E89" s="518"/>
      <c r="F89" s="343" t="s">
        <v>155</v>
      </c>
      <c r="G89" s="344">
        <v>967935</v>
      </c>
      <c r="H89" s="525"/>
      <c r="I89" s="430"/>
      <c r="J89" s="569"/>
      <c r="K89" s="563"/>
      <c r="L89" s="345"/>
      <c r="M89" s="343"/>
      <c r="N89" s="343"/>
      <c r="O89" s="346"/>
    </row>
    <row r="90" spans="2:16">
      <c r="B90" s="345"/>
      <c r="C90" s="522"/>
      <c r="D90" s="518"/>
      <c r="E90" s="518"/>
      <c r="F90" s="343" t="s">
        <v>156</v>
      </c>
      <c r="G90" s="344">
        <v>967513</v>
      </c>
      <c r="H90" s="525"/>
      <c r="I90" s="429"/>
      <c r="J90" s="569"/>
      <c r="K90" s="563"/>
      <c r="L90" s="345"/>
      <c r="M90" s="343"/>
      <c r="N90" s="343"/>
      <c r="O90" s="346"/>
    </row>
    <row r="91" spans="2:16">
      <c r="B91" s="345"/>
      <c r="C91" s="522"/>
      <c r="D91" s="518"/>
      <c r="E91" s="518"/>
      <c r="F91" s="343" t="s">
        <v>157</v>
      </c>
      <c r="G91" s="344">
        <v>701486</v>
      </c>
      <c r="H91" s="525"/>
      <c r="I91" s="429"/>
      <c r="J91" s="569"/>
      <c r="K91" s="563"/>
      <c r="L91" s="345"/>
      <c r="M91" s="343"/>
      <c r="N91" s="343"/>
      <c r="O91" s="346"/>
    </row>
    <row r="92" spans="2:16">
      <c r="B92" s="345"/>
      <c r="C92" s="522"/>
      <c r="D92" s="518"/>
      <c r="E92" s="518"/>
      <c r="F92" s="343" t="s">
        <v>158</v>
      </c>
      <c r="G92" s="344">
        <v>968789</v>
      </c>
      <c r="H92" s="525"/>
      <c r="I92" s="429"/>
      <c r="J92" s="569"/>
      <c r="K92" s="563"/>
      <c r="L92" s="345"/>
      <c r="M92" s="343"/>
      <c r="N92" s="343"/>
      <c r="O92" s="346"/>
    </row>
    <row r="93" spans="2:16">
      <c r="B93" s="345"/>
      <c r="C93" s="522"/>
      <c r="D93" s="518"/>
      <c r="E93" s="518"/>
      <c r="F93" s="343" t="s">
        <v>159</v>
      </c>
      <c r="G93" s="344">
        <v>702339</v>
      </c>
      <c r="H93" s="525"/>
      <c r="I93" s="429"/>
      <c r="J93" s="569"/>
      <c r="K93" s="563"/>
      <c r="L93" s="345"/>
      <c r="M93" s="343"/>
      <c r="N93" s="343"/>
      <c r="O93" s="346"/>
    </row>
    <row r="94" spans="2:16">
      <c r="B94" s="345"/>
      <c r="C94" s="522"/>
      <c r="D94" s="518"/>
      <c r="E94" s="518"/>
      <c r="F94" s="343" t="s">
        <v>160</v>
      </c>
      <c r="G94" s="344">
        <v>699486</v>
      </c>
      <c r="H94" s="525"/>
      <c r="I94" s="430"/>
      <c r="J94" s="569"/>
      <c r="K94" s="563"/>
      <c r="L94" s="345"/>
      <c r="M94" s="343"/>
      <c r="N94" s="343"/>
      <c r="O94" s="346"/>
    </row>
    <row r="95" spans="2:16">
      <c r="B95" s="345"/>
      <c r="C95" s="522"/>
      <c r="D95" s="518"/>
      <c r="E95" s="518"/>
      <c r="F95" s="343" t="s">
        <v>161</v>
      </c>
      <c r="G95" s="344">
        <v>699254</v>
      </c>
      <c r="H95" s="525"/>
      <c r="I95" s="429"/>
      <c r="J95" s="569"/>
      <c r="K95" s="563"/>
      <c r="L95" s="345"/>
      <c r="M95" s="343"/>
      <c r="N95" s="343"/>
      <c r="O95" s="346"/>
    </row>
    <row r="96" spans="2:16">
      <c r="B96" s="345"/>
      <c r="C96" s="522"/>
      <c r="D96" s="518"/>
      <c r="E96" s="518"/>
      <c r="F96" s="347" t="s">
        <v>162</v>
      </c>
      <c r="G96" s="344">
        <v>969203</v>
      </c>
      <c r="H96" s="525"/>
      <c r="I96" s="430"/>
      <c r="J96" s="569"/>
      <c r="K96" s="563"/>
      <c r="L96" s="345"/>
      <c r="M96" s="343"/>
      <c r="N96" s="343"/>
      <c r="O96" s="346"/>
    </row>
    <row r="97" spans="1:16">
      <c r="B97" s="356"/>
      <c r="C97" s="522"/>
      <c r="D97" s="518"/>
      <c r="E97" s="518"/>
      <c r="F97" s="347" t="s">
        <v>163</v>
      </c>
      <c r="G97" s="348">
        <v>701575</v>
      </c>
      <c r="H97" s="525"/>
      <c r="I97" s="349"/>
      <c r="J97" s="569"/>
      <c r="K97" s="563"/>
      <c r="L97" s="345"/>
      <c r="M97" s="343"/>
      <c r="N97" s="343"/>
      <c r="O97" s="346"/>
    </row>
    <row r="98" spans="1:16">
      <c r="B98" s="356"/>
      <c r="C98" s="522"/>
      <c r="D98" s="518"/>
      <c r="E98" s="518"/>
      <c r="F98" s="347" t="s">
        <v>164</v>
      </c>
      <c r="G98" s="348">
        <v>968831</v>
      </c>
      <c r="H98" s="525"/>
      <c r="I98" s="429"/>
      <c r="J98" s="569"/>
      <c r="K98" s="563"/>
      <c r="L98" s="345"/>
      <c r="M98" s="343"/>
      <c r="N98" s="343"/>
      <c r="O98" s="346"/>
    </row>
    <row r="99" spans="1:16">
      <c r="B99" s="356"/>
      <c r="C99" s="522"/>
      <c r="D99" s="518"/>
      <c r="E99" s="518"/>
      <c r="F99" s="347" t="s">
        <v>165</v>
      </c>
      <c r="G99" s="348">
        <v>966479</v>
      </c>
      <c r="H99" s="525"/>
      <c r="I99" s="429"/>
      <c r="J99" s="569"/>
      <c r="K99" s="563"/>
      <c r="L99" s="345"/>
      <c r="M99" s="343"/>
      <c r="N99" s="343"/>
      <c r="O99" s="346"/>
    </row>
    <row r="100" spans="1:16" ht="15.75" thickBot="1">
      <c r="B100" s="357"/>
      <c r="C100" s="523"/>
      <c r="D100" s="519"/>
      <c r="E100" s="519"/>
      <c r="F100" s="431" t="s">
        <v>166</v>
      </c>
      <c r="G100" s="359">
        <v>966548</v>
      </c>
      <c r="H100" s="526"/>
      <c r="I100" s="432"/>
      <c r="J100" s="570"/>
      <c r="K100" s="564"/>
      <c r="L100" s="357"/>
      <c r="M100" s="358"/>
      <c r="N100" s="358"/>
      <c r="O100" s="433"/>
    </row>
    <row r="101" spans="1:16">
      <c r="B101" s="375"/>
      <c r="C101" s="530">
        <v>45757</v>
      </c>
      <c r="D101" s="527">
        <v>919</v>
      </c>
      <c r="E101" s="527" t="s">
        <v>16</v>
      </c>
      <c r="F101" s="378" t="s">
        <v>167</v>
      </c>
      <c r="G101" s="399">
        <v>702532</v>
      </c>
      <c r="H101" s="533">
        <v>20000</v>
      </c>
      <c r="I101" s="378"/>
      <c r="J101" s="527">
        <f>H101-P101</f>
        <v>20000</v>
      </c>
      <c r="K101" s="565">
        <f>P101/H101</f>
        <v>0</v>
      </c>
      <c r="L101" s="375"/>
      <c r="M101" s="378"/>
      <c r="N101" s="378"/>
      <c r="O101" s="400"/>
      <c r="P101" s="5">
        <f>SUM(I101:I118)</f>
        <v>0</v>
      </c>
    </row>
    <row r="102" spans="1:16">
      <c r="B102" s="380"/>
      <c r="C102" s="531"/>
      <c r="D102" s="528"/>
      <c r="E102" s="528"/>
      <c r="F102" s="383" t="s">
        <v>168</v>
      </c>
      <c r="G102" s="396">
        <v>961805</v>
      </c>
      <c r="H102" s="534"/>
      <c r="I102" s="383"/>
      <c r="J102" s="528"/>
      <c r="K102" s="566"/>
      <c r="L102" s="380"/>
      <c r="M102" s="383"/>
      <c r="N102" s="383"/>
      <c r="O102" s="398"/>
    </row>
    <row r="103" spans="1:16">
      <c r="B103" s="380"/>
      <c r="C103" s="531"/>
      <c r="D103" s="528"/>
      <c r="E103" s="528"/>
      <c r="F103" s="383" t="s">
        <v>169</v>
      </c>
      <c r="G103" s="396">
        <v>702161</v>
      </c>
      <c r="H103" s="534"/>
      <c r="I103" s="383"/>
      <c r="J103" s="528"/>
      <c r="K103" s="566"/>
      <c r="L103" s="380"/>
      <c r="M103" s="383"/>
      <c r="N103" s="383"/>
      <c r="O103" s="398"/>
    </row>
    <row r="104" spans="1:16">
      <c r="B104" s="380"/>
      <c r="C104" s="531"/>
      <c r="D104" s="528"/>
      <c r="E104" s="528"/>
      <c r="F104" s="383" t="s">
        <v>170</v>
      </c>
      <c r="G104" s="396">
        <v>968122</v>
      </c>
      <c r="H104" s="534"/>
      <c r="I104" s="383"/>
      <c r="J104" s="528"/>
      <c r="K104" s="566"/>
      <c r="L104" s="380"/>
      <c r="M104" s="383"/>
      <c r="N104" s="383"/>
      <c r="O104" s="398"/>
    </row>
    <row r="105" spans="1:16">
      <c r="B105" s="380"/>
      <c r="C105" s="531"/>
      <c r="D105" s="528"/>
      <c r="E105" s="528"/>
      <c r="F105" s="383" t="s">
        <v>171</v>
      </c>
      <c r="G105" s="396">
        <v>702056</v>
      </c>
      <c r="H105" s="534"/>
      <c r="I105" s="383"/>
      <c r="J105" s="528"/>
      <c r="K105" s="566"/>
      <c r="L105" s="380"/>
      <c r="M105" s="383"/>
      <c r="N105" s="383"/>
      <c r="O105" s="398"/>
    </row>
    <row r="106" spans="1:16">
      <c r="B106" s="380"/>
      <c r="C106" s="531"/>
      <c r="D106" s="528"/>
      <c r="E106" s="528"/>
      <c r="F106" s="381" t="s">
        <v>172</v>
      </c>
      <c r="G106" s="382">
        <v>701983</v>
      </c>
      <c r="H106" s="534"/>
      <c r="I106" s="383"/>
      <c r="J106" s="528"/>
      <c r="K106" s="566"/>
      <c r="L106" s="380"/>
      <c r="M106" s="383"/>
      <c r="N106" s="383"/>
      <c r="O106" s="398"/>
    </row>
    <row r="107" spans="1:16">
      <c r="B107" s="380"/>
      <c r="C107" s="531"/>
      <c r="D107" s="528"/>
      <c r="E107" s="528"/>
      <c r="F107" s="381" t="s">
        <v>173</v>
      </c>
      <c r="G107" s="382">
        <v>919376</v>
      </c>
      <c r="H107" s="534"/>
      <c r="I107" s="383"/>
      <c r="J107" s="528"/>
      <c r="K107" s="566"/>
      <c r="L107" s="380"/>
      <c r="M107" s="383"/>
      <c r="N107" s="383"/>
      <c r="O107" s="398"/>
    </row>
    <row r="108" spans="1:16">
      <c r="A108" s="5" t="s">
        <v>174</v>
      </c>
      <c r="B108" s="434"/>
      <c r="C108" s="531"/>
      <c r="D108" s="528"/>
      <c r="E108" s="528"/>
      <c r="F108" s="381" t="s">
        <v>175</v>
      </c>
      <c r="G108" s="382">
        <v>958248</v>
      </c>
      <c r="H108" s="534"/>
      <c r="I108" s="435"/>
      <c r="J108" s="528"/>
      <c r="K108" s="566"/>
      <c r="L108" s="434"/>
      <c r="M108" s="435"/>
      <c r="N108" s="435"/>
      <c r="O108" s="436"/>
    </row>
    <row r="109" spans="1:16">
      <c r="A109" s="5" t="s">
        <v>174</v>
      </c>
      <c r="B109" s="434"/>
      <c r="C109" s="531"/>
      <c r="D109" s="528"/>
      <c r="E109" s="528"/>
      <c r="F109" s="381" t="s">
        <v>176</v>
      </c>
      <c r="G109" s="382">
        <v>701941</v>
      </c>
      <c r="H109" s="534"/>
      <c r="I109" s="435"/>
      <c r="J109" s="528"/>
      <c r="K109" s="566"/>
      <c r="L109" s="434"/>
      <c r="M109" s="435"/>
      <c r="N109" s="435"/>
      <c r="O109" s="436"/>
    </row>
    <row r="110" spans="1:16">
      <c r="A110" s="5" t="s">
        <v>174</v>
      </c>
      <c r="B110" s="434"/>
      <c r="C110" s="531"/>
      <c r="D110" s="528"/>
      <c r="E110" s="528"/>
      <c r="F110" s="381" t="s">
        <v>177</v>
      </c>
      <c r="G110" s="382">
        <v>700795</v>
      </c>
      <c r="H110" s="534"/>
      <c r="I110" s="435"/>
      <c r="J110" s="528"/>
      <c r="K110" s="566"/>
      <c r="L110" s="434"/>
      <c r="M110" s="435"/>
      <c r="N110" s="435"/>
      <c r="O110" s="436"/>
    </row>
    <row r="111" spans="1:16">
      <c r="A111" s="5" t="s">
        <v>174</v>
      </c>
      <c r="B111" s="434"/>
      <c r="C111" s="531"/>
      <c r="D111" s="528"/>
      <c r="E111" s="528"/>
      <c r="F111" s="381" t="s">
        <v>178</v>
      </c>
      <c r="G111" s="382">
        <v>703655</v>
      </c>
      <c r="H111" s="534"/>
      <c r="I111" s="435"/>
      <c r="J111" s="528"/>
      <c r="K111" s="566"/>
      <c r="L111" s="434"/>
      <c r="M111" s="435"/>
      <c r="N111" s="435"/>
      <c r="O111" s="436"/>
    </row>
    <row r="112" spans="1:16">
      <c r="A112" s="5" t="s">
        <v>174</v>
      </c>
      <c r="B112" s="434"/>
      <c r="C112" s="531"/>
      <c r="D112" s="528"/>
      <c r="E112" s="528"/>
      <c r="F112" s="381" t="s">
        <v>179</v>
      </c>
      <c r="G112" s="382">
        <v>698468</v>
      </c>
      <c r="H112" s="534"/>
      <c r="I112" s="435"/>
      <c r="J112" s="528"/>
      <c r="K112" s="566"/>
      <c r="L112" s="434"/>
      <c r="M112" s="435"/>
      <c r="N112" s="435"/>
      <c r="O112" s="436"/>
    </row>
    <row r="113" spans="1:15">
      <c r="A113" s="5" t="s">
        <v>174</v>
      </c>
      <c r="B113" s="434"/>
      <c r="C113" s="531"/>
      <c r="D113" s="528"/>
      <c r="E113" s="528"/>
      <c r="F113" s="381" t="s">
        <v>180</v>
      </c>
      <c r="G113" s="382">
        <v>698513</v>
      </c>
      <c r="H113" s="534"/>
      <c r="I113" s="435"/>
      <c r="J113" s="528"/>
      <c r="K113" s="566"/>
      <c r="L113" s="434"/>
      <c r="M113" s="435"/>
      <c r="N113" s="435"/>
      <c r="O113" s="436"/>
    </row>
    <row r="114" spans="1:15">
      <c r="B114" s="380"/>
      <c r="C114" s="531"/>
      <c r="D114" s="528"/>
      <c r="E114" s="528"/>
      <c r="F114" s="381" t="s">
        <v>181</v>
      </c>
      <c r="G114" s="382">
        <v>702689</v>
      </c>
      <c r="H114" s="534"/>
      <c r="I114" s="397"/>
      <c r="J114" s="528"/>
      <c r="K114" s="566"/>
      <c r="L114" s="380"/>
      <c r="M114" s="383"/>
      <c r="N114" s="383"/>
      <c r="O114" s="398"/>
    </row>
    <row r="115" spans="1:15">
      <c r="B115" s="380"/>
      <c r="C115" s="531"/>
      <c r="D115" s="528"/>
      <c r="E115" s="528"/>
      <c r="F115" s="381" t="s">
        <v>182</v>
      </c>
      <c r="G115" s="382">
        <v>968960</v>
      </c>
      <c r="H115" s="534"/>
      <c r="I115" s="397"/>
      <c r="J115" s="528"/>
      <c r="K115" s="566"/>
      <c r="L115" s="380"/>
      <c r="M115" s="383"/>
      <c r="N115" s="383"/>
      <c r="O115" s="398"/>
    </row>
    <row r="116" spans="1:15">
      <c r="B116" s="380"/>
      <c r="C116" s="531"/>
      <c r="D116" s="528"/>
      <c r="E116" s="528"/>
      <c r="F116" s="381" t="s">
        <v>183</v>
      </c>
      <c r="G116" s="382">
        <v>700719</v>
      </c>
      <c r="H116" s="534"/>
      <c r="I116" s="397"/>
      <c r="J116" s="528"/>
      <c r="K116" s="566"/>
      <c r="L116" s="380"/>
      <c r="M116" s="383"/>
      <c r="N116" s="383"/>
      <c r="O116" s="398"/>
    </row>
    <row r="117" spans="1:15">
      <c r="B117" s="380"/>
      <c r="C117" s="531"/>
      <c r="D117" s="528"/>
      <c r="E117" s="528"/>
      <c r="F117" s="381" t="s">
        <v>184</v>
      </c>
      <c r="G117" s="382">
        <v>701785</v>
      </c>
      <c r="H117" s="534"/>
      <c r="I117" s="397"/>
      <c r="J117" s="528"/>
      <c r="K117" s="566"/>
      <c r="L117" s="380"/>
      <c r="M117" s="383"/>
      <c r="N117" s="383"/>
      <c r="O117" s="398"/>
    </row>
    <row r="118" spans="1:15" ht="15.75" thickBot="1">
      <c r="B118" s="385"/>
      <c r="C118" s="532"/>
      <c r="D118" s="529"/>
      <c r="E118" s="529"/>
      <c r="F118" s="386" t="s">
        <v>185</v>
      </c>
      <c r="G118" s="387">
        <v>968156</v>
      </c>
      <c r="H118" s="535"/>
      <c r="I118" s="388"/>
      <c r="J118" s="529"/>
      <c r="K118" s="567"/>
      <c r="L118" s="385"/>
      <c r="M118" s="437"/>
      <c r="N118" s="388"/>
      <c r="O118" s="389"/>
    </row>
    <row r="119" spans="1:15">
      <c r="B119" s="128"/>
      <c r="C119" s="423"/>
      <c r="D119" s="128"/>
      <c r="E119" s="128"/>
      <c r="F119" s="128"/>
      <c r="G119" s="424"/>
      <c r="H119" s="425"/>
      <c r="I119" s="128"/>
      <c r="J119" s="128"/>
      <c r="K119" s="427"/>
      <c r="L119" s="425"/>
      <c r="M119" s="128"/>
      <c r="N119" s="128"/>
      <c r="O119" s="426"/>
    </row>
    <row r="120" spans="1:15">
      <c r="B120" s="129"/>
      <c r="C120" s="130"/>
      <c r="D120" s="129"/>
      <c r="E120" s="129"/>
      <c r="F120" s="129"/>
      <c r="G120" s="327"/>
      <c r="H120" s="136"/>
      <c r="I120" s="129"/>
      <c r="J120" s="129"/>
      <c r="K120" s="138"/>
      <c r="L120" s="136"/>
      <c r="M120" s="25"/>
      <c r="N120" s="129"/>
      <c r="O120" s="137"/>
    </row>
    <row r="121" spans="1:15">
      <c r="B121" s="129"/>
      <c r="C121" s="130"/>
      <c r="D121" s="129"/>
      <c r="E121" s="129"/>
      <c r="F121" s="129"/>
      <c r="G121" s="327"/>
      <c r="H121" s="136"/>
      <c r="I121" s="129"/>
      <c r="J121" s="129"/>
      <c r="K121" s="138"/>
      <c r="L121" s="136"/>
      <c r="M121" s="25"/>
      <c r="N121" s="129"/>
      <c r="O121" s="137"/>
    </row>
    <row r="122" spans="1:15">
      <c r="B122" s="129"/>
      <c r="C122" s="130"/>
      <c r="D122" s="35"/>
      <c r="E122" s="129"/>
      <c r="F122" s="40"/>
      <c r="G122" s="327"/>
      <c r="H122" s="136"/>
      <c r="I122" s="129"/>
      <c r="J122" s="129"/>
      <c r="K122" s="138"/>
      <c r="L122" s="136"/>
      <c r="M122" s="25"/>
      <c r="N122" s="129"/>
      <c r="O122" s="137"/>
    </row>
    <row r="123" spans="1:15">
      <c r="B123" s="129"/>
      <c r="C123" s="130"/>
      <c r="D123" s="129"/>
      <c r="E123" s="129"/>
      <c r="F123" s="129"/>
      <c r="G123" s="327"/>
      <c r="H123" s="136"/>
      <c r="I123" s="129"/>
      <c r="J123" s="129"/>
      <c r="K123" s="138"/>
      <c r="L123" s="136"/>
      <c r="M123" s="25"/>
      <c r="N123" s="129"/>
      <c r="O123" s="137"/>
    </row>
    <row r="124" spans="1:15">
      <c r="B124" s="129"/>
      <c r="C124" s="130"/>
      <c r="D124" s="129"/>
      <c r="E124" s="129"/>
      <c r="F124" s="42"/>
      <c r="G124" s="328"/>
      <c r="H124" s="136"/>
      <c r="I124" s="39"/>
      <c r="J124" s="129"/>
      <c r="K124" s="137"/>
      <c r="L124" s="136"/>
      <c r="M124" s="129"/>
      <c r="N124" s="129"/>
      <c r="O124" s="138"/>
    </row>
    <row r="125" spans="1:15">
      <c r="B125" s="129"/>
      <c r="C125" s="130"/>
      <c r="D125" s="129"/>
      <c r="E125" s="129"/>
      <c r="F125" s="41"/>
      <c r="G125" s="328"/>
      <c r="H125" s="136"/>
      <c r="I125" s="39"/>
      <c r="J125" s="129"/>
      <c r="K125" s="137"/>
      <c r="L125" s="136"/>
      <c r="M125" s="129"/>
      <c r="N125" s="129"/>
      <c r="O125" s="138"/>
    </row>
    <row r="126" spans="1:15">
      <c r="B126" s="129"/>
      <c r="C126" s="130"/>
      <c r="D126" s="129"/>
      <c r="E126" s="129"/>
      <c r="F126" s="41"/>
      <c r="G126" s="328"/>
      <c r="H126" s="136"/>
      <c r="I126" s="39"/>
      <c r="J126" s="129"/>
      <c r="K126" s="137"/>
      <c r="L126" s="136"/>
      <c r="M126" s="129"/>
      <c r="N126" s="129"/>
      <c r="O126" s="138"/>
    </row>
    <row r="127" spans="1:15">
      <c r="B127" s="129"/>
      <c r="C127" s="130"/>
      <c r="D127" s="129"/>
      <c r="E127" s="129"/>
      <c r="F127" s="41"/>
      <c r="G127" s="328"/>
      <c r="H127" s="136"/>
      <c r="I127" s="39"/>
      <c r="J127" s="129"/>
      <c r="K127" s="137"/>
      <c r="L127" s="136"/>
      <c r="M127" s="129"/>
      <c r="N127" s="129"/>
      <c r="O127" s="138"/>
    </row>
    <row r="128" spans="1:15">
      <c r="B128" s="129"/>
      <c r="C128" s="130"/>
      <c r="D128" s="129"/>
      <c r="E128" s="129"/>
      <c r="F128" s="42"/>
      <c r="G128" s="328"/>
      <c r="H128" s="136"/>
      <c r="I128" s="39"/>
      <c r="J128" s="129"/>
      <c r="K128" s="137"/>
      <c r="L128" s="136"/>
      <c r="M128" s="129"/>
      <c r="N128" s="129"/>
      <c r="O128" s="138"/>
    </row>
    <row r="129" spans="2:15">
      <c r="B129" s="129"/>
      <c r="C129" s="130"/>
      <c r="D129" s="37"/>
      <c r="E129" s="129"/>
      <c r="F129" s="41"/>
      <c r="G129" s="328"/>
      <c r="H129" s="136"/>
      <c r="I129" s="39"/>
      <c r="J129" s="129"/>
      <c r="K129" s="137"/>
      <c r="L129" s="136"/>
      <c r="M129" s="129"/>
      <c r="N129" s="129"/>
      <c r="O129" s="138"/>
    </row>
    <row r="130" spans="2:15">
      <c r="B130" s="129"/>
      <c r="C130" s="130"/>
      <c r="D130" s="129"/>
      <c r="E130" s="129"/>
      <c r="F130" s="41"/>
      <c r="G130" s="328"/>
      <c r="H130" s="136"/>
      <c r="I130" s="39"/>
      <c r="J130" s="129"/>
      <c r="K130" s="137"/>
      <c r="L130" s="136"/>
      <c r="M130" s="129"/>
      <c r="N130" s="129"/>
      <c r="O130" s="138"/>
    </row>
    <row r="131" spans="2:15">
      <c r="B131" s="129"/>
      <c r="C131" s="130"/>
      <c r="D131" s="129"/>
      <c r="E131" s="129"/>
      <c r="F131" s="41"/>
      <c r="G131" s="328"/>
      <c r="H131" s="136"/>
      <c r="I131" s="39"/>
      <c r="J131" s="129"/>
      <c r="K131" s="137"/>
      <c r="L131" s="136"/>
      <c r="M131" s="129"/>
      <c r="N131" s="129"/>
      <c r="O131" s="138"/>
    </row>
    <row r="132" spans="2:15">
      <c r="B132" s="129"/>
      <c r="C132" s="130"/>
      <c r="D132" s="129"/>
      <c r="E132" s="129"/>
      <c r="F132" s="42"/>
      <c r="G132" s="328"/>
      <c r="H132" s="136"/>
      <c r="I132" s="39"/>
      <c r="J132" s="129"/>
      <c r="K132" s="137"/>
      <c r="L132" s="136"/>
      <c r="M132" s="129"/>
      <c r="N132" s="129"/>
      <c r="O132" s="138"/>
    </row>
    <row r="133" spans="2:15">
      <c r="B133" s="129"/>
      <c r="C133" s="130"/>
      <c r="D133" s="129"/>
      <c r="E133" s="129"/>
      <c r="F133" s="42"/>
      <c r="G133" s="328"/>
      <c r="H133" s="136"/>
      <c r="I133" s="39"/>
      <c r="J133" s="129"/>
      <c r="K133" s="137"/>
      <c r="L133" s="136"/>
      <c r="M133" s="129"/>
      <c r="N133" s="129"/>
      <c r="O133" s="138"/>
    </row>
    <row r="134" spans="2:15">
      <c r="B134" s="129"/>
      <c r="C134" s="130"/>
      <c r="D134" s="129"/>
      <c r="E134" s="129"/>
      <c r="F134" s="41"/>
      <c r="G134" s="328"/>
      <c r="H134" s="136"/>
      <c r="I134" s="39"/>
      <c r="J134" s="129"/>
      <c r="K134" s="137"/>
      <c r="L134" s="136"/>
      <c r="M134" s="129"/>
      <c r="N134" s="129"/>
      <c r="O134" s="138"/>
    </row>
    <row r="135" spans="2:15">
      <c r="B135" s="129"/>
      <c r="C135" s="130"/>
      <c r="D135" s="129"/>
      <c r="E135" s="129"/>
      <c r="F135" s="41"/>
      <c r="G135" s="328"/>
      <c r="H135" s="136"/>
      <c r="I135" s="39"/>
      <c r="J135" s="129"/>
      <c r="K135" s="137"/>
      <c r="L135" s="136"/>
      <c r="M135" s="129"/>
      <c r="N135" s="129"/>
      <c r="O135" s="138"/>
    </row>
    <row r="136" spans="2:15">
      <c r="B136" s="129"/>
      <c r="C136" s="130"/>
      <c r="D136" s="129"/>
      <c r="E136" s="129"/>
      <c r="F136" s="42"/>
      <c r="G136" s="328"/>
      <c r="H136" s="136"/>
      <c r="I136" s="39"/>
      <c r="J136" s="129"/>
      <c r="K136" s="137"/>
      <c r="L136" s="136"/>
      <c r="M136" s="129"/>
      <c r="N136" s="129"/>
      <c r="O136" s="138"/>
    </row>
    <row r="137" spans="2:15" s="34" customFormat="1">
      <c r="B137" s="37"/>
      <c r="C137" s="38"/>
      <c r="D137" s="37"/>
      <c r="E137" s="37"/>
      <c r="F137" s="42"/>
      <c r="G137" s="328"/>
      <c r="H137" s="136"/>
      <c r="I137" s="39"/>
      <c r="J137" s="129"/>
      <c r="K137" s="137"/>
      <c r="L137" s="139"/>
      <c r="M137" s="37"/>
      <c r="N137" s="37"/>
      <c r="O137" s="144"/>
    </row>
    <row r="138" spans="2:15" s="34" customFormat="1">
      <c r="B138" s="37"/>
      <c r="C138" s="38"/>
      <c r="D138" s="37"/>
      <c r="E138" s="37"/>
      <c r="F138" s="42"/>
      <c r="G138" s="328"/>
      <c r="H138" s="136"/>
      <c r="I138" s="39"/>
      <c r="J138" s="129"/>
      <c r="K138" s="137"/>
      <c r="L138" s="139"/>
      <c r="M138" s="37"/>
      <c r="N138" s="37"/>
      <c r="O138" s="144"/>
    </row>
    <row r="139" spans="2:15" s="34" customFormat="1">
      <c r="B139" s="37"/>
      <c r="C139" s="38"/>
      <c r="D139" s="37"/>
      <c r="E139" s="37"/>
      <c r="F139" s="42"/>
      <c r="G139" s="328"/>
      <c r="H139" s="136"/>
      <c r="I139" s="39"/>
      <c r="J139" s="129"/>
      <c r="K139" s="137"/>
      <c r="L139" s="139"/>
      <c r="M139" s="37"/>
      <c r="N139" s="37"/>
      <c r="O139" s="144"/>
    </row>
    <row r="140" spans="2:15" s="34" customFormat="1">
      <c r="B140" s="37"/>
      <c r="C140" s="38"/>
      <c r="D140" s="37"/>
      <c r="E140" s="37"/>
      <c r="F140" s="42"/>
      <c r="G140" s="328"/>
      <c r="H140" s="136"/>
      <c r="I140" s="39"/>
      <c r="J140" s="129"/>
      <c r="K140" s="137"/>
      <c r="L140" s="139"/>
      <c r="M140" s="37"/>
      <c r="N140" s="37"/>
      <c r="O140" s="144"/>
    </row>
    <row r="141" spans="2:15">
      <c r="B141" s="129"/>
      <c r="C141" s="130"/>
      <c r="D141" s="129"/>
      <c r="E141" s="129"/>
      <c r="F141" s="41"/>
      <c r="G141" s="328"/>
      <c r="H141" s="136"/>
      <c r="I141" s="39"/>
      <c r="J141" s="129"/>
      <c r="K141" s="137"/>
      <c r="L141" s="136"/>
      <c r="M141" s="129"/>
      <c r="N141" s="129"/>
      <c r="O141" s="138"/>
    </row>
    <row r="142" spans="2:15">
      <c r="B142" s="129"/>
      <c r="C142" s="130"/>
      <c r="D142" s="129"/>
      <c r="E142" s="129"/>
      <c r="F142" s="129"/>
      <c r="G142" s="327"/>
      <c r="H142" s="136"/>
      <c r="I142" s="129"/>
      <c r="J142" s="129"/>
      <c r="K142" s="138"/>
      <c r="L142" s="136"/>
      <c r="M142" s="132"/>
      <c r="N142" s="129"/>
      <c r="O142" s="137"/>
    </row>
    <row r="143" spans="2:15">
      <c r="B143" s="129"/>
      <c r="C143" s="130"/>
      <c r="D143" s="129"/>
      <c r="E143" s="129"/>
      <c r="F143" s="129"/>
      <c r="G143" s="327"/>
      <c r="H143" s="136"/>
      <c r="I143" s="129"/>
      <c r="J143" s="129"/>
      <c r="K143" s="138"/>
      <c r="L143" s="136"/>
      <c r="M143" s="129"/>
      <c r="N143" s="129"/>
      <c r="O143" s="137"/>
    </row>
    <row r="144" spans="2:15">
      <c r="B144" s="129"/>
      <c r="C144" s="130"/>
      <c r="D144" s="129"/>
      <c r="E144" s="129"/>
      <c r="F144" s="129"/>
      <c r="G144" s="327"/>
      <c r="H144" s="136"/>
      <c r="I144" s="129"/>
      <c r="J144" s="129"/>
      <c r="K144" s="138"/>
      <c r="L144" s="136"/>
      <c r="M144" s="129"/>
      <c r="N144" s="129"/>
      <c r="O144" s="137"/>
    </row>
    <row r="145" spans="2:15">
      <c r="B145" s="129"/>
      <c r="C145" s="130"/>
      <c r="D145" s="129"/>
      <c r="E145" s="129"/>
      <c r="F145" s="129"/>
      <c r="G145" s="327"/>
      <c r="H145" s="136"/>
      <c r="I145" s="129"/>
      <c r="J145" s="129"/>
      <c r="K145" s="138"/>
      <c r="L145" s="136"/>
      <c r="M145" s="132"/>
      <c r="N145" s="129"/>
      <c r="O145" s="137"/>
    </row>
    <row r="146" spans="2:15">
      <c r="B146" s="129"/>
      <c r="C146" s="130"/>
      <c r="D146" s="129"/>
      <c r="E146" s="129"/>
      <c r="F146" s="129"/>
      <c r="G146" s="327"/>
      <c r="H146" s="136"/>
      <c r="I146" s="129"/>
      <c r="J146" s="129"/>
      <c r="K146" s="138"/>
      <c r="L146" s="136"/>
      <c r="M146" s="129"/>
      <c r="N146" s="129"/>
      <c r="O146" s="137"/>
    </row>
    <row r="147" spans="2:15">
      <c r="B147" s="129"/>
      <c r="C147" s="130"/>
      <c r="D147" s="129"/>
      <c r="E147" s="129"/>
      <c r="F147" s="129"/>
      <c r="G147" s="327"/>
      <c r="H147" s="136"/>
      <c r="I147" s="129"/>
      <c r="J147" s="129"/>
      <c r="K147" s="138"/>
      <c r="L147" s="136"/>
      <c r="M147" s="129"/>
      <c r="N147" s="129"/>
      <c r="O147" s="137"/>
    </row>
    <row r="148" spans="2:15">
      <c r="B148" s="129"/>
      <c r="C148" s="130"/>
      <c r="D148" s="129"/>
      <c r="E148" s="129"/>
      <c r="F148" s="129"/>
      <c r="G148" s="327"/>
      <c r="H148" s="136"/>
      <c r="I148" s="129"/>
      <c r="J148" s="129"/>
      <c r="K148" s="138"/>
      <c r="L148" s="136"/>
      <c r="M148" s="129"/>
      <c r="N148" s="129"/>
      <c r="O148" s="137"/>
    </row>
    <row r="149" spans="2:15">
      <c r="B149" s="129"/>
      <c r="C149" s="130"/>
      <c r="D149" s="129"/>
      <c r="E149" s="129"/>
      <c r="F149" s="129"/>
      <c r="G149" s="327"/>
      <c r="H149" s="136"/>
      <c r="I149" s="129"/>
      <c r="J149" s="129"/>
      <c r="K149" s="138"/>
      <c r="L149" s="136"/>
      <c r="M149" s="129"/>
      <c r="N149" s="129"/>
      <c r="O149" s="137"/>
    </row>
    <row r="150" spans="2:15">
      <c r="B150" s="129"/>
      <c r="C150" s="130"/>
      <c r="D150" s="129"/>
      <c r="E150" s="129"/>
      <c r="F150" s="129"/>
      <c r="G150" s="327"/>
      <c r="H150" s="136"/>
      <c r="I150" s="129"/>
      <c r="J150" s="129"/>
      <c r="K150" s="138"/>
      <c r="L150" s="136"/>
      <c r="M150" s="129"/>
      <c r="N150" s="129"/>
      <c r="O150" s="137"/>
    </row>
    <row r="151" spans="2:15">
      <c r="B151" s="129"/>
      <c r="C151" s="130"/>
      <c r="D151" s="129"/>
      <c r="E151" s="129"/>
      <c r="F151" s="129"/>
      <c r="G151" s="327"/>
      <c r="H151" s="136"/>
      <c r="I151" s="129"/>
      <c r="J151" s="129"/>
      <c r="K151" s="138"/>
      <c r="L151" s="136"/>
      <c r="M151" s="129"/>
      <c r="N151" s="129"/>
      <c r="O151" s="137"/>
    </row>
    <row r="152" spans="2:15">
      <c r="B152" s="129"/>
      <c r="C152" s="130"/>
      <c r="D152" s="129"/>
      <c r="E152" s="129"/>
      <c r="F152" s="129"/>
      <c r="G152" s="327"/>
      <c r="H152" s="136"/>
      <c r="I152" s="129"/>
      <c r="J152" s="129"/>
      <c r="K152" s="138"/>
      <c r="L152" s="136"/>
      <c r="M152" s="133"/>
      <c r="N152" s="129"/>
      <c r="O152" s="137"/>
    </row>
    <row r="153" spans="2:15">
      <c r="B153" s="129"/>
      <c r="C153" s="130"/>
      <c r="D153" s="129"/>
      <c r="E153" s="129"/>
      <c r="F153" s="129"/>
      <c r="G153" s="327"/>
      <c r="H153" s="136"/>
      <c r="I153" s="129"/>
      <c r="J153" s="129"/>
      <c r="K153" s="138"/>
      <c r="L153" s="136"/>
      <c r="M153" s="133"/>
      <c r="N153" s="129"/>
      <c r="O153" s="137"/>
    </row>
    <row r="154" spans="2:15">
      <c r="B154" s="129"/>
      <c r="C154" s="130"/>
      <c r="D154" s="129"/>
      <c r="E154" s="129"/>
      <c r="F154" s="129"/>
      <c r="G154" s="327"/>
      <c r="H154" s="136"/>
      <c r="I154" s="129"/>
      <c r="J154" s="129"/>
      <c r="K154" s="138"/>
      <c r="L154" s="136"/>
      <c r="M154" s="129"/>
      <c r="N154" s="129"/>
      <c r="O154" s="137"/>
    </row>
    <row r="155" spans="2:15">
      <c r="B155" s="129"/>
      <c r="C155" s="130"/>
      <c r="D155" s="129"/>
      <c r="E155" s="129"/>
      <c r="F155" s="129"/>
      <c r="G155" s="327"/>
      <c r="H155" s="136"/>
      <c r="I155" s="129"/>
      <c r="J155" s="129"/>
      <c r="K155" s="138"/>
      <c r="L155" s="136"/>
      <c r="M155" s="129"/>
      <c r="N155" s="129"/>
      <c r="O155" s="137"/>
    </row>
    <row r="156" spans="2:15">
      <c r="B156" s="129"/>
      <c r="C156" s="130"/>
      <c r="D156" s="129"/>
      <c r="E156" s="129"/>
      <c r="F156" s="129"/>
      <c r="G156" s="327"/>
      <c r="H156" s="136"/>
      <c r="I156" s="129"/>
      <c r="J156" s="129"/>
      <c r="K156" s="138"/>
      <c r="L156" s="136"/>
      <c r="M156" s="132"/>
      <c r="N156" s="129"/>
      <c r="O156" s="137"/>
    </row>
    <row r="157" spans="2:15">
      <c r="B157" s="129"/>
      <c r="C157" s="130"/>
      <c r="D157" s="129"/>
      <c r="E157" s="129"/>
      <c r="F157" s="129"/>
      <c r="G157" s="327"/>
      <c r="H157" s="136"/>
      <c r="I157" s="129"/>
      <c r="J157" s="129"/>
      <c r="K157" s="138"/>
      <c r="L157" s="136"/>
      <c r="M157" s="132"/>
      <c r="N157" s="129"/>
      <c r="O157" s="137"/>
    </row>
    <row r="158" spans="2:15">
      <c r="B158" s="129"/>
      <c r="C158" s="130"/>
      <c r="D158" s="129"/>
      <c r="E158" s="129"/>
      <c r="F158" s="129"/>
      <c r="G158" s="327"/>
      <c r="H158" s="136"/>
      <c r="I158" s="129"/>
      <c r="J158" s="129"/>
      <c r="K158" s="138"/>
      <c r="L158" s="136"/>
      <c r="M158" s="129"/>
      <c r="N158" s="129"/>
      <c r="O158" s="137"/>
    </row>
    <row r="159" spans="2:15">
      <c r="B159" s="129"/>
      <c r="C159" s="130"/>
      <c r="D159" s="129"/>
      <c r="E159" s="129"/>
      <c r="F159" s="129"/>
      <c r="G159" s="327"/>
      <c r="H159" s="136"/>
      <c r="I159" s="129"/>
      <c r="J159" s="129"/>
      <c r="K159" s="138"/>
      <c r="L159" s="136"/>
      <c r="M159" s="129"/>
      <c r="N159" s="129"/>
      <c r="O159" s="137"/>
    </row>
    <row r="160" spans="2:15">
      <c r="B160" s="129"/>
      <c r="C160" s="130"/>
      <c r="D160" s="129"/>
      <c r="E160" s="129"/>
      <c r="F160" s="129"/>
      <c r="G160" s="327"/>
      <c r="H160" s="136"/>
      <c r="I160" s="129"/>
      <c r="J160" s="129"/>
      <c r="K160" s="138"/>
      <c r="L160" s="136"/>
      <c r="M160" s="134"/>
      <c r="N160" s="129"/>
      <c r="O160" s="137"/>
    </row>
    <row r="161" spans="2:15">
      <c r="B161" s="129"/>
      <c r="C161" s="130"/>
      <c r="D161" s="129"/>
      <c r="E161" s="129"/>
      <c r="F161" s="129"/>
      <c r="G161" s="327"/>
      <c r="H161" s="136"/>
      <c r="I161" s="129"/>
      <c r="J161" s="129"/>
      <c r="K161" s="138"/>
      <c r="L161" s="136"/>
      <c r="M161" s="129"/>
      <c r="N161" s="129"/>
      <c r="O161" s="137"/>
    </row>
    <row r="162" spans="2:15">
      <c r="B162" s="129"/>
      <c r="C162" s="130"/>
      <c r="D162" s="129"/>
      <c r="E162" s="129"/>
      <c r="F162" s="129"/>
      <c r="G162" s="327"/>
      <c r="H162" s="136"/>
      <c r="I162" s="129"/>
      <c r="J162" s="129"/>
      <c r="K162" s="138"/>
      <c r="L162" s="136"/>
      <c r="M162" s="129"/>
      <c r="N162" s="129"/>
      <c r="O162" s="137"/>
    </row>
    <row r="163" spans="2:15">
      <c r="B163" s="129"/>
      <c r="C163" s="130"/>
      <c r="D163" s="129"/>
      <c r="E163" s="129"/>
      <c r="F163" s="129"/>
      <c r="G163" s="327"/>
      <c r="H163" s="136"/>
      <c r="I163" s="129"/>
      <c r="J163" s="129"/>
      <c r="K163" s="138"/>
      <c r="L163" s="136"/>
      <c r="M163" s="134"/>
      <c r="N163" s="129"/>
      <c r="O163" s="137"/>
    </row>
    <row r="164" spans="2:15">
      <c r="B164" s="129"/>
      <c r="C164" s="130"/>
      <c r="D164" s="129"/>
      <c r="E164" s="129"/>
      <c r="F164" s="129"/>
      <c r="G164" s="327"/>
      <c r="H164" s="136"/>
      <c r="I164" s="129"/>
      <c r="J164" s="129"/>
      <c r="K164" s="138"/>
      <c r="L164" s="136"/>
      <c r="M164" s="129"/>
      <c r="N164" s="129"/>
      <c r="O164" s="137"/>
    </row>
    <row r="165" spans="2:15">
      <c r="B165" s="129"/>
      <c r="C165" s="130"/>
      <c r="D165" s="129"/>
      <c r="E165" s="129"/>
      <c r="F165" s="129"/>
      <c r="G165" s="327"/>
      <c r="H165" s="136"/>
      <c r="I165" s="129"/>
      <c r="J165" s="129"/>
      <c r="K165" s="138"/>
      <c r="L165" s="136"/>
      <c r="M165" s="132"/>
      <c r="N165" s="129"/>
      <c r="O165" s="137"/>
    </row>
    <row r="166" spans="2:15">
      <c r="B166" s="129"/>
      <c r="C166" s="130"/>
      <c r="D166" s="129"/>
      <c r="E166" s="129"/>
      <c r="F166" s="129"/>
      <c r="G166" s="327"/>
      <c r="H166" s="136"/>
      <c r="I166" s="129"/>
      <c r="J166" s="129"/>
      <c r="K166" s="138"/>
      <c r="L166" s="136"/>
      <c r="M166" s="129"/>
      <c r="N166" s="129"/>
      <c r="O166" s="137"/>
    </row>
    <row r="167" spans="2:15">
      <c r="B167" s="129"/>
      <c r="C167" s="130"/>
      <c r="D167" s="129"/>
      <c r="E167" s="129"/>
      <c r="F167" s="129"/>
      <c r="G167" s="327"/>
      <c r="H167" s="136"/>
      <c r="I167" s="129"/>
      <c r="J167" s="129"/>
      <c r="K167" s="138"/>
      <c r="L167" s="136"/>
      <c r="M167" s="129"/>
      <c r="N167" s="129"/>
      <c r="O167" s="137"/>
    </row>
    <row r="168" spans="2:15">
      <c r="B168" s="129"/>
      <c r="C168" s="130"/>
      <c r="D168" s="129"/>
      <c r="E168" s="129"/>
      <c r="F168" s="129"/>
      <c r="G168" s="327"/>
      <c r="H168" s="136"/>
      <c r="I168" s="129"/>
      <c r="J168" s="129"/>
      <c r="K168" s="138"/>
      <c r="L168" s="136"/>
      <c r="M168" s="129"/>
      <c r="N168" s="129"/>
      <c r="O168" s="137"/>
    </row>
    <row r="169" spans="2:15">
      <c r="B169" s="129"/>
      <c r="C169" s="130"/>
      <c r="D169" s="129"/>
      <c r="E169" s="129"/>
      <c r="F169" s="129"/>
      <c r="G169" s="327"/>
      <c r="H169" s="136"/>
      <c r="I169" s="129"/>
      <c r="J169" s="129"/>
      <c r="K169" s="138"/>
      <c r="L169" s="136"/>
      <c r="M169" s="129"/>
      <c r="N169" s="129"/>
      <c r="O169" s="137"/>
    </row>
    <row r="170" spans="2:15">
      <c r="B170" s="129"/>
      <c r="C170" s="130"/>
      <c r="D170" s="129"/>
      <c r="E170" s="129"/>
      <c r="F170" s="129"/>
      <c r="G170" s="327"/>
      <c r="H170" s="136"/>
      <c r="I170" s="129"/>
      <c r="J170" s="129"/>
      <c r="K170" s="138"/>
      <c r="L170" s="136"/>
      <c r="M170" s="132"/>
      <c r="N170" s="129"/>
      <c r="O170" s="137"/>
    </row>
    <row r="171" spans="2:15">
      <c r="B171" s="129"/>
      <c r="C171" s="130"/>
      <c r="D171" s="129"/>
      <c r="E171" s="129"/>
      <c r="F171" s="129"/>
      <c r="G171" s="327"/>
      <c r="H171" s="136"/>
      <c r="I171" s="129"/>
      <c r="J171" s="129"/>
      <c r="K171" s="138"/>
      <c r="L171" s="136"/>
      <c r="M171" s="132"/>
      <c r="N171" s="129"/>
      <c r="O171" s="137"/>
    </row>
    <row r="172" spans="2:15">
      <c r="B172" s="129"/>
      <c r="C172" s="130"/>
      <c r="D172" s="129"/>
      <c r="E172" s="129"/>
      <c r="F172" s="129"/>
      <c r="G172" s="327"/>
      <c r="H172" s="136"/>
      <c r="I172" s="129"/>
      <c r="J172" s="129"/>
      <c r="K172" s="138"/>
      <c r="L172" s="136"/>
      <c r="M172" s="132"/>
      <c r="N172" s="129"/>
      <c r="O172" s="137"/>
    </row>
    <row r="173" spans="2:15">
      <c r="B173" s="129"/>
      <c r="C173" s="130"/>
      <c r="D173" s="129"/>
      <c r="E173" s="129"/>
      <c r="F173" s="129"/>
      <c r="G173" s="327"/>
      <c r="H173" s="136"/>
      <c r="I173" s="129"/>
      <c r="J173" s="129"/>
      <c r="K173" s="138"/>
      <c r="L173" s="136"/>
      <c r="M173" s="129"/>
      <c r="N173" s="129"/>
      <c r="O173" s="137"/>
    </row>
    <row r="174" spans="2:15">
      <c r="B174" s="129"/>
      <c r="C174" s="130"/>
      <c r="D174" s="129"/>
      <c r="E174" s="129"/>
      <c r="F174" s="129"/>
      <c r="G174" s="327"/>
      <c r="H174" s="136"/>
      <c r="I174" s="129"/>
      <c r="J174" s="129"/>
      <c r="K174" s="138"/>
      <c r="L174" s="136"/>
      <c r="M174" s="129"/>
      <c r="N174" s="129"/>
      <c r="O174" s="137"/>
    </row>
    <row r="175" spans="2:15">
      <c r="B175" s="129"/>
      <c r="C175" s="130"/>
      <c r="D175" s="129"/>
      <c r="E175" s="129"/>
      <c r="F175" s="129"/>
      <c r="G175" s="327"/>
      <c r="H175" s="136"/>
      <c r="I175" s="129"/>
      <c r="J175" s="129"/>
      <c r="K175" s="138"/>
      <c r="L175" s="136"/>
      <c r="M175" s="132"/>
      <c r="N175" s="129"/>
      <c r="O175" s="137"/>
    </row>
    <row r="176" spans="2:15">
      <c r="B176" s="129"/>
      <c r="C176" s="130"/>
      <c r="D176" s="129"/>
      <c r="E176" s="129"/>
      <c r="F176" s="129"/>
      <c r="G176" s="327"/>
      <c r="H176" s="136"/>
      <c r="I176" s="129"/>
      <c r="J176" s="129"/>
      <c r="K176" s="138"/>
      <c r="L176" s="136"/>
      <c r="M176" s="129"/>
      <c r="N176" s="129"/>
      <c r="O176" s="138"/>
    </row>
    <row r="177" spans="2:15">
      <c r="B177" s="129"/>
      <c r="C177" s="130"/>
      <c r="D177" s="129"/>
      <c r="E177" s="129"/>
      <c r="F177" s="129"/>
      <c r="G177" s="327"/>
      <c r="H177" s="136"/>
      <c r="I177" s="129"/>
      <c r="J177" s="129"/>
      <c r="K177" s="138"/>
      <c r="L177" s="136"/>
      <c r="M177" s="129"/>
      <c r="N177" s="129"/>
      <c r="O177" s="138"/>
    </row>
    <row r="178" spans="2:15">
      <c r="B178" s="129"/>
      <c r="C178" s="130"/>
      <c r="D178" s="129"/>
      <c r="E178" s="129"/>
      <c r="F178" s="129"/>
      <c r="G178" s="327"/>
      <c r="H178" s="136"/>
      <c r="I178" s="129"/>
      <c r="J178" s="129"/>
      <c r="K178" s="138"/>
      <c r="L178" s="136"/>
      <c r="M178" s="129"/>
      <c r="N178" s="129"/>
      <c r="O178" s="138"/>
    </row>
    <row r="179" spans="2:15">
      <c r="B179" s="129"/>
      <c r="C179" s="130"/>
      <c r="D179" s="129"/>
      <c r="E179" s="129"/>
      <c r="F179" s="129"/>
      <c r="G179" s="327"/>
      <c r="H179" s="136"/>
      <c r="I179" s="129"/>
      <c r="J179" s="129"/>
      <c r="K179" s="138"/>
      <c r="L179" s="136"/>
      <c r="M179" s="129"/>
      <c r="N179" s="129"/>
      <c r="O179" s="138"/>
    </row>
    <row r="180" spans="2:15">
      <c r="B180" s="129"/>
      <c r="C180" s="130"/>
      <c r="D180" s="129"/>
      <c r="E180" s="129"/>
      <c r="F180" s="129"/>
      <c r="G180" s="327"/>
      <c r="H180" s="136"/>
      <c r="I180" s="129"/>
      <c r="J180" s="129"/>
      <c r="K180" s="138"/>
      <c r="L180" s="136"/>
      <c r="M180" s="129"/>
      <c r="N180" s="129"/>
      <c r="O180" s="138"/>
    </row>
    <row r="181" spans="2:15">
      <c r="B181" s="129"/>
      <c r="C181" s="130"/>
      <c r="D181" s="129"/>
      <c r="E181" s="129"/>
      <c r="F181" s="129"/>
      <c r="G181" s="327"/>
      <c r="H181" s="136"/>
      <c r="I181" s="129"/>
      <c r="J181" s="129"/>
      <c r="K181" s="138"/>
      <c r="L181" s="136"/>
      <c r="M181" s="129"/>
      <c r="N181" s="129"/>
      <c r="O181" s="138"/>
    </row>
    <row r="182" spans="2:15">
      <c r="B182" s="129"/>
      <c r="C182" s="130"/>
      <c r="D182" s="129"/>
      <c r="E182" s="129"/>
      <c r="F182" s="129"/>
      <c r="G182" s="327"/>
      <c r="H182" s="136"/>
      <c r="I182" s="129"/>
      <c r="J182" s="129"/>
      <c r="K182" s="138"/>
      <c r="L182" s="136"/>
      <c r="M182" s="129"/>
      <c r="N182" s="129"/>
      <c r="O182" s="138"/>
    </row>
    <row r="183" spans="2:15">
      <c r="B183" s="129"/>
      <c r="C183" s="130"/>
      <c r="D183" s="129"/>
      <c r="E183" s="129"/>
      <c r="F183" s="129"/>
      <c r="G183" s="327"/>
      <c r="H183" s="136"/>
      <c r="I183" s="129"/>
      <c r="J183" s="129"/>
      <c r="K183" s="138"/>
      <c r="L183" s="136"/>
      <c r="M183" s="129"/>
      <c r="N183" s="129"/>
      <c r="O183" s="138"/>
    </row>
    <row r="184" spans="2:15">
      <c r="B184" s="129"/>
      <c r="C184" s="130"/>
      <c r="D184" s="129"/>
      <c r="E184" s="129"/>
      <c r="F184" s="129"/>
      <c r="G184" s="327"/>
      <c r="H184" s="136"/>
      <c r="I184" s="129"/>
      <c r="J184" s="129"/>
      <c r="K184" s="138"/>
      <c r="L184" s="136"/>
      <c r="M184" s="129"/>
      <c r="N184" s="129"/>
      <c r="O184" s="138"/>
    </row>
    <row r="185" spans="2:15">
      <c r="B185" s="129"/>
      <c r="C185" s="130"/>
      <c r="D185" s="129"/>
      <c r="E185" s="129"/>
      <c r="F185" s="129"/>
      <c r="G185" s="327"/>
      <c r="H185" s="136"/>
      <c r="I185" s="129"/>
      <c r="J185" s="129"/>
      <c r="K185" s="138"/>
      <c r="L185" s="136"/>
      <c r="M185" s="129"/>
      <c r="N185" s="129"/>
      <c r="O185" s="138"/>
    </row>
    <row r="186" spans="2:15">
      <c r="B186" s="129"/>
      <c r="C186" s="130"/>
      <c r="D186" s="129"/>
      <c r="E186" s="129"/>
      <c r="F186" s="129"/>
      <c r="G186" s="327"/>
      <c r="H186" s="136"/>
      <c r="I186" s="129"/>
      <c r="J186" s="129"/>
      <c r="K186" s="138"/>
      <c r="L186" s="136"/>
      <c r="M186" s="129"/>
      <c r="N186" s="129"/>
      <c r="O186" s="138"/>
    </row>
    <row r="187" spans="2:15">
      <c r="B187" s="129"/>
      <c r="C187" s="130"/>
      <c r="D187" s="129"/>
      <c r="E187" s="129"/>
      <c r="F187" s="129"/>
      <c r="G187" s="327"/>
      <c r="H187" s="136"/>
      <c r="I187" s="129"/>
      <c r="J187" s="129"/>
      <c r="K187" s="138"/>
      <c r="L187" s="136"/>
      <c r="M187" s="129"/>
      <c r="N187" s="129"/>
      <c r="O187" s="138"/>
    </row>
    <row r="188" spans="2:15">
      <c r="B188" s="129"/>
      <c r="C188" s="130"/>
      <c r="D188" s="129"/>
      <c r="E188" s="129"/>
      <c r="F188" s="129"/>
      <c r="G188" s="327"/>
      <c r="H188" s="136"/>
      <c r="I188" s="129"/>
      <c r="J188" s="129"/>
      <c r="K188" s="138"/>
      <c r="L188" s="136"/>
      <c r="M188" s="129"/>
      <c r="N188" s="129"/>
      <c r="O188" s="138"/>
    </row>
    <row r="189" spans="2:15">
      <c r="B189" s="129"/>
      <c r="C189" s="130"/>
      <c r="D189" s="129"/>
      <c r="E189" s="129"/>
      <c r="F189" s="129"/>
      <c r="G189" s="327"/>
      <c r="H189" s="136"/>
      <c r="I189" s="25"/>
      <c r="J189" s="129"/>
      <c r="K189" s="137"/>
      <c r="L189" s="136"/>
      <c r="M189" s="129"/>
      <c r="N189" s="129"/>
      <c r="O189" s="138"/>
    </row>
    <row r="190" spans="2:15">
      <c r="B190" s="129"/>
      <c r="C190" s="130"/>
      <c r="D190" s="129"/>
      <c r="E190" s="129"/>
      <c r="F190" s="129"/>
      <c r="G190" s="327"/>
      <c r="H190" s="136"/>
      <c r="I190" s="39"/>
      <c r="J190" s="129"/>
      <c r="K190" s="137"/>
      <c r="L190" s="136"/>
      <c r="M190" s="129"/>
      <c r="N190" s="129"/>
      <c r="O190" s="138"/>
    </row>
    <row r="191" spans="2:15">
      <c r="B191" s="129"/>
      <c r="C191" s="130"/>
      <c r="D191" s="129"/>
      <c r="E191" s="129"/>
      <c r="F191" s="129"/>
      <c r="G191" s="327"/>
      <c r="H191" s="136"/>
      <c r="I191" s="25"/>
      <c r="J191" s="129"/>
      <c r="K191" s="137"/>
      <c r="L191" s="136"/>
      <c r="M191" s="129"/>
      <c r="N191" s="129"/>
      <c r="O191" s="138"/>
    </row>
    <row r="192" spans="2:15">
      <c r="B192" s="129"/>
      <c r="C192" s="130"/>
      <c r="D192" s="129"/>
      <c r="E192" s="129"/>
      <c r="F192" s="129"/>
      <c r="G192" s="327"/>
      <c r="H192" s="136"/>
      <c r="I192" s="39"/>
      <c r="J192" s="129"/>
      <c r="K192" s="137"/>
      <c r="L192" s="136"/>
      <c r="M192" s="129"/>
      <c r="N192" s="129"/>
      <c r="O192" s="138"/>
    </row>
    <row r="193" spans="2:15">
      <c r="B193" s="129"/>
      <c r="C193" s="130"/>
      <c r="D193" s="129"/>
      <c r="E193" s="129"/>
      <c r="F193" s="129"/>
      <c r="G193" s="327"/>
      <c r="H193" s="136"/>
      <c r="I193" s="25"/>
      <c r="J193" s="129"/>
      <c r="K193" s="137"/>
      <c r="L193" s="136"/>
      <c r="M193" s="129"/>
      <c r="N193" s="129"/>
      <c r="O193" s="138"/>
    </row>
    <row r="194" spans="2:15">
      <c r="B194" s="129"/>
      <c r="C194" s="130"/>
      <c r="D194" s="129"/>
      <c r="E194" s="129"/>
      <c r="F194" s="129"/>
      <c r="G194" s="327"/>
      <c r="H194" s="136"/>
      <c r="I194" s="25"/>
      <c r="J194" s="129"/>
      <c r="K194" s="137"/>
      <c r="L194" s="136"/>
      <c r="M194" s="129"/>
      <c r="N194" s="129"/>
      <c r="O194" s="138"/>
    </row>
    <row r="195" spans="2:15">
      <c r="B195" s="129"/>
      <c r="C195" s="130"/>
      <c r="D195" s="129"/>
      <c r="E195" s="129"/>
      <c r="F195" s="37"/>
      <c r="G195" s="327"/>
      <c r="H195" s="136"/>
      <c r="I195" s="25"/>
      <c r="J195" s="129"/>
      <c r="K195" s="137"/>
      <c r="L195" s="136"/>
      <c r="M195" s="129"/>
      <c r="N195" s="129"/>
      <c r="O195" s="138"/>
    </row>
    <row r="196" spans="2:15">
      <c r="B196" s="129"/>
      <c r="C196" s="130"/>
      <c r="D196" s="129"/>
      <c r="E196" s="129"/>
      <c r="F196" s="129"/>
      <c r="G196" s="327"/>
      <c r="H196" s="136"/>
      <c r="I196" s="25"/>
      <c r="J196" s="129"/>
      <c r="K196" s="137"/>
      <c r="L196" s="136"/>
      <c r="M196" s="129"/>
      <c r="N196" s="129"/>
      <c r="O196" s="138"/>
    </row>
    <row r="197" spans="2:15">
      <c r="B197" s="129"/>
      <c r="C197" s="130"/>
      <c r="D197" s="129"/>
      <c r="E197" s="129"/>
      <c r="F197" s="129"/>
      <c r="G197" s="327"/>
      <c r="H197" s="136"/>
      <c r="I197" s="39"/>
      <c r="J197" s="129"/>
      <c r="K197" s="137"/>
      <c r="L197" s="136"/>
      <c r="M197" s="129"/>
      <c r="N197" s="129"/>
      <c r="O197" s="138"/>
    </row>
    <row r="198" spans="2:15">
      <c r="B198" s="129"/>
      <c r="C198" s="130"/>
      <c r="D198" s="129"/>
      <c r="E198" s="129"/>
      <c r="F198" s="129"/>
      <c r="G198" s="327"/>
      <c r="H198" s="136"/>
      <c r="I198" s="39"/>
      <c r="J198" s="129"/>
      <c r="K198" s="137"/>
      <c r="L198" s="136"/>
      <c r="M198" s="129"/>
      <c r="N198" s="129"/>
      <c r="O198" s="138"/>
    </row>
    <row r="199" spans="2:15">
      <c r="B199" s="129"/>
      <c r="C199" s="130"/>
      <c r="D199" s="129"/>
      <c r="E199" s="129"/>
      <c r="F199" s="129"/>
      <c r="G199" s="327"/>
      <c r="H199" s="136"/>
      <c r="I199" s="39"/>
      <c r="J199" s="129"/>
      <c r="K199" s="137"/>
      <c r="L199" s="136"/>
      <c r="M199" s="129"/>
      <c r="N199" s="129"/>
      <c r="O199" s="138"/>
    </row>
    <row r="200" spans="2:15">
      <c r="B200" s="129"/>
      <c r="C200" s="130"/>
      <c r="D200" s="129"/>
      <c r="E200" s="129"/>
      <c r="F200" s="129"/>
      <c r="G200" s="327"/>
      <c r="H200" s="136"/>
      <c r="I200" s="39"/>
      <c r="J200" s="129"/>
      <c r="K200" s="137"/>
      <c r="L200" s="136"/>
      <c r="M200" s="129"/>
      <c r="N200" s="129"/>
      <c r="O200" s="138"/>
    </row>
    <row r="201" spans="2:15">
      <c r="B201" s="129"/>
      <c r="C201" s="130"/>
      <c r="D201" s="129"/>
      <c r="E201" s="129"/>
      <c r="F201" s="129"/>
      <c r="G201" s="327"/>
      <c r="H201" s="136"/>
      <c r="I201" s="39"/>
      <c r="J201" s="129"/>
      <c r="K201" s="137"/>
      <c r="L201" s="136"/>
      <c r="M201" s="129"/>
      <c r="N201" s="129"/>
      <c r="O201" s="138"/>
    </row>
    <row r="202" spans="2:15">
      <c r="B202" s="129"/>
      <c r="C202" s="130"/>
      <c r="D202" s="129"/>
      <c r="E202" s="129"/>
      <c r="F202" s="129"/>
      <c r="G202" s="327"/>
      <c r="H202" s="136"/>
      <c r="I202" s="39"/>
      <c r="J202" s="129"/>
      <c r="K202" s="137"/>
      <c r="L202" s="136"/>
      <c r="M202" s="129"/>
      <c r="N202" s="129"/>
      <c r="O202" s="138"/>
    </row>
    <row r="203" spans="2:15">
      <c r="B203" s="129"/>
      <c r="C203" s="130"/>
      <c r="D203" s="129"/>
      <c r="E203" s="129"/>
      <c r="F203" s="129"/>
      <c r="G203" s="327"/>
      <c r="H203" s="136"/>
      <c r="I203" s="129"/>
      <c r="J203" s="129"/>
      <c r="K203" s="138"/>
      <c r="L203" s="136"/>
      <c r="M203" s="129"/>
      <c r="N203" s="129"/>
      <c r="O203" s="138"/>
    </row>
    <row r="204" spans="2:15" ht="15.75" thickBot="1">
      <c r="H204" s="140"/>
      <c r="I204" s="141"/>
      <c r="J204" s="141"/>
      <c r="K204" s="142"/>
      <c r="L204" s="140"/>
      <c r="M204" s="141"/>
      <c r="N204" s="141"/>
      <c r="O204" s="142"/>
    </row>
  </sheetData>
  <autoFilter ref="B1:U118" xr:uid="{00000000-0001-0000-0300-000000000000}">
    <filterColumn colId="6" showButton="0"/>
    <filterColumn colId="7" showButton="0"/>
    <filterColumn colId="8" showButton="0"/>
    <filterColumn colId="10" showButton="0"/>
    <filterColumn colId="11" showButton="0"/>
    <filterColumn colId="12" showButton="0"/>
  </autoFilter>
  <sortState xmlns:xlrd2="http://schemas.microsoft.com/office/spreadsheetml/2017/richdata2" ref="F5:G48">
    <sortCondition ref="F5:F48"/>
  </sortState>
  <mergeCells count="55">
    <mergeCell ref="K87:K100"/>
    <mergeCell ref="E101:E118"/>
    <mergeCell ref="D101:D118"/>
    <mergeCell ref="C101:C118"/>
    <mergeCell ref="H101:H118"/>
    <mergeCell ref="J101:J118"/>
    <mergeCell ref="K101:K118"/>
    <mergeCell ref="E87:E100"/>
    <mergeCell ref="D87:D100"/>
    <mergeCell ref="C87:C100"/>
    <mergeCell ref="H87:H100"/>
    <mergeCell ref="J87:J100"/>
    <mergeCell ref="K74:K80"/>
    <mergeCell ref="E81:E86"/>
    <mergeCell ref="D81:D86"/>
    <mergeCell ref="C81:C86"/>
    <mergeCell ref="H81:H86"/>
    <mergeCell ref="J81:J86"/>
    <mergeCell ref="K81:K86"/>
    <mergeCell ref="E74:E80"/>
    <mergeCell ref="D74:D80"/>
    <mergeCell ref="C74:C80"/>
    <mergeCell ref="H74:H80"/>
    <mergeCell ref="J74:J80"/>
    <mergeCell ref="K53:K67"/>
    <mergeCell ref="C68:C73"/>
    <mergeCell ref="D68:D73"/>
    <mergeCell ref="E68:E73"/>
    <mergeCell ref="H68:H73"/>
    <mergeCell ref="J68:J73"/>
    <mergeCell ref="K68:K73"/>
    <mergeCell ref="E53:E67"/>
    <mergeCell ref="D53:D67"/>
    <mergeCell ref="C53:C67"/>
    <mergeCell ref="H53:H67"/>
    <mergeCell ref="J53:J67"/>
    <mergeCell ref="K49:K52"/>
    <mergeCell ref="E5:E48"/>
    <mergeCell ref="D5:D48"/>
    <mergeCell ref="C5:C48"/>
    <mergeCell ref="H5:H48"/>
    <mergeCell ref="J5:J48"/>
    <mergeCell ref="E49:E52"/>
    <mergeCell ref="C49:C52"/>
    <mergeCell ref="D49:D52"/>
    <mergeCell ref="H49:H52"/>
    <mergeCell ref="J49:J52"/>
    <mergeCell ref="T15:AB15"/>
    <mergeCell ref="Q3:U3"/>
    <mergeCell ref="H1:K1"/>
    <mergeCell ref="H2:K2"/>
    <mergeCell ref="L1:O1"/>
    <mergeCell ref="L2:O2"/>
    <mergeCell ref="T14:AB14"/>
    <mergeCell ref="K5:K48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I32"/>
  <sheetViews>
    <sheetView zoomScaleNormal="100" workbookViewId="0">
      <selection activeCell="M17" sqref="M17"/>
    </sheetView>
  </sheetViews>
  <sheetFormatPr defaultColWidth="11.42578125" defaultRowHeight="15"/>
  <cols>
    <col min="1" max="1" width="28.85546875" bestFit="1" customWidth="1"/>
    <col min="2" max="2" width="14.28515625" customWidth="1"/>
    <col min="3" max="3" width="36" customWidth="1"/>
    <col min="4" max="4" width="23.85546875" bestFit="1" customWidth="1"/>
    <col min="5" max="5" width="14.42578125" customWidth="1"/>
    <col min="8" max="8" width="14.140625" customWidth="1"/>
    <col min="9" max="9" width="21.28515625" bestFit="1" customWidth="1"/>
  </cols>
  <sheetData>
    <row r="2" spans="1:9">
      <c r="A2" s="264" t="s">
        <v>186</v>
      </c>
      <c r="B2" s="264" t="s">
        <v>187</v>
      </c>
      <c r="C2" s="264" t="s">
        <v>188</v>
      </c>
    </row>
    <row r="3" spans="1:9" ht="21.75" customHeight="1">
      <c r="A3" s="16" t="s">
        <v>85</v>
      </c>
      <c r="B3" s="16"/>
      <c r="C3" s="265"/>
    </row>
    <row r="4" spans="1:9" ht="21.75" customHeight="1">
      <c r="A4" s="266" t="s">
        <v>189</v>
      </c>
      <c r="B4" s="266" t="s">
        <v>187</v>
      </c>
      <c r="C4" s="266" t="s">
        <v>188</v>
      </c>
    </row>
    <row r="5" spans="1:9" ht="21.75" customHeight="1">
      <c r="A5" s="16" t="s">
        <v>85</v>
      </c>
      <c r="B5" s="16"/>
      <c r="C5" s="265"/>
    </row>
    <row r="8" spans="1:9">
      <c r="A8" s="42" t="s">
        <v>190</v>
      </c>
      <c r="B8" s="42" t="s">
        <v>75</v>
      </c>
      <c r="C8" s="267" t="s">
        <v>191</v>
      </c>
      <c r="D8" s="42" t="s">
        <v>192</v>
      </c>
      <c r="E8" s="42" t="s">
        <v>193</v>
      </c>
      <c r="F8" s="42" t="s">
        <v>187</v>
      </c>
      <c r="G8" s="42" t="s">
        <v>188</v>
      </c>
      <c r="H8" s="42" t="s">
        <v>85</v>
      </c>
    </row>
    <row r="9" spans="1:9">
      <c r="A9" s="164"/>
      <c r="B9" s="261"/>
      <c r="C9" s="268"/>
      <c r="D9" s="25"/>
      <c r="E9" s="269"/>
      <c r="F9" s="164"/>
      <c r="G9" s="164"/>
      <c r="H9" s="164"/>
    </row>
    <row r="10" spans="1:9">
      <c r="A10" s="164"/>
      <c r="B10" s="261"/>
      <c r="C10" s="268"/>
      <c r="D10" s="25"/>
      <c r="E10" s="269"/>
      <c r="F10" s="164"/>
      <c r="G10" s="164"/>
      <c r="H10" s="164"/>
    </row>
    <row r="11" spans="1:9" s="32" customFormat="1">
      <c r="A11" s="270"/>
      <c r="B11" s="271"/>
      <c r="C11" s="272"/>
      <c r="D11" s="273"/>
      <c r="E11" s="274"/>
      <c r="F11" s="270"/>
      <c r="G11" s="270"/>
      <c r="H11" s="270"/>
    </row>
    <row r="12" spans="1:9">
      <c r="A12" s="270"/>
      <c r="B12" s="271"/>
      <c r="C12" s="272"/>
      <c r="D12" s="273"/>
      <c r="E12" s="274"/>
      <c r="F12" s="270"/>
      <c r="G12" s="270"/>
      <c r="H12" s="270"/>
      <c r="I12" s="32"/>
    </row>
    <row r="13" spans="1:9">
      <c r="A13" s="270"/>
      <c r="B13" s="271"/>
      <c r="C13" s="272"/>
      <c r="D13" s="273"/>
      <c r="E13" s="275"/>
      <c r="F13" s="270"/>
      <c r="G13" s="270"/>
      <c r="H13" s="270"/>
    </row>
    <row r="14" spans="1:9">
      <c r="A14" s="164"/>
      <c r="B14" s="164"/>
      <c r="C14" s="260"/>
      <c r="D14" s="164"/>
      <c r="E14" s="164"/>
      <c r="F14" s="164"/>
      <c r="G14" s="164"/>
      <c r="H14" s="164"/>
    </row>
    <row r="15" spans="1:9">
      <c r="A15" s="164"/>
      <c r="B15" s="164"/>
      <c r="C15" s="260"/>
      <c r="D15" s="164"/>
      <c r="E15" s="164"/>
      <c r="F15" s="164"/>
      <c r="G15" s="164"/>
      <c r="H15" s="164"/>
    </row>
    <row r="16" spans="1:9">
      <c r="A16" s="164"/>
      <c r="B16" s="261"/>
      <c r="C16" s="260"/>
      <c r="D16" s="164"/>
      <c r="E16" s="164"/>
      <c r="F16" s="164"/>
      <c r="G16" s="164"/>
      <c r="H16" s="262"/>
    </row>
    <row r="17" spans="1:8">
      <c r="A17" s="164"/>
      <c r="B17" s="261"/>
      <c r="C17" s="260"/>
      <c r="D17" s="164"/>
      <c r="E17" s="164"/>
      <c r="F17" s="164"/>
      <c r="G17" s="164"/>
      <c r="H17" s="263"/>
    </row>
    <row r="18" spans="1:8">
      <c r="A18" s="164"/>
      <c r="B18" s="164"/>
      <c r="C18" s="260"/>
      <c r="D18" s="164"/>
      <c r="E18" s="164"/>
      <c r="F18" s="164"/>
      <c r="G18" s="164"/>
      <c r="H18" s="164"/>
    </row>
    <row r="19" spans="1:8">
      <c r="A19" s="164"/>
      <c r="B19" s="261"/>
      <c r="C19" s="260"/>
      <c r="D19" s="164"/>
      <c r="E19" s="164"/>
      <c r="F19" s="164"/>
      <c r="G19" s="164"/>
      <c r="H19" s="164"/>
    </row>
    <row r="20" spans="1:8">
      <c r="A20" s="164"/>
      <c r="B20" s="261"/>
      <c r="C20" s="260"/>
      <c r="D20" s="164"/>
      <c r="E20" s="164"/>
      <c r="F20" s="164"/>
      <c r="G20" s="164"/>
      <c r="H20" s="164"/>
    </row>
    <row r="21" spans="1:8">
      <c r="A21" s="164"/>
      <c r="B21" s="164"/>
      <c r="C21" s="260"/>
      <c r="D21" s="164"/>
      <c r="E21" s="164"/>
      <c r="F21" s="164"/>
      <c r="G21" s="164"/>
      <c r="H21" s="164"/>
    </row>
    <row r="22" spans="1:8">
      <c r="A22" s="164"/>
      <c r="B22" s="164"/>
      <c r="C22" s="260"/>
      <c r="D22" s="164"/>
      <c r="E22" s="164"/>
      <c r="F22" s="164"/>
      <c r="G22" s="164"/>
      <c r="H22" s="164"/>
    </row>
    <row r="23" spans="1:8">
      <c r="A23" s="164"/>
      <c r="B23" s="164"/>
      <c r="C23" s="260"/>
      <c r="D23" s="164"/>
      <c r="E23" s="164"/>
      <c r="F23" s="164"/>
      <c r="G23" s="164"/>
      <c r="H23" s="164"/>
    </row>
    <row r="24" spans="1:8">
      <c r="A24" s="164"/>
      <c r="B24" s="164"/>
      <c r="C24" s="260"/>
      <c r="D24" s="164"/>
      <c r="E24" s="164"/>
      <c r="F24" s="164"/>
      <c r="G24" s="164"/>
      <c r="H24" s="164"/>
    </row>
    <row r="25" spans="1:8">
      <c r="A25" s="164"/>
      <c r="B25" s="164"/>
      <c r="C25" s="260"/>
      <c r="D25" s="164"/>
      <c r="E25" s="164"/>
      <c r="F25" s="164"/>
      <c r="G25" s="164"/>
      <c r="H25" s="164"/>
    </row>
    <row r="26" spans="1:8">
      <c r="A26" s="164"/>
      <c r="B26" s="164"/>
      <c r="C26" s="260"/>
      <c r="D26" s="164"/>
      <c r="E26" s="164"/>
      <c r="F26" s="164"/>
      <c r="G26" s="164"/>
      <c r="H26" s="164"/>
    </row>
    <row r="27" spans="1:8">
      <c r="A27" s="164"/>
      <c r="B27" s="164"/>
      <c r="C27" s="260"/>
      <c r="D27" s="164"/>
      <c r="E27" s="164"/>
      <c r="F27" s="164"/>
      <c r="G27" s="164"/>
      <c r="H27" s="164"/>
    </row>
    <row r="28" spans="1:8">
      <c r="A28" s="164"/>
      <c r="B28" s="164"/>
      <c r="C28" s="260"/>
      <c r="D28" s="164"/>
      <c r="E28" s="164"/>
      <c r="F28" s="164"/>
      <c r="G28" s="164"/>
      <c r="H28" s="164"/>
    </row>
    <row r="29" spans="1:8">
      <c r="A29" s="164"/>
      <c r="B29" s="164"/>
      <c r="C29" s="260"/>
      <c r="D29" s="164"/>
      <c r="E29" s="164"/>
      <c r="F29" s="164"/>
      <c r="G29" s="164"/>
      <c r="H29" s="164"/>
    </row>
    <row r="30" spans="1:8">
      <c r="A30" s="164"/>
      <c r="B30" s="164"/>
      <c r="C30" s="260"/>
      <c r="D30" s="164"/>
      <c r="E30" s="164"/>
      <c r="F30" s="164"/>
      <c r="G30" s="164"/>
      <c r="H30" s="164"/>
    </row>
    <row r="31" spans="1:8">
      <c r="A31" s="164"/>
      <c r="B31" s="164"/>
      <c r="C31" s="260"/>
      <c r="D31" s="164"/>
      <c r="E31" s="164"/>
      <c r="F31" s="164"/>
      <c r="G31" s="164"/>
      <c r="H31" s="164"/>
    </row>
    <row r="32" spans="1:8">
      <c r="A32" s="164"/>
      <c r="B32" s="164"/>
      <c r="C32" s="260"/>
      <c r="D32" s="164"/>
      <c r="E32" s="164"/>
      <c r="F32" s="164"/>
      <c r="G32" s="164"/>
      <c r="H32" s="164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Y110"/>
  <sheetViews>
    <sheetView zoomScaleNormal="100" workbookViewId="0">
      <selection activeCell="C21" sqref="C21"/>
    </sheetView>
  </sheetViews>
  <sheetFormatPr defaultColWidth="11.42578125" defaultRowHeight="15"/>
  <cols>
    <col min="1" max="1" width="11.42578125" style="155"/>
    <col min="2" max="2" width="21.85546875" bestFit="1" customWidth="1"/>
    <col min="3" max="3" width="51.140625" customWidth="1"/>
    <col min="5" max="5" width="12" bestFit="1" customWidth="1"/>
    <col min="6" max="6" width="13.140625" bestFit="1" customWidth="1"/>
    <col min="7" max="7" width="12" bestFit="1" customWidth="1"/>
    <col min="9" max="9" width="12" bestFit="1" customWidth="1"/>
    <col min="10" max="10" width="13" style="1" bestFit="1" customWidth="1"/>
    <col min="11" max="11" width="14.5703125" customWidth="1"/>
    <col min="12" max="12" width="11.5703125" customWidth="1"/>
    <col min="13" max="13" width="11.85546875" customWidth="1"/>
    <col min="14" max="14" width="11.42578125" style="49" customWidth="1"/>
    <col min="15" max="15" width="11.42578125" customWidth="1"/>
    <col min="16" max="16" width="13" customWidth="1"/>
    <col min="17" max="25" width="11.42578125" style="155"/>
  </cols>
  <sheetData>
    <row r="1" spans="2:20">
      <c r="B1" s="574" t="s">
        <v>194</v>
      </c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  <c r="N1" s="575"/>
      <c r="O1" s="575"/>
      <c r="P1" s="576"/>
      <c r="T1" s="155">
        <f>SUM(H1:H206)</f>
        <v>28.521999999999998</v>
      </c>
    </row>
    <row r="2" spans="2:20">
      <c r="B2" s="577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9"/>
    </row>
    <row r="3" spans="2:20" ht="15.75" thickBot="1">
      <c r="B3" s="580">
        <f>Resumen!B4</f>
        <v>45763</v>
      </c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2"/>
    </row>
    <row r="4" spans="2:20" s="155" customFormat="1" ht="15.75" thickBot="1">
      <c r="N4" s="156"/>
    </row>
    <row r="5" spans="2:20" ht="15.75" thickBot="1">
      <c r="C5" s="155"/>
      <c r="D5" s="155"/>
      <c r="E5" s="583" t="s">
        <v>195</v>
      </c>
      <c r="F5" s="584"/>
      <c r="G5" s="585"/>
      <c r="H5" s="583" t="s">
        <v>196</v>
      </c>
      <c r="I5" s="584"/>
      <c r="J5" s="585"/>
      <c r="K5" s="583" t="s">
        <v>35</v>
      </c>
      <c r="L5" s="584"/>
      <c r="M5" s="584"/>
      <c r="N5" s="584"/>
      <c r="O5" s="584"/>
      <c r="P5" s="585"/>
    </row>
    <row r="6" spans="2:20" ht="60.75" thickBot="1">
      <c r="B6" s="146" t="s">
        <v>36</v>
      </c>
      <c r="C6" s="124" t="s">
        <v>197</v>
      </c>
      <c r="D6" s="124" t="s">
        <v>198</v>
      </c>
      <c r="E6" s="125" t="s">
        <v>40</v>
      </c>
      <c r="F6" s="125" t="s">
        <v>199</v>
      </c>
      <c r="G6" s="125" t="s">
        <v>41</v>
      </c>
      <c r="H6" s="124" t="s">
        <v>200</v>
      </c>
      <c r="I6" s="124" t="s">
        <v>201</v>
      </c>
      <c r="J6" s="145" t="s">
        <v>202</v>
      </c>
      <c r="K6" s="238" t="s">
        <v>40</v>
      </c>
      <c r="L6" s="125" t="s">
        <v>199</v>
      </c>
      <c r="M6" s="125" t="s">
        <v>41</v>
      </c>
      <c r="N6" s="124" t="s">
        <v>200</v>
      </c>
      <c r="O6" s="124" t="s">
        <v>201</v>
      </c>
      <c r="P6" s="145" t="s">
        <v>202</v>
      </c>
    </row>
    <row r="7" spans="2:20">
      <c r="B7" s="597" t="s">
        <v>47</v>
      </c>
      <c r="C7" s="76" t="s">
        <v>203</v>
      </c>
      <c r="D7" s="157" t="s">
        <v>50</v>
      </c>
      <c r="E7" s="158">
        <f>2906.358+1326.6</f>
        <v>4232.9580000000005</v>
      </c>
      <c r="F7" s="159">
        <v>-4232.9579999999996</v>
      </c>
      <c r="G7" s="160">
        <f>+E7+F7</f>
        <v>0</v>
      </c>
      <c r="H7" s="161"/>
      <c r="I7" s="160">
        <f>+G7-H7</f>
        <v>0</v>
      </c>
      <c r="J7" s="24">
        <v>0</v>
      </c>
      <c r="K7" s="239">
        <f>E7</f>
        <v>4232.9580000000005</v>
      </c>
      <c r="L7" s="128">
        <f t="shared" ref="L7:L8" si="0">F7</f>
        <v>-4232.9579999999996</v>
      </c>
      <c r="M7" s="162">
        <f t="shared" ref="M7:M12" si="1">+K7+L7</f>
        <v>0</v>
      </c>
      <c r="N7" s="128">
        <f>H7</f>
        <v>0</v>
      </c>
      <c r="O7" s="162">
        <f>+M7-N7</f>
        <v>0</v>
      </c>
      <c r="P7" s="154">
        <v>0</v>
      </c>
    </row>
    <row r="8" spans="2:20">
      <c r="B8" s="591"/>
      <c r="C8" s="44" t="s">
        <v>204</v>
      </c>
      <c r="D8" s="163" t="s">
        <v>50</v>
      </c>
      <c r="E8" s="48">
        <f>80640.861+1922.608+1922.608+1922.608+1441.956+1441.956+1441.956+1441.956+961.304+961.304+961.304+961.304+9613.04+480.652+480.652+9613.04</f>
        <v>116209.10900000003</v>
      </c>
      <c r="F8" s="164">
        <v>-15000</v>
      </c>
      <c r="G8" s="160">
        <f t="shared" ref="G8:G12" si="2">+E8+F8</f>
        <v>101209.10900000003</v>
      </c>
      <c r="H8" s="131"/>
      <c r="I8" s="165">
        <f>+G8-H8</f>
        <v>101209.10900000003</v>
      </c>
      <c r="J8" s="2">
        <f t="shared" ref="J8:J13" si="3">+H8/G8</f>
        <v>0</v>
      </c>
      <c r="K8" s="329">
        <f>E8</f>
        <v>116209.10900000003</v>
      </c>
      <c r="L8" s="129">
        <f t="shared" si="0"/>
        <v>-15000</v>
      </c>
      <c r="M8" s="166">
        <f t="shared" si="1"/>
        <v>101209.10900000003</v>
      </c>
      <c r="N8" s="129">
        <f>H8</f>
        <v>0</v>
      </c>
      <c r="O8" s="166">
        <f>+M8-N8</f>
        <v>101209.10900000003</v>
      </c>
      <c r="P8" s="12">
        <f>+N8/M8</f>
        <v>0</v>
      </c>
    </row>
    <row r="9" spans="2:20">
      <c r="B9" s="591"/>
      <c r="C9" s="44" t="s">
        <v>205</v>
      </c>
      <c r="D9" s="163" t="s">
        <v>50</v>
      </c>
      <c r="E9" s="48">
        <f>323680.285+720.978+1441.956+961.304+480.652+480.652+480.652+480.652+480.652+7209.78+4806.52+1441.956</f>
        <v>342666.03900000005</v>
      </c>
      <c r="F9" s="164">
        <f>-120000-10000-20000-20000</f>
        <v>-170000</v>
      </c>
      <c r="G9" s="160">
        <f t="shared" si="2"/>
        <v>172666.03900000005</v>
      </c>
      <c r="H9" s="131">
        <v>14.260999999999999</v>
      </c>
      <c r="I9" s="165">
        <f>+G9-H9</f>
        <v>172651.77800000005</v>
      </c>
      <c r="J9" s="416">
        <f>+H9/G9</f>
        <v>8.2592964329250619E-5</v>
      </c>
      <c r="K9" s="329">
        <f>E9</f>
        <v>342666.03900000005</v>
      </c>
      <c r="L9" s="129">
        <f>F9</f>
        <v>-170000</v>
      </c>
      <c r="M9" s="166">
        <f t="shared" si="1"/>
        <v>172666.03900000005</v>
      </c>
      <c r="N9" s="129">
        <f t="shared" ref="N9:N10" si="4">H9</f>
        <v>14.260999999999999</v>
      </c>
      <c r="O9" s="166">
        <f>+M9-N9</f>
        <v>172651.77800000005</v>
      </c>
      <c r="P9" s="417">
        <f>+N9/M9</f>
        <v>8.2592964329250619E-5</v>
      </c>
    </row>
    <row r="10" spans="2:20">
      <c r="B10" s="591"/>
      <c r="C10" s="44" t="s">
        <v>206</v>
      </c>
      <c r="D10" s="163" t="s">
        <v>50</v>
      </c>
      <c r="E10" s="48">
        <f>240.326+720.978+720.978+720.978+1922.608</f>
        <v>4325.8679999999995</v>
      </c>
      <c r="F10" s="164">
        <v>-3364.5639999999999</v>
      </c>
      <c r="G10" s="160">
        <f t="shared" si="2"/>
        <v>961.30399999999963</v>
      </c>
      <c r="H10" s="30"/>
      <c r="I10" s="165">
        <f>+G10-H10</f>
        <v>961.30399999999963</v>
      </c>
      <c r="J10" s="2">
        <f t="shared" si="3"/>
        <v>0</v>
      </c>
      <c r="K10" s="329">
        <f t="shared" ref="K10:K11" si="5">E10</f>
        <v>4325.8679999999995</v>
      </c>
      <c r="L10" s="129">
        <f>F10</f>
        <v>-3364.5639999999999</v>
      </c>
      <c r="M10" s="166">
        <f t="shared" si="1"/>
        <v>961.30399999999963</v>
      </c>
      <c r="N10" s="129">
        <f t="shared" si="4"/>
        <v>0</v>
      </c>
      <c r="O10" s="166">
        <f>+M10-N10</f>
        <v>961.30399999999963</v>
      </c>
      <c r="P10" s="12">
        <f>+N10/M10</f>
        <v>0</v>
      </c>
      <c r="R10" s="155">
        <v>1922.6079999999999</v>
      </c>
    </row>
    <row r="11" spans="2:20">
      <c r="B11" s="591"/>
      <c r="C11" s="44" t="s">
        <v>207</v>
      </c>
      <c r="D11" s="163" t="s">
        <v>50</v>
      </c>
      <c r="E11" s="48">
        <v>10574.343999999999</v>
      </c>
      <c r="F11" s="164"/>
      <c r="G11" s="160">
        <f t="shared" si="2"/>
        <v>10574.343999999999</v>
      </c>
      <c r="H11" s="30"/>
      <c r="I11" s="165">
        <f t="shared" ref="I11" si="6">+G11-H11</f>
        <v>10574.343999999999</v>
      </c>
      <c r="J11" s="2">
        <f t="shared" si="3"/>
        <v>0</v>
      </c>
      <c r="K11" s="329">
        <f t="shared" si="5"/>
        <v>10574.343999999999</v>
      </c>
      <c r="L11" s="129">
        <f>F11</f>
        <v>0</v>
      </c>
      <c r="M11" s="166">
        <f t="shared" si="1"/>
        <v>10574.343999999999</v>
      </c>
      <c r="N11" s="129">
        <f t="shared" ref="N11" si="7">H11</f>
        <v>0</v>
      </c>
      <c r="O11" s="166">
        <f t="shared" ref="O11" si="8">+M11-N11</f>
        <v>10574.343999999999</v>
      </c>
      <c r="P11" s="12">
        <f t="shared" ref="P11" si="9">+N11/M11</f>
        <v>0</v>
      </c>
      <c r="R11" s="155">
        <f>R10*5</f>
        <v>9613.0399999999991</v>
      </c>
    </row>
    <row r="12" spans="2:20" ht="15.75" thickBot="1">
      <c r="B12" s="593"/>
      <c r="C12" s="67" t="s">
        <v>208</v>
      </c>
      <c r="D12" s="167" t="s">
        <v>50</v>
      </c>
      <c r="E12" s="68">
        <f>720.978+1922.608</f>
        <v>2643.5859999999998</v>
      </c>
      <c r="F12" s="168">
        <v>-2643.5859999999998</v>
      </c>
      <c r="G12" s="160">
        <f t="shared" si="2"/>
        <v>0</v>
      </c>
      <c r="H12" s="170"/>
      <c r="I12" s="169">
        <f>+G12-H12</f>
        <v>0</v>
      </c>
      <c r="J12" s="147">
        <v>0</v>
      </c>
      <c r="K12" s="240">
        <f>E12</f>
        <v>2643.5859999999998</v>
      </c>
      <c r="L12" s="171">
        <f>F12</f>
        <v>-2643.5859999999998</v>
      </c>
      <c r="M12" s="172">
        <f t="shared" si="1"/>
        <v>0</v>
      </c>
      <c r="N12" s="171">
        <f>H12</f>
        <v>0</v>
      </c>
      <c r="O12" s="172">
        <f>+M12-N12</f>
        <v>0</v>
      </c>
      <c r="P12" s="152">
        <v>0</v>
      </c>
    </row>
    <row r="13" spans="2:20" s="155" customFormat="1" ht="15.75" thickBot="1">
      <c r="B13" s="242"/>
      <c r="C13" s="243"/>
      <c r="D13" s="173"/>
      <c r="E13" s="174">
        <f>SUM(E7:E12)</f>
        <v>480651.9040000001</v>
      </c>
      <c r="F13" s="175">
        <f>SUM(F7:F12)</f>
        <v>-195241.10800000001</v>
      </c>
      <c r="G13" s="176">
        <f>E13+F13</f>
        <v>285410.79600000009</v>
      </c>
      <c r="H13" s="177">
        <f>SUM(H7:H12)</f>
        <v>14.260999999999999</v>
      </c>
      <c r="I13" s="177">
        <f>+G13-H13</f>
        <v>285396.53500000009</v>
      </c>
      <c r="J13" s="244">
        <f t="shared" si="3"/>
        <v>4.9966575195704911E-5</v>
      </c>
      <c r="K13" s="241">
        <f>SUM(K7:K12)</f>
        <v>480651.9040000001</v>
      </c>
      <c r="L13" s="91">
        <f>SUM(L7:L12)</f>
        <v>-195241.10800000001</v>
      </c>
      <c r="M13" s="178">
        <f>SUM(M7:M12)</f>
        <v>285410.79600000003</v>
      </c>
      <c r="N13" s="179">
        <f>SUM(N7:N12)</f>
        <v>14.260999999999999</v>
      </c>
      <c r="O13" s="178">
        <f>SUM(O7:O12)</f>
        <v>285396.53500000009</v>
      </c>
      <c r="P13" s="153">
        <f t="shared" ref="P13:P18" si="10">+N13/M13</f>
        <v>4.9966575195704925E-5</v>
      </c>
    </row>
    <row r="14" spans="2:20" s="155" customFormat="1">
      <c r="B14" s="180"/>
      <c r="C14" s="181"/>
      <c r="D14" s="182"/>
      <c r="E14" s="183"/>
      <c r="F14" s="184"/>
      <c r="G14" s="185"/>
      <c r="J14" s="149"/>
      <c r="K14" s="185"/>
      <c r="L14" s="51"/>
      <c r="M14" s="186"/>
      <c r="N14" s="187"/>
      <c r="O14" s="186"/>
      <c r="P14" s="148"/>
    </row>
    <row r="15" spans="2:20" s="155" customFormat="1" ht="15.75" thickBot="1">
      <c r="B15" s="180"/>
      <c r="C15" s="181"/>
      <c r="D15" s="182"/>
      <c r="E15" s="183"/>
      <c r="F15" s="184"/>
      <c r="G15" s="185"/>
      <c r="J15" s="149"/>
      <c r="K15" s="185"/>
      <c r="L15" s="51"/>
      <c r="M15" s="186"/>
      <c r="N15" s="187"/>
      <c r="O15" s="186"/>
      <c r="P15" s="148"/>
    </row>
    <row r="16" spans="2:20" s="155" customFormat="1" ht="15.75" thickBot="1">
      <c r="B16"/>
      <c r="E16" s="583" t="s">
        <v>195</v>
      </c>
      <c r="F16" s="584"/>
      <c r="G16" s="585"/>
      <c r="H16" s="583" t="s">
        <v>196</v>
      </c>
      <c r="I16" s="584"/>
      <c r="J16" s="585"/>
      <c r="K16" s="583" t="s">
        <v>35</v>
      </c>
      <c r="L16" s="584"/>
      <c r="M16" s="584"/>
      <c r="N16" s="584"/>
      <c r="O16" s="584"/>
      <c r="P16" s="585"/>
    </row>
    <row r="17" spans="2:16" s="155" customFormat="1" ht="60.75" thickBot="1">
      <c r="B17" s="206" t="s">
        <v>36</v>
      </c>
      <c r="C17" s="207" t="s">
        <v>197</v>
      </c>
      <c r="D17" s="207" t="s">
        <v>198</v>
      </c>
      <c r="E17" s="208" t="s">
        <v>40</v>
      </c>
      <c r="F17" s="208" t="s">
        <v>199</v>
      </c>
      <c r="G17" s="208" t="s">
        <v>41</v>
      </c>
      <c r="H17" s="207" t="s">
        <v>200</v>
      </c>
      <c r="I17" s="207" t="s">
        <v>201</v>
      </c>
      <c r="J17" s="209" t="s">
        <v>202</v>
      </c>
      <c r="K17" s="245" t="s">
        <v>40</v>
      </c>
      <c r="L17" s="208" t="s">
        <v>199</v>
      </c>
      <c r="M17" s="208" t="s">
        <v>41</v>
      </c>
      <c r="N17" s="207" t="s">
        <v>200</v>
      </c>
      <c r="O17" s="207" t="s">
        <v>201</v>
      </c>
      <c r="P17" s="209" t="s">
        <v>202</v>
      </c>
    </row>
    <row r="18" spans="2:16">
      <c r="B18" s="590" t="s">
        <v>54</v>
      </c>
      <c r="C18" s="222" t="s">
        <v>209</v>
      </c>
      <c r="D18" s="198" t="s">
        <v>50</v>
      </c>
      <c r="E18" s="199">
        <v>122.992</v>
      </c>
      <c r="F18" s="192"/>
      <c r="G18" s="190">
        <f>+E18+F18</f>
        <v>122.992</v>
      </c>
      <c r="H18" s="189"/>
      <c r="I18" s="190">
        <f>+G18-H18</f>
        <v>122.992</v>
      </c>
      <c r="J18" s="248">
        <f>+H18/G18</f>
        <v>0</v>
      </c>
      <c r="K18" s="246">
        <f>+E18</f>
        <v>122.992</v>
      </c>
      <c r="L18" s="191">
        <f>+F18</f>
        <v>0</v>
      </c>
      <c r="M18" s="200">
        <f>+K18+L18</f>
        <v>122.992</v>
      </c>
      <c r="N18" s="191">
        <f>+H18</f>
        <v>0</v>
      </c>
      <c r="O18" s="200">
        <f>+M18-N18</f>
        <v>122.992</v>
      </c>
      <c r="P18" s="13">
        <f t="shared" si="10"/>
        <v>0</v>
      </c>
    </row>
    <row r="19" spans="2:16">
      <c r="B19" s="591"/>
      <c r="C19" s="223" t="s">
        <v>210</v>
      </c>
      <c r="D19" s="163" t="s">
        <v>50</v>
      </c>
      <c r="E19" s="48">
        <v>655.923</v>
      </c>
      <c r="F19" s="166"/>
      <c r="G19" s="165">
        <f>+E19+F19</f>
        <v>655.923</v>
      </c>
      <c r="H19" s="131"/>
      <c r="I19" s="165">
        <f>+G19-H19</f>
        <v>655.923</v>
      </c>
      <c r="J19" s="2">
        <f>+H19/G19</f>
        <v>0</v>
      </c>
      <c r="K19" s="330">
        <f>+E19</f>
        <v>655.923</v>
      </c>
      <c r="L19" s="129">
        <f>+F19</f>
        <v>0</v>
      </c>
      <c r="M19" s="201">
        <f>+K19+L19</f>
        <v>655.923</v>
      </c>
      <c r="N19" s="129">
        <f>+H19</f>
        <v>0</v>
      </c>
      <c r="O19" s="201">
        <f>+M19-N19</f>
        <v>655.923</v>
      </c>
      <c r="P19" s="12">
        <f t="shared" ref="P19" si="11">+N19/M19</f>
        <v>0</v>
      </c>
    </row>
    <row r="20" spans="2:16">
      <c r="B20" s="591"/>
      <c r="C20" s="223" t="s">
        <v>211</v>
      </c>
      <c r="D20" s="163" t="s">
        <v>50</v>
      </c>
      <c r="E20" s="48">
        <v>87.852000000000004</v>
      </c>
      <c r="F20" s="166"/>
      <c r="G20" s="165">
        <f t="shared" ref="G20:G29" si="12">+E20+F20</f>
        <v>87.852000000000004</v>
      </c>
      <c r="H20" s="131"/>
      <c r="I20" s="165">
        <f t="shared" ref="I20:I29" si="13">+G20-H20</f>
        <v>87.852000000000004</v>
      </c>
      <c r="J20" s="2">
        <f t="shared" ref="J20:J29" si="14">+H20/G20</f>
        <v>0</v>
      </c>
      <c r="K20" s="330">
        <f t="shared" ref="K20:K29" si="15">+E20</f>
        <v>87.852000000000004</v>
      </c>
      <c r="L20" s="129">
        <f t="shared" ref="L20:L29" si="16">+F20</f>
        <v>0</v>
      </c>
      <c r="M20" s="201">
        <f t="shared" ref="M20:M29" si="17">+K20+L20</f>
        <v>87.852000000000004</v>
      </c>
      <c r="N20" s="129">
        <f t="shared" ref="N20:N29" si="18">+H20</f>
        <v>0</v>
      </c>
      <c r="O20" s="201">
        <f t="shared" ref="O20:O29" si="19">+M20-N20</f>
        <v>87.852000000000004</v>
      </c>
      <c r="P20" s="12">
        <f t="shared" ref="P20:P29" si="20">+N20/M20</f>
        <v>0</v>
      </c>
    </row>
    <row r="21" spans="2:16">
      <c r="B21" s="591"/>
      <c r="C21" s="78" t="s">
        <v>212</v>
      </c>
      <c r="D21" s="163" t="s">
        <v>50</v>
      </c>
      <c r="E21" s="48">
        <v>5124.402</v>
      </c>
      <c r="F21" s="166"/>
      <c r="G21" s="165">
        <f t="shared" si="12"/>
        <v>5124.402</v>
      </c>
      <c r="H21" s="131"/>
      <c r="I21" s="165">
        <f t="shared" si="13"/>
        <v>5124.402</v>
      </c>
      <c r="J21" s="2">
        <f t="shared" si="14"/>
        <v>0</v>
      </c>
      <c r="K21" s="330">
        <f t="shared" si="15"/>
        <v>5124.402</v>
      </c>
      <c r="L21" s="129">
        <f t="shared" si="16"/>
        <v>0</v>
      </c>
      <c r="M21" s="201">
        <f t="shared" si="17"/>
        <v>5124.402</v>
      </c>
      <c r="N21" s="129">
        <f t="shared" si="18"/>
        <v>0</v>
      </c>
      <c r="O21" s="201">
        <f t="shared" si="19"/>
        <v>5124.402</v>
      </c>
      <c r="P21" s="12">
        <f t="shared" si="20"/>
        <v>0</v>
      </c>
    </row>
    <row r="22" spans="2:16">
      <c r="B22" s="591"/>
      <c r="C22" s="78" t="s">
        <v>213</v>
      </c>
      <c r="D22" s="197" t="s">
        <v>50</v>
      </c>
      <c r="E22" s="48">
        <v>37.837000000000003</v>
      </c>
      <c r="F22" s="166"/>
      <c r="G22" s="165">
        <f t="shared" si="12"/>
        <v>37.837000000000003</v>
      </c>
      <c r="H22" s="131"/>
      <c r="I22" s="165">
        <f t="shared" si="13"/>
        <v>37.837000000000003</v>
      </c>
      <c r="J22" s="2">
        <f t="shared" si="14"/>
        <v>0</v>
      </c>
      <c r="K22" s="330">
        <f t="shared" si="15"/>
        <v>37.837000000000003</v>
      </c>
      <c r="L22" s="129">
        <f t="shared" si="16"/>
        <v>0</v>
      </c>
      <c r="M22" s="201">
        <f t="shared" si="17"/>
        <v>37.837000000000003</v>
      </c>
      <c r="N22" s="129">
        <f t="shared" si="18"/>
        <v>0</v>
      </c>
      <c r="O22" s="201">
        <f t="shared" si="19"/>
        <v>37.837000000000003</v>
      </c>
      <c r="P22" s="12">
        <f t="shared" si="20"/>
        <v>0</v>
      </c>
    </row>
    <row r="23" spans="2:16">
      <c r="B23" s="591"/>
      <c r="C23" s="78" t="s">
        <v>214</v>
      </c>
      <c r="D23" s="163" t="s">
        <v>50</v>
      </c>
      <c r="E23" s="48">
        <v>326.10700000000003</v>
      </c>
      <c r="F23" s="166"/>
      <c r="G23" s="165">
        <f t="shared" si="12"/>
        <v>326.10700000000003</v>
      </c>
      <c r="H23" s="131"/>
      <c r="I23" s="165">
        <f t="shared" si="13"/>
        <v>326.10700000000003</v>
      </c>
      <c r="J23" s="2">
        <f t="shared" si="14"/>
        <v>0</v>
      </c>
      <c r="K23" s="330">
        <f t="shared" si="15"/>
        <v>326.10700000000003</v>
      </c>
      <c r="L23" s="129">
        <f t="shared" si="16"/>
        <v>0</v>
      </c>
      <c r="M23" s="201">
        <f t="shared" si="17"/>
        <v>326.10700000000003</v>
      </c>
      <c r="N23" s="129">
        <f t="shared" si="18"/>
        <v>0</v>
      </c>
      <c r="O23" s="201">
        <f t="shared" si="19"/>
        <v>326.10700000000003</v>
      </c>
      <c r="P23" s="12">
        <f t="shared" si="20"/>
        <v>0</v>
      </c>
    </row>
    <row r="24" spans="2:16">
      <c r="B24" s="591"/>
      <c r="C24" s="223" t="s">
        <v>215</v>
      </c>
      <c r="D24" s="163" t="s">
        <v>50</v>
      </c>
      <c r="E24" s="48">
        <v>46.853999999999999</v>
      </c>
      <c r="F24" s="166"/>
      <c r="G24" s="165">
        <f t="shared" si="12"/>
        <v>46.853999999999999</v>
      </c>
      <c r="H24" s="131"/>
      <c r="I24" s="165">
        <f t="shared" si="13"/>
        <v>46.853999999999999</v>
      </c>
      <c r="J24" s="2">
        <f t="shared" si="14"/>
        <v>0</v>
      </c>
      <c r="K24" s="330">
        <f t="shared" si="15"/>
        <v>46.853999999999999</v>
      </c>
      <c r="L24" s="129">
        <f t="shared" si="16"/>
        <v>0</v>
      </c>
      <c r="M24" s="201">
        <f t="shared" si="17"/>
        <v>46.853999999999999</v>
      </c>
      <c r="N24" s="129">
        <f t="shared" si="18"/>
        <v>0</v>
      </c>
      <c r="O24" s="201">
        <f t="shared" si="19"/>
        <v>46.853999999999999</v>
      </c>
      <c r="P24" s="12">
        <f t="shared" si="20"/>
        <v>0</v>
      </c>
    </row>
    <row r="25" spans="2:16">
      <c r="B25" s="591"/>
      <c r="C25" s="78" t="s">
        <v>216</v>
      </c>
      <c r="D25" s="163" t="s">
        <v>50</v>
      </c>
      <c r="E25" s="48">
        <v>29.283999999999999</v>
      </c>
      <c r="F25" s="166"/>
      <c r="G25" s="165">
        <f t="shared" si="12"/>
        <v>29.283999999999999</v>
      </c>
      <c r="H25" s="131"/>
      <c r="I25" s="165">
        <f t="shared" si="13"/>
        <v>29.283999999999999</v>
      </c>
      <c r="J25" s="2">
        <f t="shared" si="14"/>
        <v>0</v>
      </c>
      <c r="K25" s="330">
        <f t="shared" si="15"/>
        <v>29.283999999999999</v>
      </c>
      <c r="L25" s="129">
        <f t="shared" si="16"/>
        <v>0</v>
      </c>
      <c r="M25" s="201">
        <f t="shared" si="17"/>
        <v>29.283999999999999</v>
      </c>
      <c r="N25" s="129">
        <f t="shared" si="18"/>
        <v>0</v>
      </c>
      <c r="O25" s="201">
        <f t="shared" si="19"/>
        <v>29.283999999999999</v>
      </c>
      <c r="P25" s="12">
        <f t="shared" si="20"/>
        <v>0</v>
      </c>
    </row>
    <row r="26" spans="2:16">
      <c r="B26" s="591"/>
      <c r="C26" s="223" t="s">
        <v>217</v>
      </c>
      <c r="D26" s="163" t="s">
        <v>50</v>
      </c>
      <c r="E26" s="48">
        <v>46.853999999999999</v>
      </c>
      <c r="F26" s="166"/>
      <c r="G26" s="165">
        <f t="shared" si="12"/>
        <v>46.853999999999999</v>
      </c>
      <c r="H26" s="131"/>
      <c r="I26" s="165">
        <f t="shared" si="13"/>
        <v>46.853999999999999</v>
      </c>
      <c r="J26" s="2">
        <f t="shared" si="14"/>
        <v>0</v>
      </c>
      <c r="K26" s="330">
        <f t="shared" si="15"/>
        <v>46.853999999999999</v>
      </c>
      <c r="L26" s="129">
        <f t="shared" si="16"/>
        <v>0</v>
      </c>
      <c r="M26" s="201">
        <f t="shared" si="17"/>
        <v>46.853999999999999</v>
      </c>
      <c r="N26" s="129">
        <f t="shared" si="18"/>
        <v>0</v>
      </c>
      <c r="O26" s="201">
        <f t="shared" si="19"/>
        <v>46.853999999999999</v>
      </c>
      <c r="P26" s="12">
        <f t="shared" si="20"/>
        <v>0</v>
      </c>
    </row>
    <row r="27" spans="2:16">
      <c r="B27" s="591"/>
      <c r="C27" s="78" t="s">
        <v>218</v>
      </c>
      <c r="D27" s="163" t="s">
        <v>50</v>
      </c>
      <c r="E27" s="48">
        <v>1.0940000000000001</v>
      </c>
      <c r="F27" s="166">
        <v>-0.23499999999999999</v>
      </c>
      <c r="G27" s="165">
        <f t="shared" si="12"/>
        <v>0.8590000000000001</v>
      </c>
      <c r="H27" s="131"/>
      <c r="I27" s="165">
        <f t="shared" si="13"/>
        <v>0.8590000000000001</v>
      </c>
      <c r="J27" s="2">
        <f t="shared" si="14"/>
        <v>0</v>
      </c>
      <c r="K27" s="330">
        <f t="shared" si="15"/>
        <v>1.0940000000000001</v>
      </c>
      <c r="L27" s="129">
        <f t="shared" si="16"/>
        <v>-0.23499999999999999</v>
      </c>
      <c r="M27" s="201">
        <f t="shared" si="17"/>
        <v>0.8590000000000001</v>
      </c>
      <c r="N27" s="129">
        <f t="shared" si="18"/>
        <v>0</v>
      </c>
      <c r="O27" s="201">
        <f t="shared" si="19"/>
        <v>0.8590000000000001</v>
      </c>
      <c r="P27" s="12">
        <f t="shared" si="20"/>
        <v>0</v>
      </c>
    </row>
    <row r="28" spans="2:16">
      <c r="B28" s="591"/>
      <c r="C28" s="78" t="s">
        <v>219</v>
      </c>
      <c r="D28" s="163" t="s">
        <v>50</v>
      </c>
      <c r="E28" s="48">
        <v>4985.84</v>
      </c>
      <c r="F28" s="188"/>
      <c r="G28" s="165">
        <f>+E28+F28</f>
        <v>4985.84</v>
      </c>
      <c r="H28" s="131"/>
      <c r="I28" s="165">
        <f>+G28-H28</f>
        <v>4985.84</v>
      </c>
      <c r="J28" s="2">
        <f t="shared" si="14"/>
        <v>0</v>
      </c>
      <c r="K28" s="330">
        <f t="shared" si="15"/>
        <v>4985.84</v>
      </c>
      <c r="L28" s="129">
        <f t="shared" si="16"/>
        <v>0</v>
      </c>
      <c r="M28" s="201">
        <f>+K28+L28</f>
        <v>4985.84</v>
      </c>
      <c r="N28" s="129">
        <f t="shared" si="18"/>
        <v>0</v>
      </c>
      <c r="O28" s="201">
        <f t="shared" si="19"/>
        <v>4985.84</v>
      </c>
      <c r="P28" s="12">
        <f>+N28/M28</f>
        <v>0</v>
      </c>
    </row>
    <row r="29" spans="2:16">
      <c r="B29" s="591"/>
      <c r="C29" s="78" t="s">
        <v>220</v>
      </c>
      <c r="D29" s="163" t="s">
        <v>50</v>
      </c>
      <c r="E29" s="48">
        <v>134.70599999999999</v>
      </c>
      <c r="F29" s="166"/>
      <c r="G29" s="165">
        <f t="shared" si="12"/>
        <v>134.70599999999999</v>
      </c>
      <c r="H29" s="131"/>
      <c r="I29" s="165">
        <f t="shared" si="13"/>
        <v>134.70599999999999</v>
      </c>
      <c r="J29" s="2">
        <f t="shared" si="14"/>
        <v>0</v>
      </c>
      <c r="K29" s="330">
        <f t="shared" si="15"/>
        <v>134.70599999999999</v>
      </c>
      <c r="L29" s="129">
        <f t="shared" si="16"/>
        <v>0</v>
      </c>
      <c r="M29" s="201">
        <f t="shared" si="17"/>
        <v>134.70599999999999</v>
      </c>
      <c r="N29" s="129">
        <f t="shared" si="18"/>
        <v>0</v>
      </c>
      <c r="O29" s="201">
        <f t="shared" si="19"/>
        <v>134.70599999999999</v>
      </c>
      <c r="P29" s="12">
        <f t="shared" si="20"/>
        <v>0</v>
      </c>
    </row>
    <row r="30" spans="2:16">
      <c r="B30" s="592"/>
      <c r="C30" s="340" t="s">
        <v>221</v>
      </c>
      <c r="D30" s="163" t="s">
        <v>50</v>
      </c>
      <c r="E30" s="48">
        <v>0</v>
      </c>
      <c r="F30" s="166">
        <v>0.23499999999999999</v>
      </c>
      <c r="G30" s="165">
        <f t="shared" ref="G30" si="21">+E30+F30</f>
        <v>0.23499999999999999</v>
      </c>
      <c r="H30" s="131"/>
      <c r="I30" s="165">
        <f t="shared" ref="I30" si="22">+G30-H30</f>
        <v>0.23499999999999999</v>
      </c>
      <c r="J30" s="2">
        <f t="shared" ref="J30" si="23">+H30/G30</f>
        <v>0</v>
      </c>
      <c r="K30" s="330">
        <f t="shared" ref="K30" si="24">+E30</f>
        <v>0</v>
      </c>
      <c r="L30" s="129">
        <f t="shared" ref="L30" si="25">+F30</f>
        <v>0.23499999999999999</v>
      </c>
      <c r="M30" s="201">
        <f t="shared" ref="M30" si="26">+K30+L30</f>
        <v>0.23499999999999999</v>
      </c>
      <c r="N30" s="129">
        <f t="shared" ref="N30" si="27">+H30</f>
        <v>0</v>
      </c>
      <c r="O30" s="201">
        <f t="shared" ref="O30" si="28">+M30-N30</f>
        <v>0.23499999999999999</v>
      </c>
      <c r="P30" s="12">
        <f t="shared" ref="P30" si="29">+N30/M30</f>
        <v>0</v>
      </c>
    </row>
    <row r="31" spans="2:16" ht="15.75" thickBot="1">
      <c r="B31" s="593"/>
      <c r="C31" s="81" t="s">
        <v>222</v>
      </c>
      <c r="D31" s="167" t="s">
        <v>50</v>
      </c>
      <c r="E31" s="69">
        <v>113.76</v>
      </c>
      <c r="F31" s="172"/>
      <c r="G31" s="169">
        <f t="shared" ref="G31" si="30">+E31+F31</f>
        <v>113.76</v>
      </c>
      <c r="H31" s="170"/>
      <c r="I31" s="169">
        <f t="shared" ref="I31" si="31">+G31-H31</f>
        <v>113.76</v>
      </c>
      <c r="J31" s="147">
        <f t="shared" ref="J31" si="32">+H31/G31</f>
        <v>0</v>
      </c>
      <c r="K31" s="247">
        <f t="shared" ref="K31" si="33">+E31</f>
        <v>113.76</v>
      </c>
      <c r="L31" s="205">
        <f t="shared" ref="L31" si="34">+F31</f>
        <v>0</v>
      </c>
      <c r="M31" s="204">
        <f t="shared" ref="M31" si="35">+K31+L31</f>
        <v>113.76</v>
      </c>
      <c r="N31" s="205">
        <f t="shared" ref="N31" si="36">+H31</f>
        <v>0</v>
      </c>
      <c r="O31" s="204">
        <f t="shared" ref="O31" si="37">+M31-N31</f>
        <v>113.76</v>
      </c>
      <c r="P31" s="31">
        <f t="shared" ref="P31" si="38">+N31/M31</f>
        <v>0</v>
      </c>
    </row>
    <row r="32" spans="2:16" s="155" customFormat="1" ht="15.75" thickBot="1">
      <c r="B32" s="180"/>
      <c r="C32" s="202"/>
      <c r="D32" s="182"/>
      <c r="E32" s="210">
        <f>SUM(E18:E31)</f>
        <v>11713.505000000001</v>
      </c>
      <c r="F32" s="211"/>
      <c r="G32" s="211"/>
      <c r="H32" s="211"/>
      <c r="I32" s="211"/>
      <c r="J32" s="214"/>
      <c r="K32" s="249">
        <f>SUM(K18:K31)</f>
        <v>11713.505000000001</v>
      </c>
      <c r="L32" s="212">
        <f>SUM(L18:L31)</f>
        <v>0</v>
      </c>
      <c r="M32" s="212">
        <f>SUM(M18:M31)</f>
        <v>11713.505000000001</v>
      </c>
      <c r="N32" s="213">
        <f>SUM(N18:N31)</f>
        <v>0</v>
      </c>
      <c r="O32" s="212">
        <f>SUM(O18:O31)</f>
        <v>11713.505000000001</v>
      </c>
      <c r="P32" s="214">
        <f t="shared" ref="P32:P45" si="39">+N32/M32</f>
        <v>0</v>
      </c>
    </row>
    <row r="33" spans="2:16" s="155" customFormat="1">
      <c r="B33" s="180"/>
      <c r="C33" s="202"/>
      <c r="D33" s="182"/>
      <c r="E33" s="203"/>
      <c r="J33" s="149"/>
      <c r="K33" s="193"/>
      <c r="L33" s="193"/>
      <c r="M33" s="193"/>
      <c r="N33" s="51"/>
      <c r="O33" s="193"/>
      <c r="P33" s="149"/>
    </row>
    <row r="34" spans="2:16" s="155" customFormat="1" ht="15.75" thickBot="1">
      <c r="B34" s="180"/>
      <c r="C34" s="202"/>
      <c r="D34" s="182"/>
      <c r="E34" s="203"/>
      <c r="J34" s="149"/>
      <c r="K34" s="193"/>
      <c r="L34" s="193"/>
      <c r="M34" s="193"/>
      <c r="N34" s="51"/>
      <c r="O34" s="193"/>
      <c r="P34" s="149"/>
    </row>
    <row r="35" spans="2:16" s="155" customFormat="1" ht="15.75" thickBot="1">
      <c r="B35"/>
      <c r="E35" s="571" t="s">
        <v>195</v>
      </c>
      <c r="F35" s="572"/>
      <c r="G35" s="573"/>
      <c r="H35" s="571" t="s">
        <v>196</v>
      </c>
      <c r="I35" s="572"/>
      <c r="J35" s="573"/>
      <c r="K35" s="571" t="s">
        <v>35</v>
      </c>
      <c r="L35" s="572"/>
      <c r="M35" s="572"/>
      <c r="N35" s="572"/>
      <c r="O35" s="572"/>
      <c r="P35" s="573"/>
    </row>
    <row r="36" spans="2:16" s="155" customFormat="1" ht="60.75" thickBot="1">
      <c r="B36" s="105" t="s">
        <v>36</v>
      </c>
      <c r="C36" s="106" t="s">
        <v>197</v>
      </c>
      <c r="D36" s="106" t="s">
        <v>198</v>
      </c>
      <c r="E36" s="107" t="s">
        <v>40</v>
      </c>
      <c r="F36" s="107" t="s">
        <v>199</v>
      </c>
      <c r="G36" s="107" t="s">
        <v>41</v>
      </c>
      <c r="H36" s="106" t="s">
        <v>200</v>
      </c>
      <c r="I36" s="106" t="s">
        <v>201</v>
      </c>
      <c r="J36" s="108" t="s">
        <v>202</v>
      </c>
      <c r="K36" s="250" t="s">
        <v>40</v>
      </c>
      <c r="L36" s="94" t="s">
        <v>199</v>
      </c>
      <c r="M36" s="94" t="s">
        <v>41</v>
      </c>
      <c r="N36" s="93" t="s">
        <v>200</v>
      </c>
      <c r="O36" s="93" t="s">
        <v>201</v>
      </c>
      <c r="P36" s="95" t="s">
        <v>202</v>
      </c>
    </row>
    <row r="37" spans="2:16">
      <c r="B37" s="594" t="s">
        <v>63</v>
      </c>
      <c r="C37" s="232" t="s">
        <v>223</v>
      </c>
      <c r="D37" s="157" t="s">
        <v>50</v>
      </c>
      <c r="E37" s="53">
        <v>9.5679999999999996</v>
      </c>
      <c r="F37" s="52"/>
      <c r="G37" s="258">
        <f>+E37+F37</f>
        <v>9.5679999999999996</v>
      </c>
      <c r="H37" s="52"/>
      <c r="I37" s="258">
        <f>+G37-H37</f>
        <v>9.5679999999999996</v>
      </c>
      <c r="J37" s="259">
        <f>+H37/G37</f>
        <v>0</v>
      </c>
      <c r="K37" s="331">
        <f t="shared" ref="K37:L39" si="40">E37</f>
        <v>9.5679999999999996</v>
      </c>
      <c r="L37" s="44">
        <f t="shared" si="40"/>
        <v>0</v>
      </c>
      <c r="M37" s="220">
        <f>+K37+L37</f>
        <v>9.5679999999999996</v>
      </c>
      <c r="N37" s="44">
        <f>H37</f>
        <v>0</v>
      </c>
      <c r="O37" s="220">
        <f>+M37-N37</f>
        <v>9.5679999999999996</v>
      </c>
      <c r="P37" s="64">
        <f t="shared" si="39"/>
        <v>0</v>
      </c>
    </row>
    <row r="38" spans="2:16">
      <c r="B38" s="595"/>
      <c r="C38" s="77" t="s">
        <v>224</v>
      </c>
      <c r="D38" s="163" t="s">
        <v>50</v>
      </c>
      <c r="E38" s="48">
        <v>613.73699999999997</v>
      </c>
      <c r="F38" s="47"/>
      <c r="G38" s="219">
        <f>+E38+F38</f>
        <v>613.73699999999997</v>
      </c>
      <c r="H38" s="221"/>
      <c r="I38" s="219">
        <f>+G38-H38</f>
        <v>613.73699999999997</v>
      </c>
      <c r="J38" s="252">
        <f>+H38/G38</f>
        <v>0</v>
      </c>
      <c r="K38" s="331">
        <f t="shared" si="40"/>
        <v>613.73699999999997</v>
      </c>
      <c r="L38" s="44">
        <f t="shared" si="40"/>
        <v>0</v>
      </c>
      <c r="M38" s="220">
        <f>+K38+L38</f>
        <v>613.73699999999997</v>
      </c>
      <c r="N38" s="44">
        <f>H38</f>
        <v>0</v>
      </c>
      <c r="O38" s="220">
        <f>+M38-N38</f>
        <v>613.73699999999997</v>
      </c>
      <c r="P38" s="64">
        <f t="shared" si="39"/>
        <v>0</v>
      </c>
    </row>
    <row r="39" spans="2:16" ht="15.75" thickBot="1">
      <c r="B39" s="596"/>
      <c r="C39" s="225" t="s">
        <v>225</v>
      </c>
      <c r="D39" s="167" t="s">
        <v>50</v>
      </c>
      <c r="E39" s="69">
        <v>2287.6999999999998</v>
      </c>
      <c r="F39" s="68"/>
      <c r="G39" s="226">
        <f>+E39+F39</f>
        <v>2287.6999999999998</v>
      </c>
      <c r="H39" s="227"/>
      <c r="I39" s="226">
        <f>+G39-H39</f>
        <v>2287.6999999999998</v>
      </c>
      <c r="J39" s="253">
        <f>+H39/G39</f>
        <v>0</v>
      </c>
      <c r="K39" s="251">
        <f t="shared" si="40"/>
        <v>2287.6999999999998</v>
      </c>
      <c r="L39" s="67">
        <f t="shared" si="40"/>
        <v>0</v>
      </c>
      <c r="M39" s="228">
        <f>+K39+L39</f>
        <v>2287.6999999999998</v>
      </c>
      <c r="N39" s="67">
        <f>H39</f>
        <v>0</v>
      </c>
      <c r="O39" s="228">
        <f>+M39-N39</f>
        <v>2287.6999999999998</v>
      </c>
      <c r="P39" s="72">
        <f t="shared" si="39"/>
        <v>0</v>
      </c>
    </row>
    <row r="40" spans="2:16" s="155" customFormat="1" ht="15.75" thickBot="1">
      <c r="B40" s="180"/>
      <c r="C40" s="217"/>
      <c r="D40" s="182"/>
      <c r="E40" s="229">
        <f>SUM(E37:E39)</f>
        <v>2911.0049999999997</v>
      </c>
      <c r="F40" s="211"/>
      <c r="G40" s="211"/>
      <c r="H40" s="211"/>
      <c r="I40" s="211"/>
      <c r="J40" s="214"/>
      <c r="K40" s="254">
        <f>SUM(K37:K39)</f>
        <v>2911.0049999999997</v>
      </c>
      <c r="L40" s="230">
        <f>SUM(L37:L39)</f>
        <v>0</v>
      </c>
      <c r="M40" s="230">
        <f>SUM(M37:M39)</f>
        <v>2911.0049999999997</v>
      </c>
      <c r="N40" s="230">
        <f>SUM(N37:N39)</f>
        <v>0</v>
      </c>
      <c r="O40" s="230">
        <f>SUM(O37:O39)</f>
        <v>2911.0049999999997</v>
      </c>
      <c r="P40" s="231">
        <f t="shared" si="39"/>
        <v>0</v>
      </c>
    </row>
    <row r="41" spans="2:16" s="155" customFormat="1">
      <c r="B41" s="180"/>
      <c r="C41" s="217"/>
      <c r="D41" s="182"/>
      <c r="E41" s="183"/>
      <c r="J41" s="149"/>
      <c r="K41" s="187"/>
      <c r="L41" s="187"/>
      <c r="M41" s="187"/>
      <c r="N41" s="187"/>
      <c r="O41" s="187"/>
      <c r="P41" s="218"/>
    </row>
    <row r="42" spans="2:16" s="155" customFormat="1" ht="15.75" thickBot="1">
      <c r="B42" s="180"/>
      <c r="C42" s="217"/>
      <c r="D42" s="182"/>
      <c r="E42" s="183"/>
      <c r="J42" s="149"/>
      <c r="K42" s="187"/>
      <c r="L42" s="187"/>
      <c r="M42" s="187"/>
      <c r="N42" s="187"/>
      <c r="O42" s="187"/>
      <c r="P42" s="218"/>
    </row>
    <row r="43" spans="2:16" s="155" customFormat="1" ht="15.75" thickBot="1">
      <c r="B43"/>
      <c r="E43" s="571" t="s">
        <v>195</v>
      </c>
      <c r="F43" s="572"/>
      <c r="G43" s="573"/>
      <c r="H43" s="571" t="s">
        <v>196</v>
      </c>
      <c r="I43" s="572"/>
      <c r="J43" s="573"/>
      <c r="K43" s="571" t="s">
        <v>35</v>
      </c>
      <c r="L43" s="572"/>
      <c r="M43" s="572"/>
      <c r="N43" s="572"/>
      <c r="O43" s="572"/>
      <c r="P43" s="573"/>
    </row>
    <row r="44" spans="2:16" s="155" customFormat="1" ht="60.75" thickBot="1">
      <c r="B44" s="105" t="s">
        <v>36</v>
      </c>
      <c r="C44" s="106" t="s">
        <v>197</v>
      </c>
      <c r="D44" s="106" t="s">
        <v>198</v>
      </c>
      <c r="E44" s="107" t="s">
        <v>40</v>
      </c>
      <c r="F44" s="107" t="s">
        <v>199</v>
      </c>
      <c r="G44" s="107" t="s">
        <v>41</v>
      </c>
      <c r="H44" s="106" t="s">
        <v>200</v>
      </c>
      <c r="I44" s="106" t="s">
        <v>201</v>
      </c>
      <c r="J44" s="108" t="s">
        <v>202</v>
      </c>
      <c r="K44" s="250" t="s">
        <v>40</v>
      </c>
      <c r="L44" s="94" t="s">
        <v>199</v>
      </c>
      <c r="M44" s="94" t="s">
        <v>41</v>
      </c>
      <c r="N44" s="93" t="s">
        <v>200</v>
      </c>
      <c r="O44" s="93" t="s">
        <v>201</v>
      </c>
      <c r="P44" s="95" t="s">
        <v>202</v>
      </c>
    </row>
    <row r="45" spans="2:16">
      <c r="B45" s="586" t="s">
        <v>64</v>
      </c>
      <c r="C45" s="232" t="s">
        <v>210</v>
      </c>
      <c r="D45" s="233" t="s">
        <v>226</v>
      </c>
      <c r="E45" s="76">
        <v>336.31900000000002</v>
      </c>
      <c r="F45" s="52"/>
      <c r="G45" s="160">
        <f>+E45+F45</f>
        <v>336.31900000000002</v>
      </c>
      <c r="H45" s="161"/>
      <c r="I45" s="160">
        <f>+G45-H45</f>
        <v>336.31900000000002</v>
      </c>
      <c r="J45" s="216">
        <f>+H45/G45</f>
        <v>0</v>
      </c>
      <c r="K45" s="255">
        <f>+E45</f>
        <v>336.31900000000002</v>
      </c>
      <c r="L45" s="161">
        <f>+F45</f>
        <v>0</v>
      </c>
      <c r="M45" s="160">
        <f>+K45+L45</f>
        <v>336.31900000000002</v>
      </c>
      <c r="N45" s="128">
        <f t="shared" ref="N45:N51" si="41">+H45</f>
        <v>0</v>
      </c>
      <c r="O45" s="160">
        <f>+M45-N45</f>
        <v>336.31900000000002</v>
      </c>
      <c r="P45" s="216">
        <f t="shared" si="39"/>
        <v>0</v>
      </c>
    </row>
    <row r="46" spans="2:16">
      <c r="B46" s="587"/>
      <c r="C46" s="77" t="s">
        <v>212</v>
      </c>
      <c r="D46" s="223" t="s">
        <v>226</v>
      </c>
      <c r="E46" s="44">
        <v>1464.2750000000001</v>
      </c>
      <c r="F46" s="47"/>
      <c r="G46" s="165">
        <f t="shared" ref="G46:G51" si="42">+E46+F46</f>
        <v>1464.2750000000001</v>
      </c>
      <c r="H46" s="131"/>
      <c r="I46" s="165">
        <f t="shared" ref="I46:I51" si="43">+G46-H46</f>
        <v>1464.2750000000001</v>
      </c>
      <c r="J46" s="3">
        <f t="shared" ref="J46:J51" si="44">+H46/G46</f>
        <v>0</v>
      </c>
      <c r="K46" s="332">
        <f t="shared" ref="K46:K51" si="45">+E46</f>
        <v>1464.2750000000001</v>
      </c>
      <c r="L46" s="131">
        <f>+F46</f>
        <v>0</v>
      </c>
      <c r="M46" s="165">
        <f t="shared" ref="M46:M51" si="46">+K46+L46</f>
        <v>1464.2750000000001</v>
      </c>
      <c r="N46" s="129">
        <f t="shared" si="41"/>
        <v>0</v>
      </c>
      <c r="O46" s="165">
        <f t="shared" ref="O46:O51" si="47">+M46-N46</f>
        <v>1464.2750000000001</v>
      </c>
      <c r="P46" s="3">
        <f t="shared" ref="P46:P51" si="48">+N46/M46</f>
        <v>0</v>
      </c>
    </row>
    <row r="47" spans="2:16">
      <c r="B47" s="587"/>
      <c r="C47" s="77" t="s">
        <v>216</v>
      </c>
      <c r="D47" s="223" t="s">
        <v>226</v>
      </c>
      <c r="E47" s="44">
        <v>0.246</v>
      </c>
      <c r="F47" s="47"/>
      <c r="G47" s="165">
        <f t="shared" si="42"/>
        <v>0.246</v>
      </c>
      <c r="H47" s="131"/>
      <c r="I47" s="165">
        <f t="shared" si="43"/>
        <v>0.246</v>
      </c>
      <c r="J47" s="3">
        <f t="shared" si="44"/>
        <v>0</v>
      </c>
      <c r="K47" s="332">
        <f t="shared" si="45"/>
        <v>0.246</v>
      </c>
      <c r="L47" s="131">
        <f t="shared" ref="L47:L51" si="49">+F47</f>
        <v>0</v>
      </c>
      <c r="M47" s="165">
        <f t="shared" si="46"/>
        <v>0.246</v>
      </c>
      <c r="N47" s="129">
        <f t="shared" si="41"/>
        <v>0</v>
      </c>
      <c r="O47" s="165">
        <f t="shared" si="47"/>
        <v>0.246</v>
      </c>
      <c r="P47" s="3">
        <f t="shared" si="48"/>
        <v>0</v>
      </c>
    </row>
    <row r="48" spans="2:16">
      <c r="B48" s="587"/>
      <c r="C48" s="77" t="s">
        <v>227</v>
      </c>
      <c r="D48" s="223" t="s">
        <v>226</v>
      </c>
      <c r="E48" s="44">
        <v>9.4290000000000003</v>
      </c>
      <c r="F48" s="47"/>
      <c r="G48" s="165">
        <f t="shared" si="42"/>
        <v>9.4290000000000003</v>
      </c>
      <c r="H48" s="131"/>
      <c r="I48" s="165">
        <f t="shared" si="43"/>
        <v>9.4290000000000003</v>
      </c>
      <c r="J48" s="3">
        <f t="shared" si="44"/>
        <v>0</v>
      </c>
      <c r="K48" s="332">
        <f t="shared" si="45"/>
        <v>9.4290000000000003</v>
      </c>
      <c r="L48" s="131">
        <f t="shared" si="49"/>
        <v>0</v>
      </c>
      <c r="M48" s="165">
        <f t="shared" si="46"/>
        <v>9.4290000000000003</v>
      </c>
      <c r="N48" s="129">
        <f t="shared" si="41"/>
        <v>0</v>
      </c>
      <c r="O48" s="165">
        <f t="shared" si="47"/>
        <v>9.4290000000000003</v>
      </c>
      <c r="P48" s="3">
        <f t="shared" si="48"/>
        <v>0</v>
      </c>
    </row>
    <row r="49" spans="2:18">
      <c r="B49" s="587"/>
      <c r="C49" s="77" t="s">
        <v>228</v>
      </c>
      <c r="D49" s="223" t="s">
        <v>226</v>
      </c>
      <c r="E49" s="44">
        <v>14.913</v>
      </c>
      <c r="F49" s="47"/>
      <c r="G49" s="165">
        <f t="shared" si="42"/>
        <v>14.913</v>
      </c>
      <c r="H49" s="131"/>
      <c r="I49" s="165">
        <f t="shared" si="43"/>
        <v>14.913</v>
      </c>
      <c r="J49" s="3">
        <f t="shared" si="44"/>
        <v>0</v>
      </c>
      <c r="K49" s="332">
        <f t="shared" si="45"/>
        <v>14.913</v>
      </c>
      <c r="L49" s="131">
        <f t="shared" si="49"/>
        <v>0</v>
      </c>
      <c r="M49" s="165">
        <f t="shared" si="46"/>
        <v>14.913</v>
      </c>
      <c r="N49" s="129">
        <f t="shared" si="41"/>
        <v>0</v>
      </c>
      <c r="O49" s="165">
        <f t="shared" si="47"/>
        <v>14.913</v>
      </c>
      <c r="P49" s="3">
        <f t="shared" si="48"/>
        <v>0</v>
      </c>
    </row>
    <row r="50" spans="2:18">
      <c r="B50" s="587"/>
      <c r="C50" s="234" t="s">
        <v>222</v>
      </c>
      <c r="D50" s="223" t="s">
        <v>226</v>
      </c>
      <c r="E50" s="44">
        <v>4.8849999999999998</v>
      </c>
      <c r="F50" s="47"/>
      <c r="G50" s="165">
        <f t="shared" si="42"/>
        <v>4.8849999999999998</v>
      </c>
      <c r="H50" s="131"/>
      <c r="I50" s="165">
        <f t="shared" si="43"/>
        <v>4.8849999999999998</v>
      </c>
      <c r="J50" s="3">
        <f t="shared" si="44"/>
        <v>0</v>
      </c>
      <c r="K50" s="332">
        <f t="shared" si="45"/>
        <v>4.8849999999999998</v>
      </c>
      <c r="L50" s="131">
        <f t="shared" si="49"/>
        <v>0</v>
      </c>
      <c r="M50" s="165">
        <f t="shared" si="46"/>
        <v>4.8849999999999998</v>
      </c>
      <c r="N50" s="129">
        <f t="shared" si="41"/>
        <v>0</v>
      </c>
      <c r="O50" s="165">
        <f t="shared" si="47"/>
        <v>4.8849999999999998</v>
      </c>
      <c r="P50" s="3">
        <f t="shared" si="48"/>
        <v>0</v>
      </c>
    </row>
    <row r="51" spans="2:18">
      <c r="B51" s="587"/>
      <c r="C51" s="234" t="s">
        <v>229</v>
      </c>
      <c r="D51" s="223" t="s">
        <v>226</v>
      </c>
      <c r="E51" s="44">
        <v>628.553</v>
      </c>
      <c r="F51" s="47"/>
      <c r="G51" s="165">
        <f t="shared" si="42"/>
        <v>628.553</v>
      </c>
      <c r="H51" s="131"/>
      <c r="I51" s="165">
        <f t="shared" si="43"/>
        <v>628.553</v>
      </c>
      <c r="J51" s="3">
        <f t="shared" si="44"/>
        <v>0</v>
      </c>
      <c r="K51" s="332">
        <f t="shared" si="45"/>
        <v>628.553</v>
      </c>
      <c r="L51" s="131">
        <f t="shared" si="49"/>
        <v>0</v>
      </c>
      <c r="M51" s="165">
        <f t="shared" si="46"/>
        <v>628.553</v>
      </c>
      <c r="N51" s="129">
        <f t="shared" si="41"/>
        <v>0</v>
      </c>
      <c r="O51" s="165">
        <f t="shared" si="47"/>
        <v>628.553</v>
      </c>
      <c r="P51" s="3">
        <f t="shared" si="48"/>
        <v>0</v>
      </c>
    </row>
    <row r="52" spans="2:18">
      <c r="B52" s="588"/>
      <c r="C52" s="341" t="s">
        <v>221</v>
      </c>
      <c r="D52" s="223" t="s">
        <v>226</v>
      </c>
      <c r="E52" s="44">
        <v>0</v>
      </c>
      <c r="F52" s="47">
        <v>0.17199999999999999</v>
      </c>
      <c r="G52" s="165">
        <f t="shared" ref="G52" si="50">+E52+F52</f>
        <v>0.17199999999999999</v>
      </c>
      <c r="H52" s="131"/>
      <c r="I52" s="165">
        <f t="shared" ref="I52" si="51">+G52-H52</f>
        <v>0.17199999999999999</v>
      </c>
      <c r="J52" s="3">
        <f t="shared" ref="J52" si="52">+H52/G52</f>
        <v>0</v>
      </c>
      <c r="K52" s="332">
        <f t="shared" ref="K52" si="53">+E52</f>
        <v>0</v>
      </c>
      <c r="L52" s="131">
        <f t="shared" ref="L52" si="54">+F52</f>
        <v>0.17199999999999999</v>
      </c>
      <c r="M52" s="165">
        <f t="shared" ref="M52" si="55">+K52+L52</f>
        <v>0.17199999999999999</v>
      </c>
      <c r="N52" s="129">
        <f t="shared" ref="N52" si="56">+H52</f>
        <v>0</v>
      </c>
      <c r="O52" s="165">
        <f t="shared" ref="O52" si="57">+M52-N52</f>
        <v>0.17199999999999999</v>
      </c>
      <c r="P52" s="3">
        <f t="shared" ref="P52" si="58">+N52/M52</f>
        <v>0</v>
      </c>
    </row>
    <row r="53" spans="2:18" ht="15.75" thickBot="1">
      <c r="B53" s="589"/>
      <c r="C53" s="235" t="s">
        <v>230</v>
      </c>
      <c r="D53" s="236" t="s">
        <v>226</v>
      </c>
      <c r="E53" s="67">
        <v>2.88</v>
      </c>
      <c r="F53" s="68">
        <v>-0.17199999999999999</v>
      </c>
      <c r="G53" s="169">
        <f t="shared" ref="G53" si="59">+E53+F53</f>
        <v>2.7079999999999997</v>
      </c>
      <c r="H53" s="170"/>
      <c r="I53" s="169">
        <f t="shared" ref="I53" si="60">+G53-H53</f>
        <v>2.7079999999999997</v>
      </c>
      <c r="J53" s="237">
        <f t="shared" ref="J53" si="61">+H53/G53</f>
        <v>0</v>
      </c>
      <c r="K53" s="256">
        <f t="shared" ref="K53" si="62">+E53</f>
        <v>2.88</v>
      </c>
      <c r="L53" s="170">
        <f t="shared" ref="L53" si="63">+F53</f>
        <v>-0.17199999999999999</v>
      </c>
      <c r="M53" s="169">
        <f t="shared" ref="M53" si="64">+K53+L53</f>
        <v>2.7079999999999997</v>
      </c>
      <c r="N53" s="171">
        <f t="shared" ref="N53" si="65">+H53</f>
        <v>0</v>
      </c>
      <c r="O53" s="169">
        <f t="shared" ref="O53" si="66">+M53-N53</f>
        <v>2.7079999999999997</v>
      </c>
      <c r="P53" s="237">
        <f t="shared" ref="P53" si="67">+N53/M53</f>
        <v>0</v>
      </c>
    </row>
    <row r="54" spans="2:18" s="155" customFormat="1" ht="15.75" thickBot="1">
      <c r="E54" s="229">
        <f>SUM(E45:E53)</f>
        <v>2461.5000000000005</v>
      </c>
      <c r="F54" s="211">
        <f>SUM(F45:F53)</f>
        <v>0</v>
      </c>
      <c r="G54" s="211"/>
      <c r="H54" s="211"/>
      <c r="I54" s="211"/>
      <c r="J54" s="257"/>
      <c r="K54" s="249">
        <f>SUM(K45:K53)</f>
        <v>2461.5000000000005</v>
      </c>
      <c r="L54" s="212">
        <f>SUM(L45:L53)</f>
        <v>0</v>
      </c>
      <c r="M54" s="212">
        <f>SUM(M45:M53)</f>
        <v>2461.5000000000005</v>
      </c>
      <c r="N54" s="213">
        <f>SUM(N45:N53)</f>
        <v>0</v>
      </c>
      <c r="O54" s="212">
        <f>SUM(O45:O53)</f>
        <v>2461.5000000000005</v>
      </c>
      <c r="P54" s="214">
        <f>+N54/M54</f>
        <v>0</v>
      </c>
    </row>
    <row r="55" spans="2:18" s="155" customFormat="1">
      <c r="J55" s="150"/>
      <c r="N55" s="156"/>
    </row>
    <row r="56" spans="2:18" s="155" customFormat="1">
      <c r="K56" s="151"/>
      <c r="N56" s="156"/>
    </row>
    <row r="57" spans="2:18" s="155" customFormat="1">
      <c r="E57" s="104"/>
      <c r="K57" s="151"/>
      <c r="N57" s="156"/>
      <c r="Q57" s="194"/>
      <c r="R57" s="194"/>
    </row>
    <row r="58" spans="2:18" s="155" customFormat="1">
      <c r="B58" s="156"/>
      <c r="K58" s="151"/>
      <c r="N58" s="156"/>
      <c r="Q58" s="194"/>
      <c r="R58" s="194"/>
    </row>
    <row r="59" spans="2:18" s="155" customFormat="1">
      <c r="K59" s="151"/>
      <c r="N59" s="156"/>
      <c r="Q59" s="194"/>
      <c r="R59" s="194"/>
    </row>
    <row r="60" spans="2:18" s="155" customFormat="1" ht="16.5" customHeight="1">
      <c r="K60" s="151"/>
      <c r="M60" s="156"/>
      <c r="Q60" s="194"/>
      <c r="R60" s="194"/>
    </row>
    <row r="61" spans="2:18" s="155" customFormat="1" ht="15" customHeight="1">
      <c r="K61" s="151"/>
      <c r="M61" s="156"/>
      <c r="Q61" s="194"/>
      <c r="R61" s="194"/>
    </row>
    <row r="62" spans="2:18" s="155" customFormat="1" ht="15.75" customHeight="1">
      <c r="K62" s="151"/>
      <c r="M62" s="156"/>
      <c r="Q62" s="194"/>
      <c r="R62" s="194"/>
    </row>
    <row r="63" spans="2:18" s="155" customFormat="1">
      <c r="K63" s="151"/>
      <c r="Q63" s="194"/>
      <c r="R63" s="194"/>
    </row>
    <row r="64" spans="2:18" s="155" customFormat="1">
      <c r="C64" s="195"/>
      <c r="K64" s="151"/>
      <c r="Q64" s="194"/>
      <c r="R64" s="194"/>
    </row>
    <row r="65" spans="3:18" s="155" customFormat="1">
      <c r="C65" s="195"/>
      <c r="K65" s="151"/>
      <c r="Q65" s="194"/>
      <c r="R65" s="194"/>
    </row>
    <row r="66" spans="3:18" s="155" customFormat="1">
      <c r="C66" s="195"/>
      <c r="K66" s="151"/>
      <c r="Q66" s="194"/>
      <c r="R66" s="194"/>
    </row>
    <row r="67" spans="3:18" s="155" customFormat="1">
      <c r="C67" s="195"/>
      <c r="K67" s="151"/>
      <c r="Q67" s="194"/>
      <c r="R67" s="194"/>
    </row>
    <row r="68" spans="3:18" s="155" customFormat="1">
      <c r="C68" s="195"/>
      <c r="K68" s="151"/>
      <c r="Q68" s="194"/>
      <c r="R68" s="194"/>
    </row>
    <row r="69" spans="3:18" s="155" customFormat="1">
      <c r="C69" s="195"/>
      <c r="K69" s="151"/>
      <c r="Q69" s="194"/>
      <c r="R69" s="194"/>
    </row>
    <row r="70" spans="3:18" s="155" customFormat="1">
      <c r="C70" s="195"/>
      <c r="K70" s="151"/>
      <c r="Q70" s="194"/>
      <c r="R70" s="194"/>
    </row>
    <row r="71" spans="3:18" s="155" customFormat="1">
      <c r="C71" s="195"/>
      <c r="K71" s="151"/>
      <c r="Q71" s="194"/>
      <c r="R71" s="194"/>
    </row>
    <row r="72" spans="3:18" s="155" customFormat="1">
      <c r="C72" s="195"/>
      <c r="K72" s="151"/>
      <c r="Q72" s="194"/>
      <c r="R72" s="194"/>
    </row>
    <row r="73" spans="3:18" s="155" customFormat="1">
      <c r="C73" s="195"/>
      <c r="K73" s="151"/>
      <c r="Q73" s="194"/>
      <c r="R73" s="194"/>
    </row>
    <row r="74" spans="3:18" s="155" customFormat="1">
      <c r="C74" s="195"/>
      <c r="K74" s="151"/>
      <c r="Q74" s="194"/>
      <c r="R74" s="194"/>
    </row>
    <row r="75" spans="3:18" s="155" customFormat="1">
      <c r="C75" s="195"/>
      <c r="K75" s="151"/>
      <c r="Q75" s="194"/>
      <c r="R75" s="194"/>
    </row>
    <row r="76" spans="3:18" s="155" customFormat="1">
      <c r="C76" s="195"/>
      <c r="K76" s="151"/>
      <c r="Q76" s="194"/>
      <c r="R76" s="194"/>
    </row>
    <row r="77" spans="3:18" s="155" customFormat="1">
      <c r="C77" s="195"/>
      <c r="K77" s="151"/>
      <c r="Q77" s="194"/>
      <c r="R77" s="194"/>
    </row>
    <row r="78" spans="3:18" s="155" customFormat="1">
      <c r="C78" s="195"/>
      <c r="K78" s="151"/>
      <c r="Q78" s="194"/>
      <c r="R78" s="194"/>
    </row>
    <row r="79" spans="3:18" s="155" customFormat="1">
      <c r="C79" s="195"/>
      <c r="K79" s="151"/>
      <c r="Q79" s="194"/>
      <c r="R79" s="194"/>
    </row>
    <row r="80" spans="3:18" s="155" customFormat="1">
      <c r="C80" s="195"/>
      <c r="K80" s="151"/>
      <c r="Q80" s="194"/>
      <c r="R80" s="194"/>
    </row>
    <row r="81" spans="3:18" s="155" customFormat="1">
      <c r="C81" s="195"/>
      <c r="K81" s="151"/>
      <c r="Q81" s="194"/>
      <c r="R81" s="194"/>
    </row>
    <row r="82" spans="3:18" s="155" customFormat="1">
      <c r="C82" s="195"/>
      <c r="K82" s="151"/>
      <c r="Q82" s="194"/>
      <c r="R82" s="194"/>
    </row>
    <row r="83" spans="3:18" s="155" customFormat="1">
      <c r="C83" s="195"/>
      <c r="K83" s="151"/>
      <c r="Q83" s="194"/>
      <c r="R83" s="194"/>
    </row>
    <row r="84" spans="3:18" s="155" customFormat="1">
      <c r="C84" s="195"/>
      <c r="K84" s="151"/>
      <c r="Q84" s="194"/>
      <c r="R84" s="194"/>
    </row>
    <row r="85" spans="3:18" s="155" customFormat="1">
      <c r="C85" s="195"/>
      <c r="K85" s="151"/>
      <c r="Q85" s="194"/>
      <c r="R85" s="194"/>
    </row>
    <row r="86" spans="3:18" s="155" customFormat="1">
      <c r="C86" s="195"/>
      <c r="K86" s="151"/>
      <c r="Q86" s="194"/>
      <c r="R86" s="194"/>
    </row>
    <row r="87" spans="3:18" s="155" customFormat="1">
      <c r="C87" s="195"/>
      <c r="K87" s="151"/>
      <c r="Q87" s="194"/>
      <c r="R87" s="194"/>
    </row>
    <row r="88" spans="3:18" s="155" customFormat="1">
      <c r="C88" s="195"/>
      <c r="K88" s="151"/>
      <c r="Q88" s="194"/>
      <c r="R88" s="194"/>
    </row>
    <row r="89" spans="3:18" s="155" customFormat="1">
      <c r="C89" s="195"/>
      <c r="K89" s="151"/>
      <c r="Q89" s="194"/>
      <c r="R89" s="194"/>
    </row>
    <row r="90" spans="3:18">
      <c r="C90" s="4"/>
      <c r="J90"/>
      <c r="K90" s="29"/>
      <c r="N90"/>
      <c r="Q90" s="194"/>
      <c r="R90" s="194"/>
    </row>
    <row r="91" spans="3:18">
      <c r="C91" s="4"/>
      <c r="J91"/>
      <c r="K91" s="29"/>
      <c r="N91"/>
      <c r="Q91" s="194"/>
      <c r="R91" s="194"/>
    </row>
    <row r="92" spans="3:18">
      <c r="C92" s="4"/>
      <c r="J92"/>
      <c r="K92" s="29"/>
      <c r="N92"/>
      <c r="Q92" s="194"/>
      <c r="R92" s="194"/>
    </row>
    <row r="93" spans="3:18">
      <c r="J93"/>
      <c r="K93" s="29"/>
      <c r="N93"/>
      <c r="Q93" s="194"/>
      <c r="R93" s="194"/>
    </row>
    <row r="94" spans="3:18">
      <c r="J94"/>
      <c r="K94" s="29"/>
      <c r="N94"/>
      <c r="Q94" s="194"/>
      <c r="R94" s="194"/>
    </row>
    <row r="95" spans="3:18">
      <c r="J95"/>
      <c r="K95" s="29"/>
      <c r="N95"/>
      <c r="Q95" s="194"/>
      <c r="R95" s="194"/>
    </row>
    <row r="96" spans="3:18">
      <c r="J96"/>
      <c r="K96" s="29"/>
      <c r="N96"/>
      <c r="Q96" s="194"/>
      <c r="R96" s="194"/>
    </row>
    <row r="97" spans="6:18">
      <c r="J97"/>
      <c r="K97" s="29"/>
      <c r="N97"/>
      <c r="Q97" s="194"/>
      <c r="R97" s="194"/>
    </row>
    <row r="98" spans="6:18">
      <c r="J98"/>
      <c r="K98" s="29"/>
      <c r="N98"/>
      <c r="Q98" s="194"/>
      <c r="R98" s="194"/>
    </row>
    <row r="99" spans="6:18">
      <c r="F99" s="196"/>
      <c r="J99"/>
      <c r="N99"/>
      <c r="Q99" s="194"/>
      <c r="R99" s="194"/>
    </row>
    <row r="100" spans="6:18">
      <c r="J100"/>
      <c r="N100"/>
      <c r="Q100" s="194"/>
      <c r="R100" s="194"/>
    </row>
    <row r="101" spans="6:18">
      <c r="J101"/>
      <c r="N101"/>
    </row>
    <row r="102" spans="6:18">
      <c r="J102"/>
      <c r="N102"/>
    </row>
    <row r="103" spans="6:18">
      <c r="J103"/>
      <c r="N103"/>
    </row>
    <row r="104" spans="6:18">
      <c r="J104"/>
      <c r="N104"/>
    </row>
    <row r="105" spans="6:18">
      <c r="J105"/>
      <c r="N105"/>
    </row>
    <row r="106" spans="6:18">
      <c r="J106"/>
      <c r="N106"/>
    </row>
    <row r="107" spans="6:18">
      <c r="J107"/>
      <c r="N107"/>
    </row>
    <row r="108" spans="6:18">
      <c r="J108"/>
      <c r="N108"/>
    </row>
    <row r="109" spans="6:18" ht="15" customHeight="1">
      <c r="J109"/>
    </row>
    <row r="110" spans="6:18" ht="15.75" customHeight="1">
      <c r="J110"/>
    </row>
  </sheetData>
  <sortState xmlns:xlrd2="http://schemas.microsoft.com/office/spreadsheetml/2017/richdata2" ref="C12:C37">
    <sortCondition ref="C12"/>
  </sortState>
  <mergeCells count="18">
    <mergeCell ref="B45:B53"/>
    <mergeCell ref="K5:P5"/>
    <mergeCell ref="B18:B31"/>
    <mergeCell ref="B37:B39"/>
    <mergeCell ref="B7:B12"/>
    <mergeCell ref="E16:G16"/>
    <mergeCell ref="H16:J16"/>
    <mergeCell ref="K16:P16"/>
    <mergeCell ref="E35:G35"/>
    <mergeCell ref="H35:J35"/>
    <mergeCell ref="K35:P35"/>
    <mergeCell ref="E43:G43"/>
    <mergeCell ref="H43:J43"/>
    <mergeCell ref="K43:P43"/>
    <mergeCell ref="B1:P2"/>
    <mergeCell ref="B3:P3"/>
    <mergeCell ref="H5:J5"/>
    <mergeCell ref="E5:G5"/>
  </mergeCells>
  <conditionalFormatting sqref="J7:J15 P7:P15 J18:J34 P18:P34 J37:J42 P37:P42 J45:J53 P45:P54">
    <cfRule type="cellIs" dxfId="0" priority="2" operator="greaterThan">
      <formula>0.9</formula>
    </cfRule>
  </conditionalFormatting>
  <pageMargins left="0.7" right="0.7" top="0.75" bottom="0.75" header="0.3" footer="0.3"/>
  <pageSetup paperSize="9" orientation="portrait" r:id="rId1"/>
  <ignoredErrors>
    <ignoredError sqref="M37 M32:O32 M7 M18 M50:M51 G39 M29 M20:M22 M45:M49 M23:M27" 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5"/>
  <sheetViews>
    <sheetView workbookViewId="0">
      <selection activeCell="B2" sqref="B2:I2"/>
    </sheetView>
  </sheetViews>
  <sheetFormatPr defaultColWidth="11.42578125" defaultRowHeight="15"/>
  <cols>
    <col min="2" max="2" width="18.7109375" customWidth="1"/>
    <col min="3" max="3" width="27.28515625" customWidth="1"/>
    <col min="4" max="4" width="22.28515625" hidden="1" customWidth="1"/>
    <col min="5" max="5" width="24.42578125" bestFit="1" customWidth="1"/>
    <col min="6" max="6" width="10.7109375" bestFit="1" customWidth="1"/>
    <col min="7" max="7" width="12.7109375" bestFit="1" customWidth="1"/>
    <col min="8" max="8" width="13.42578125" bestFit="1" customWidth="1"/>
  </cols>
  <sheetData>
    <row r="2" spans="2:9">
      <c r="B2" s="598" t="s">
        <v>231</v>
      </c>
      <c r="C2" s="598"/>
      <c r="D2" s="598"/>
      <c r="E2" s="598"/>
      <c r="F2" s="598"/>
      <c r="G2" s="598"/>
      <c r="H2" s="598"/>
      <c r="I2" s="598"/>
    </row>
    <row r="3" spans="2:9">
      <c r="B3" s="599" t="e">
        <f>Resumen!#REF!</f>
        <v>#REF!</v>
      </c>
      <c r="C3" s="599"/>
      <c r="D3" s="599"/>
      <c r="E3" s="599"/>
      <c r="F3" s="599"/>
      <c r="G3" s="599"/>
      <c r="H3" s="599"/>
      <c r="I3" s="599"/>
    </row>
    <row r="4" spans="2:9">
      <c r="B4" s="5"/>
      <c r="C4" s="5"/>
      <c r="D4" s="5"/>
      <c r="E4" s="5"/>
      <c r="F4" s="5"/>
      <c r="G4" s="5"/>
      <c r="H4" s="5"/>
      <c r="I4" s="5"/>
    </row>
    <row r="5" spans="2:9">
      <c r="B5" s="333" t="s">
        <v>232</v>
      </c>
      <c r="C5" s="333" t="s">
        <v>38</v>
      </c>
      <c r="D5" s="333" t="s">
        <v>198</v>
      </c>
      <c r="E5" s="333" t="s">
        <v>233</v>
      </c>
      <c r="F5" s="333" t="s">
        <v>234</v>
      </c>
      <c r="G5" s="333" t="s">
        <v>235</v>
      </c>
      <c r="H5" s="333" t="s">
        <v>236</v>
      </c>
      <c r="I5" s="333" t="s">
        <v>46</v>
      </c>
    </row>
  </sheetData>
  <mergeCells count="2">
    <mergeCell ref="B2:I2"/>
    <mergeCell ref="B3:I3"/>
  </mergeCells>
  <phoneticPr fontId="29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P41"/>
  <sheetViews>
    <sheetView workbookViewId="0">
      <selection activeCell="M11" sqref="M11"/>
    </sheetView>
  </sheetViews>
  <sheetFormatPr defaultColWidth="11.42578125" defaultRowHeight="15"/>
  <cols>
    <col min="1" max="1" width="11.42578125" style="5"/>
    <col min="2" max="2" width="20.7109375" style="5" customWidth="1"/>
    <col min="3" max="3" width="15.5703125" style="5" customWidth="1"/>
    <col min="4" max="5" width="18.42578125" style="5" customWidth="1"/>
    <col min="6" max="6" width="13.42578125" style="5" customWidth="1"/>
    <col min="7" max="7" width="11.42578125" style="5"/>
    <col min="8" max="8" width="14.42578125" style="5" customWidth="1"/>
    <col min="9" max="16384" width="11.42578125" style="5"/>
  </cols>
  <sheetData>
    <row r="3" spans="1:16">
      <c r="C3" s="600" t="s">
        <v>237</v>
      </c>
      <c r="D3" s="600"/>
      <c r="E3" s="600"/>
      <c r="F3" s="600"/>
      <c r="G3" s="600"/>
      <c r="H3" s="600"/>
    </row>
    <row r="4" spans="1:16">
      <c r="C4" s="601" t="e">
        <f>Resumen!#REF!</f>
        <v>#REF!</v>
      </c>
      <c r="D4" s="601"/>
      <c r="E4" s="601"/>
      <c r="F4" s="601"/>
      <c r="G4" s="601"/>
      <c r="H4" s="601"/>
      <c r="O4" s="600" t="s">
        <v>238</v>
      </c>
      <c r="P4" s="600"/>
    </row>
    <row r="5" spans="1:16">
      <c r="B5" s="334" t="s">
        <v>239</v>
      </c>
      <c r="C5" s="334" t="s">
        <v>78</v>
      </c>
      <c r="D5" s="334" t="s">
        <v>79</v>
      </c>
      <c r="E5" s="334" t="s">
        <v>77</v>
      </c>
      <c r="F5" s="334" t="s">
        <v>3</v>
      </c>
      <c r="G5" s="334" t="s">
        <v>240</v>
      </c>
      <c r="H5" s="334" t="s">
        <v>8</v>
      </c>
      <c r="I5" s="334" t="s">
        <v>9</v>
      </c>
      <c r="J5" s="9"/>
      <c r="O5" s="268" t="s">
        <v>12</v>
      </c>
      <c r="P5" s="129" t="e">
        <f>+#REF!+H19+H26+H33+H42</f>
        <v>#REF!</v>
      </c>
    </row>
    <row r="6" spans="1:16">
      <c r="A6" s="10"/>
      <c r="O6" s="268" t="s">
        <v>83</v>
      </c>
      <c r="P6" s="129"/>
    </row>
    <row r="7" spans="1:16">
      <c r="A7" s="10"/>
    </row>
    <row r="8" spans="1:16">
      <c r="A8" s="10"/>
    </row>
    <row r="14" spans="1:16">
      <c r="A14" s="7"/>
    </row>
    <row r="15" spans="1:16">
      <c r="A15" s="7"/>
    </row>
    <row r="16" spans="1:16">
      <c r="A16" s="7"/>
    </row>
    <row r="17" spans="1:10">
      <c r="A17" s="7"/>
    </row>
    <row r="18" spans="1:10">
      <c r="B18" s="8"/>
      <c r="C18" s="8"/>
      <c r="J18" s="7"/>
    </row>
    <row r="19" spans="1:10">
      <c r="B19" s="8"/>
      <c r="C19" s="8"/>
    </row>
    <row r="23" spans="1:10"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B24" s="11"/>
      <c r="C24" s="8"/>
      <c r="J24" s="10"/>
    </row>
    <row r="25" spans="1:10">
      <c r="B25" s="11"/>
      <c r="C25" s="8"/>
      <c r="J25" s="10"/>
    </row>
    <row r="30" spans="1:10">
      <c r="B30" s="9"/>
      <c r="C30" s="9"/>
      <c r="D30" s="9"/>
      <c r="E30" s="9"/>
      <c r="F30" s="9"/>
      <c r="G30" s="9"/>
      <c r="H30" s="9"/>
      <c r="I30" s="9"/>
      <c r="J30" s="9"/>
    </row>
    <row r="31" spans="1:10">
      <c r="B31" s="11"/>
      <c r="C31" s="8"/>
      <c r="J31" s="10"/>
    </row>
    <row r="32" spans="1:10">
      <c r="B32" s="11"/>
      <c r="C32" s="8"/>
      <c r="J32" s="10"/>
    </row>
    <row r="37" spans="2:10">
      <c r="B37" s="9"/>
      <c r="C37" s="9"/>
      <c r="D37" s="9"/>
      <c r="E37" s="9"/>
      <c r="F37" s="9"/>
      <c r="G37" s="9"/>
      <c r="H37" s="9"/>
      <c r="I37" s="9"/>
      <c r="J37" s="9"/>
    </row>
    <row r="38" spans="2:10">
      <c r="B38" s="8"/>
      <c r="C38" s="8"/>
      <c r="J38" s="7"/>
    </row>
    <row r="39" spans="2:10">
      <c r="B39" s="8"/>
      <c r="C39" s="8"/>
      <c r="J39" s="7"/>
    </row>
    <row r="40" spans="2:10">
      <c r="B40" s="8"/>
      <c r="C40" s="8"/>
      <c r="J40" s="7"/>
    </row>
    <row r="41" spans="2:10">
      <c r="B41" s="8"/>
      <c r="C41" s="8"/>
      <c r="J41" s="7"/>
    </row>
  </sheetData>
  <mergeCells count="3">
    <mergeCell ref="C3:H3"/>
    <mergeCell ref="C4:H4"/>
    <mergeCell ref="O4:P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Q58"/>
  <sheetViews>
    <sheetView zoomScale="90" zoomScaleNormal="90" workbookViewId="0">
      <selection activeCell="G15" sqref="G15"/>
    </sheetView>
  </sheetViews>
  <sheetFormatPr defaultColWidth="11.42578125" defaultRowHeight="15"/>
  <cols>
    <col min="1" max="2" width="19" bestFit="1" customWidth="1"/>
    <col min="4" max="4" width="17.85546875" bestFit="1" customWidth="1"/>
    <col min="5" max="5" width="29.5703125" bestFit="1" customWidth="1"/>
    <col min="9" max="9" width="18.140625" bestFit="1" customWidth="1"/>
    <col min="14" max="14" width="11.42578125" style="4"/>
  </cols>
  <sheetData>
    <row r="1" spans="1:17">
      <c r="A1" s="335" t="s">
        <v>241</v>
      </c>
      <c r="B1" s="335" t="s">
        <v>242</v>
      </c>
      <c r="C1" s="335" t="s">
        <v>243</v>
      </c>
      <c r="D1" s="335" t="s">
        <v>244</v>
      </c>
      <c r="E1" s="336" t="s">
        <v>245</v>
      </c>
      <c r="F1" s="335" t="s">
        <v>246</v>
      </c>
      <c r="G1" s="335" t="s">
        <v>247</v>
      </c>
      <c r="H1" s="335" t="s">
        <v>248</v>
      </c>
      <c r="I1" s="335" t="s">
        <v>249</v>
      </c>
      <c r="J1" s="335" t="s">
        <v>250</v>
      </c>
      <c r="K1" s="335" t="s">
        <v>251</v>
      </c>
      <c r="L1" s="335" t="s">
        <v>252</v>
      </c>
      <c r="M1" s="337" t="s">
        <v>253</v>
      </c>
      <c r="N1" s="338" t="s">
        <v>254</v>
      </c>
      <c r="O1" s="339" t="s">
        <v>255</v>
      </c>
      <c r="P1" s="164" t="s">
        <v>256</v>
      </c>
      <c r="Q1" s="164" t="s">
        <v>257</v>
      </c>
    </row>
    <row r="2" spans="1:17">
      <c r="A2" t="s">
        <v>258</v>
      </c>
      <c r="B2" t="s">
        <v>258</v>
      </c>
      <c r="C2" t="s">
        <v>187</v>
      </c>
      <c r="D2" t="s">
        <v>259</v>
      </c>
      <c r="E2" t="str">
        <f>+Industrial!C7</f>
        <v>ARICA SEAFOOD PRODUCER S.A.</v>
      </c>
      <c r="F2" s="4">
        <v>45658</v>
      </c>
      <c r="G2" s="4">
        <v>46022</v>
      </c>
      <c r="H2">
        <f>+Industrial!E7</f>
        <v>4232.9580000000005</v>
      </c>
      <c r="I2">
        <f>+Industrial!F7</f>
        <v>-4232.9579999999996</v>
      </c>
      <c r="J2">
        <f>+Industrial!G7</f>
        <v>0</v>
      </c>
      <c r="K2">
        <f>+Industrial!H7</f>
        <v>0</v>
      </c>
      <c r="L2">
        <f>+Industrial!I7</f>
        <v>0</v>
      </c>
      <c r="M2" s="1">
        <f>+Industrial!J7</f>
        <v>0</v>
      </c>
      <c r="N2" s="6" t="s">
        <v>15</v>
      </c>
      <c r="O2" s="4">
        <f>Resumen!B$4</f>
        <v>45763</v>
      </c>
      <c r="P2">
        <v>2025</v>
      </c>
    </row>
    <row r="3" spans="1:17">
      <c r="A3" t="s">
        <v>258</v>
      </c>
      <c r="B3" t="s">
        <v>258</v>
      </c>
      <c r="C3" t="s">
        <v>187</v>
      </c>
      <c r="D3" t="s">
        <v>259</v>
      </c>
      <c r="E3" t="str">
        <f>+Industrial!C8</f>
        <v>CAMANCHACA S.A</v>
      </c>
      <c r="F3" s="4">
        <v>45658</v>
      </c>
      <c r="G3" s="4">
        <v>46022</v>
      </c>
      <c r="H3">
        <f>+Industrial!E8</f>
        <v>116209.10900000003</v>
      </c>
      <c r="I3">
        <f>+Industrial!F8</f>
        <v>-15000</v>
      </c>
      <c r="J3">
        <f>+Industrial!G8</f>
        <v>101209.10900000003</v>
      </c>
      <c r="K3">
        <f>+Industrial!H8</f>
        <v>0</v>
      </c>
      <c r="L3">
        <f>+Industrial!I8</f>
        <v>101209.10900000003</v>
      </c>
      <c r="M3" s="1">
        <f>+Industrial!J8</f>
        <v>0</v>
      </c>
      <c r="N3" s="6" t="s">
        <v>15</v>
      </c>
      <c r="O3" s="4">
        <f>Resumen!B$4</f>
        <v>45763</v>
      </c>
      <c r="P3">
        <v>2025</v>
      </c>
    </row>
    <row r="4" spans="1:17">
      <c r="A4" t="s">
        <v>258</v>
      </c>
      <c r="B4" t="s">
        <v>258</v>
      </c>
      <c r="C4" t="s">
        <v>187</v>
      </c>
      <c r="D4" t="s">
        <v>259</v>
      </c>
      <c r="E4" t="str">
        <f>+Industrial!C9</f>
        <v>CORPESCA S.A</v>
      </c>
      <c r="F4" s="4">
        <v>45658</v>
      </c>
      <c r="G4" s="4">
        <v>46022</v>
      </c>
      <c r="H4">
        <f>+Industrial!E9</f>
        <v>342666.03900000005</v>
      </c>
      <c r="I4">
        <f>+Industrial!F9</f>
        <v>-170000</v>
      </c>
      <c r="J4">
        <f>+Industrial!G9</f>
        <v>172666.03900000005</v>
      </c>
      <c r="K4">
        <f>+Industrial!H9</f>
        <v>14.260999999999999</v>
      </c>
      <c r="L4">
        <f>+Industrial!I9</f>
        <v>172651.77800000005</v>
      </c>
      <c r="M4" s="1">
        <f>+Industrial!J9</f>
        <v>8.2592964329250619E-5</v>
      </c>
      <c r="N4" s="6" t="s">
        <v>15</v>
      </c>
      <c r="O4" s="4">
        <f>Resumen!B$4</f>
        <v>45763</v>
      </c>
      <c r="P4">
        <v>2025</v>
      </c>
    </row>
    <row r="5" spans="1:17">
      <c r="A5" t="s">
        <v>258</v>
      </c>
      <c r="B5" t="s">
        <v>258</v>
      </c>
      <c r="C5" t="s">
        <v>187</v>
      </c>
      <c r="D5" t="s">
        <v>259</v>
      </c>
      <c r="E5" t="str">
        <f>+Industrial!C10</f>
        <v>DECASUR SPA</v>
      </c>
      <c r="F5" s="4">
        <v>45658</v>
      </c>
      <c r="G5" s="4">
        <v>46022</v>
      </c>
      <c r="H5">
        <f>+Industrial!E10</f>
        <v>4325.8679999999995</v>
      </c>
      <c r="I5">
        <f>+Industrial!F10</f>
        <v>-3364.5639999999999</v>
      </c>
      <c r="J5">
        <f>+Industrial!G10</f>
        <v>961.30399999999963</v>
      </c>
      <c r="K5">
        <f>+Industrial!H10</f>
        <v>0</v>
      </c>
      <c r="L5">
        <f>+Industrial!I10</f>
        <v>961.30399999999963</v>
      </c>
      <c r="M5" s="1">
        <f>+Industrial!J10</f>
        <v>0</v>
      </c>
      <c r="N5" s="6" t="s">
        <v>15</v>
      </c>
      <c r="O5" s="4">
        <f>Resumen!B$4</f>
        <v>45763</v>
      </c>
      <c r="P5">
        <v>2025</v>
      </c>
    </row>
    <row r="6" spans="1:17">
      <c r="A6" t="s">
        <v>258</v>
      </c>
      <c r="B6" t="s">
        <v>258</v>
      </c>
      <c r="C6" t="s">
        <v>187</v>
      </c>
      <c r="D6" t="s">
        <v>259</v>
      </c>
      <c r="E6" t="str">
        <f>+Industrial!C11</f>
        <v>LOTE RENUNCIADO</v>
      </c>
      <c r="F6" s="4">
        <v>45658</v>
      </c>
      <c r="G6" s="4">
        <v>46022</v>
      </c>
      <c r="H6">
        <f>+Industrial!E11</f>
        <v>10574.343999999999</v>
      </c>
      <c r="I6">
        <f>+Industrial!F11</f>
        <v>0</v>
      </c>
      <c r="J6">
        <f>+Industrial!G11</f>
        <v>10574.343999999999</v>
      </c>
      <c r="K6">
        <f>+Industrial!H11</f>
        <v>0</v>
      </c>
      <c r="L6">
        <f>+Industrial!I11</f>
        <v>10574.343999999999</v>
      </c>
      <c r="M6" s="1">
        <f>+Industrial!J11</f>
        <v>0</v>
      </c>
      <c r="N6" s="6" t="s">
        <v>15</v>
      </c>
      <c r="O6" s="4">
        <f>Resumen!B$4</f>
        <v>45763</v>
      </c>
      <c r="P6">
        <v>2025</v>
      </c>
    </row>
    <row r="7" spans="1:17">
      <c r="A7" t="s">
        <v>258</v>
      </c>
      <c r="B7" t="s">
        <v>258</v>
      </c>
      <c r="C7" t="s">
        <v>187</v>
      </c>
      <c r="D7" t="s">
        <v>259</v>
      </c>
      <c r="E7" t="str">
        <f>+Industrial!C12</f>
        <v>ESPACIO PESQUERO SpA.</v>
      </c>
      <c r="F7" s="4">
        <v>45658</v>
      </c>
      <c r="G7" s="4">
        <v>46022</v>
      </c>
      <c r="H7">
        <f>+Industrial!E12</f>
        <v>2643.5859999999998</v>
      </c>
      <c r="I7">
        <f>+Industrial!F12</f>
        <v>-2643.5859999999998</v>
      </c>
      <c r="J7">
        <f>+Industrial!G12</f>
        <v>0</v>
      </c>
      <c r="K7">
        <f>+Industrial!H12</f>
        <v>0</v>
      </c>
      <c r="L7">
        <f>+Industrial!I12</f>
        <v>0</v>
      </c>
      <c r="M7" s="1">
        <f>+Industrial!J12</f>
        <v>0</v>
      </c>
      <c r="N7" s="6" t="s">
        <v>15</v>
      </c>
      <c r="O7" s="4">
        <f>Resumen!B$4</f>
        <v>45763</v>
      </c>
      <c r="P7">
        <v>2025</v>
      </c>
    </row>
    <row r="8" spans="1:17" s="16" customFormat="1">
      <c r="A8" s="16" t="s">
        <v>258</v>
      </c>
      <c r="B8" s="16" t="s">
        <v>258</v>
      </c>
      <c r="C8" s="16" t="s">
        <v>187</v>
      </c>
      <c r="D8" s="16" t="s">
        <v>259</v>
      </c>
      <c r="E8" s="16" t="s">
        <v>260</v>
      </c>
      <c r="F8" s="4">
        <v>45658</v>
      </c>
      <c r="G8" s="4">
        <v>46022</v>
      </c>
      <c r="H8" s="20">
        <f>+Industrial!K13</f>
        <v>480651.9040000001</v>
      </c>
      <c r="I8" s="16">
        <f>+Industrial!L13</f>
        <v>-195241.10800000001</v>
      </c>
      <c r="J8" s="16">
        <f>+Industrial!M13</f>
        <v>285410.79600000003</v>
      </c>
      <c r="K8" s="16">
        <f>+Industrial!N13</f>
        <v>14.260999999999999</v>
      </c>
      <c r="L8" s="16">
        <f>+Industrial!O13</f>
        <v>285396.53500000009</v>
      </c>
      <c r="M8" s="17">
        <f>+Industrial!P13</f>
        <v>4.9966575195704925E-5</v>
      </c>
      <c r="N8" s="18" t="s">
        <v>15</v>
      </c>
      <c r="O8" s="4">
        <f>Resumen!B$4</f>
        <v>45763</v>
      </c>
      <c r="P8">
        <v>2025</v>
      </c>
    </row>
    <row r="9" spans="1:17">
      <c r="A9" t="s">
        <v>258</v>
      </c>
      <c r="B9" t="s">
        <v>258</v>
      </c>
      <c r="C9" t="s">
        <v>188</v>
      </c>
      <c r="D9" t="s">
        <v>259</v>
      </c>
      <c r="E9" t="str">
        <f>+Industrial!C18</f>
        <v>ABASTECIMIENTO DEL PACIFICO S.A.</v>
      </c>
      <c r="F9" s="4">
        <v>45658</v>
      </c>
      <c r="G9" s="4">
        <v>46022</v>
      </c>
      <c r="H9">
        <f>+Industrial!E18</f>
        <v>122.992</v>
      </c>
      <c r="I9">
        <f>+Industrial!F18</f>
        <v>0</v>
      </c>
      <c r="J9">
        <f>+Industrial!G18</f>
        <v>122.992</v>
      </c>
      <c r="K9">
        <f>+Industrial!H18</f>
        <v>0</v>
      </c>
      <c r="L9">
        <f>+Industrial!I18</f>
        <v>122.992</v>
      </c>
      <c r="M9" s="1">
        <f>+Industrial!J18</f>
        <v>0</v>
      </c>
      <c r="N9" s="6" t="s">
        <v>15</v>
      </c>
      <c r="O9" s="4">
        <f>Resumen!B$4</f>
        <v>45763</v>
      </c>
      <c r="P9">
        <v>2025</v>
      </c>
    </row>
    <row r="10" spans="1:17">
      <c r="A10" t="s">
        <v>258</v>
      </c>
      <c r="B10" t="s">
        <v>258</v>
      </c>
      <c r="C10" t="s">
        <v>188</v>
      </c>
      <c r="D10" t="s">
        <v>259</v>
      </c>
      <c r="E10" t="str">
        <f>+Industrial!C19</f>
        <v xml:space="preserve">ALIMENTOS MARINOS S.A.          </v>
      </c>
      <c r="F10" s="4">
        <v>45658</v>
      </c>
      <c r="G10" s="4">
        <v>46022</v>
      </c>
      <c r="H10">
        <f>+Industrial!E19</f>
        <v>655.923</v>
      </c>
      <c r="I10">
        <f>+Industrial!F19</f>
        <v>0</v>
      </c>
      <c r="J10">
        <f>+Industrial!G19</f>
        <v>655.923</v>
      </c>
      <c r="K10">
        <f>+Industrial!H19</f>
        <v>0</v>
      </c>
      <c r="L10">
        <f>+Industrial!I19</f>
        <v>655.923</v>
      </c>
      <c r="M10" s="14">
        <f>+Industrial!J19</f>
        <v>0</v>
      </c>
      <c r="N10" s="6" t="s">
        <v>15</v>
      </c>
      <c r="O10" s="4">
        <f>Resumen!B$4</f>
        <v>45763</v>
      </c>
      <c r="P10">
        <v>2025</v>
      </c>
    </row>
    <row r="11" spans="1:17">
      <c r="A11" t="s">
        <v>258</v>
      </c>
      <c r="B11" t="s">
        <v>258</v>
      </c>
      <c r="C11" t="s">
        <v>188</v>
      </c>
      <c r="D11" t="s">
        <v>259</v>
      </c>
      <c r="E11" t="str">
        <f>+Industrial!C20</f>
        <v>ATILIO REYES BARRERA</v>
      </c>
      <c r="F11" s="4">
        <v>45658</v>
      </c>
      <c r="G11" s="4">
        <v>46022</v>
      </c>
      <c r="H11">
        <f>+Industrial!E20</f>
        <v>87.852000000000004</v>
      </c>
      <c r="I11">
        <f>+Industrial!F20</f>
        <v>0</v>
      </c>
      <c r="J11">
        <f>+Industrial!G20</f>
        <v>87.852000000000004</v>
      </c>
      <c r="K11">
        <f>+Industrial!H20</f>
        <v>0</v>
      </c>
      <c r="L11">
        <f>+Industrial!I20</f>
        <v>87.852000000000004</v>
      </c>
      <c r="M11" s="1">
        <f>+Industrial!J20</f>
        <v>0</v>
      </c>
      <c r="N11" s="6" t="s">
        <v>15</v>
      </c>
      <c r="O11" s="4">
        <f>Resumen!B$4</f>
        <v>45763</v>
      </c>
      <c r="P11">
        <v>2025</v>
      </c>
    </row>
    <row r="12" spans="1:17">
      <c r="A12" t="s">
        <v>258</v>
      </c>
      <c r="B12" t="s">
        <v>258</v>
      </c>
      <c r="C12" t="s">
        <v>188</v>
      </c>
      <c r="D12" t="s">
        <v>259</v>
      </c>
      <c r="E12" t="str">
        <f>+Industrial!C21</f>
        <v xml:space="preserve">BAHIA CALDERA S.A. PESQ.          </v>
      </c>
      <c r="F12" s="4">
        <v>45658</v>
      </c>
      <c r="G12" s="4">
        <v>46022</v>
      </c>
      <c r="H12">
        <f>+Industrial!E21</f>
        <v>5124.402</v>
      </c>
      <c r="I12">
        <f>+Industrial!F21</f>
        <v>0</v>
      </c>
      <c r="J12">
        <f>+Industrial!G21</f>
        <v>5124.402</v>
      </c>
      <c r="K12">
        <f>+Industrial!H21</f>
        <v>0</v>
      </c>
      <c r="L12">
        <f>+Industrial!I21</f>
        <v>5124.402</v>
      </c>
      <c r="M12" s="1">
        <f>+Industrial!J21</f>
        <v>0</v>
      </c>
      <c r="N12" s="6" t="s">
        <v>15</v>
      </c>
      <c r="O12" s="4">
        <f>Resumen!B$4</f>
        <v>45763</v>
      </c>
      <c r="P12">
        <v>2025</v>
      </c>
    </row>
    <row r="13" spans="1:17">
      <c r="A13" t="s">
        <v>258</v>
      </c>
      <c r="B13" t="s">
        <v>258</v>
      </c>
      <c r="C13" t="s">
        <v>188</v>
      </c>
      <c r="D13" t="s">
        <v>259</v>
      </c>
      <c r="E13" t="str">
        <f>+Industrial!C22</f>
        <v xml:space="preserve">BLUMAR S.A.                                              </v>
      </c>
      <c r="F13" s="4">
        <v>45658</v>
      </c>
      <c r="G13" s="4">
        <v>46022</v>
      </c>
      <c r="H13">
        <f>+Industrial!E22</f>
        <v>37.837000000000003</v>
      </c>
      <c r="I13">
        <f>+Industrial!F22</f>
        <v>0</v>
      </c>
      <c r="J13">
        <f>+Industrial!G22</f>
        <v>37.837000000000003</v>
      </c>
      <c r="K13">
        <f>+Industrial!H22</f>
        <v>0</v>
      </c>
      <c r="L13">
        <f>+Industrial!I22</f>
        <v>37.837000000000003</v>
      </c>
      <c r="M13" s="1">
        <f>+Industrial!J22</f>
        <v>0</v>
      </c>
      <c r="N13" s="6" t="s">
        <v>15</v>
      </c>
      <c r="O13" s="4">
        <f>Resumen!B$4</f>
        <v>45763</v>
      </c>
      <c r="P13">
        <v>2025</v>
      </c>
    </row>
    <row r="14" spans="1:17">
      <c r="A14" t="s">
        <v>258</v>
      </c>
      <c r="B14" t="s">
        <v>258</v>
      </c>
      <c r="C14" t="s">
        <v>188</v>
      </c>
      <c r="D14" t="s">
        <v>259</v>
      </c>
      <c r="E14" t="str">
        <f>+Industrial!C23</f>
        <v xml:space="preserve">CAMANCHACA S.A. CIA. PESQ    </v>
      </c>
      <c r="F14" s="4">
        <v>45658</v>
      </c>
      <c r="G14" s="4">
        <v>46022</v>
      </c>
      <c r="H14">
        <f>+Industrial!E23</f>
        <v>326.10700000000003</v>
      </c>
      <c r="I14">
        <f>+Industrial!F23</f>
        <v>0</v>
      </c>
      <c r="J14">
        <f>+Industrial!G23</f>
        <v>326.10700000000003</v>
      </c>
      <c r="K14">
        <f>+Industrial!H23</f>
        <v>0</v>
      </c>
      <c r="L14">
        <f>+Industrial!I23</f>
        <v>326.10700000000003</v>
      </c>
      <c r="M14" s="1">
        <f>+Industrial!J23</f>
        <v>0</v>
      </c>
      <c r="N14" s="6" t="s">
        <v>15</v>
      </c>
      <c r="O14" s="4">
        <f>Resumen!B$4</f>
        <v>45763</v>
      </c>
      <c r="P14">
        <v>2025</v>
      </c>
    </row>
    <row r="15" spans="1:17">
      <c r="A15" t="s">
        <v>258</v>
      </c>
      <c r="B15" t="s">
        <v>258</v>
      </c>
      <c r="C15" t="s">
        <v>188</v>
      </c>
      <c r="D15" t="s">
        <v>259</v>
      </c>
      <c r="E15" t="str">
        <f>+Industrial!C24</f>
        <v>ERIC ARACENA REYNUABA</v>
      </c>
      <c r="F15" s="4">
        <v>45658</v>
      </c>
      <c r="G15" s="4">
        <v>46022</v>
      </c>
      <c r="H15">
        <f>+Industrial!E24</f>
        <v>46.853999999999999</v>
      </c>
      <c r="I15">
        <f>+Industrial!F24</f>
        <v>0</v>
      </c>
      <c r="J15">
        <f>+Industrial!G24</f>
        <v>46.853999999999999</v>
      </c>
      <c r="K15">
        <f>+Industrial!H24</f>
        <v>0</v>
      </c>
      <c r="L15">
        <f>+Industrial!I24</f>
        <v>46.853999999999999</v>
      </c>
      <c r="M15" s="1">
        <f>+Industrial!J24</f>
        <v>0</v>
      </c>
      <c r="N15" s="6" t="s">
        <v>15</v>
      </c>
      <c r="O15" s="4">
        <f>Resumen!B$4</f>
        <v>45763</v>
      </c>
      <c r="P15">
        <v>2025</v>
      </c>
    </row>
    <row r="16" spans="1:17">
      <c r="A16" t="s">
        <v>258</v>
      </c>
      <c r="B16" t="s">
        <v>258</v>
      </c>
      <c r="C16" t="s">
        <v>188</v>
      </c>
      <c r="D16" t="s">
        <v>259</v>
      </c>
      <c r="E16" t="str">
        <f>+Industrial!C25</f>
        <v>FOODCORP CHILE S.A.</v>
      </c>
      <c r="F16" s="4">
        <v>45658</v>
      </c>
      <c r="G16" s="4">
        <v>46022</v>
      </c>
      <c r="H16">
        <f>+Industrial!E25</f>
        <v>29.283999999999999</v>
      </c>
      <c r="I16">
        <f>+Industrial!F25</f>
        <v>0</v>
      </c>
      <c r="J16">
        <f>+Industrial!G25</f>
        <v>29.283999999999999</v>
      </c>
      <c r="K16">
        <f>+Industrial!H25</f>
        <v>0</v>
      </c>
      <c r="L16">
        <f>+Industrial!I25</f>
        <v>29.283999999999999</v>
      </c>
      <c r="M16" s="1">
        <f>+Industrial!J25</f>
        <v>0</v>
      </c>
      <c r="N16" s="6" t="s">
        <v>15</v>
      </c>
      <c r="O16" s="4">
        <f>Resumen!B$4</f>
        <v>45763</v>
      </c>
      <c r="P16">
        <v>2025</v>
      </c>
    </row>
    <row r="17" spans="1:16">
      <c r="A17" t="s">
        <v>258</v>
      </c>
      <c r="B17" t="s">
        <v>258</v>
      </c>
      <c r="C17" t="s">
        <v>188</v>
      </c>
      <c r="D17" t="s">
        <v>259</v>
      </c>
      <c r="E17" t="str">
        <f>+Industrial!C26</f>
        <v>GIULLIANO REYNUABA SALAS</v>
      </c>
      <c r="F17" s="4">
        <v>45658</v>
      </c>
      <c r="G17" s="4">
        <v>46022</v>
      </c>
      <c r="H17">
        <f>+Industrial!E26</f>
        <v>46.853999999999999</v>
      </c>
      <c r="I17">
        <f>+Industrial!F26</f>
        <v>0</v>
      </c>
      <c r="J17">
        <f>+Industrial!G26</f>
        <v>46.853999999999999</v>
      </c>
      <c r="K17">
        <f>+Industrial!H26</f>
        <v>0</v>
      </c>
      <c r="L17">
        <f>+Industrial!I26</f>
        <v>46.853999999999999</v>
      </c>
      <c r="M17" s="1">
        <f>+Industrial!J26</f>
        <v>0</v>
      </c>
      <c r="N17" s="6" t="s">
        <v>15</v>
      </c>
      <c r="O17" s="4">
        <f>Resumen!B$4</f>
        <v>45763</v>
      </c>
      <c r="P17">
        <v>2025</v>
      </c>
    </row>
    <row r="18" spans="1:16">
      <c r="A18" t="s">
        <v>258</v>
      </c>
      <c r="B18" t="s">
        <v>258</v>
      </c>
      <c r="C18" t="s">
        <v>188</v>
      </c>
      <c r="D18" t="s">
        <v>259</v>
      </c>
      <c r="E18" t="str">
        <f>+Industrial!C27</f>
        <v xml:space="preserve">LANDES S.A. SOC. PESQ.                           </v>
      </c>
      <c r="F18" s="4">
        <v>45658</v>
      </c>
      <c r="G18" s="4">
        <v>46022</v>
      </c>
      <c r="H18">
        <f>+Industrial!E27</f>
        <v>1.0940000000000001</v>
      </c>
      <c r="I18">
        <f>+Industrial!F27</f>
        <v>-0.23499999999999999</v>
      </c>
      <c r="J18">
        <f>+Industrial!G27</f>
        <v>0.8590000000000001</v>
      </c>
      <c r="K18">
        <f>+Industrial!H27</f>
        <v>0</v>
      </c>
      <c r="L18">
        <f>+Industrial!I27</f>
        <v>0.8590000000000001</v>
      </c>
      <c r="M18" s="1">
        <f>+Industrial!J27</f>
        <v>0</v>
      </c>
      <c r="N18" s="6" t="s">
        <v>15</v>
      </c>
      <c r="O18" s="4">
        <f>Resumen!B$4</f>
        <v>45763</v>
      </c>
      <c r="P18">
        <v>2025</v>
      </c>
    </row>
    <row r="19" spans="1:16">
      <c r="A19" t="s">
        <v>258</v>
      </c>
      <c r="B19" t="s">
        <v>258</v>
      </c>
      <c r="C19" t="s">
        <v>188</v>
      </c>
      <c r="D19" t="s">
        <v>259</v>
      </c>
      <c r="E19" t="str">
        <f>+Industrial!C28</f>
        <v xml:space="preserve">ORIZON S.A                                                   </v>
      </c>
      <c r="F19" s="4">
        <v>45658</v>
      </c>
      <c r="G19" s="4">
        <v>46022</v>
      </c>
      <c r="H19">
        <f>+Industrial!E28</f>
        <v>4985.84</v>
      </c>
      <c r="I19">
        <f>+Industrial!F28</f>
        <v>0</v>
      </c>
      <c r="J19">
        <f>+Industrial!G28</f>
        <v>4985.84</v>
      </c>
      <c r="K19">
        <f>+Industrial!H28</f>
        <v>0</v>
      </c>
      <c r="L19">
        <f>+Industrial!I28</f>
        <v>4985.84</v>
      </c>
      <c r="M19" s="1">
        <f>+Industrial!J28</f>
        <v>0</v>
      </c>
      <c r="N19" s="6" t="s">
        <v>15</v>
      </c>
      <c r="O19" s="4">
        <f>Resumen!B$4</f>
        <v>45763</v>
      </c>
      <c r="P19">
        <v>2025</v>
      </c>
    </row>
    <row r="20" spans="1:16">
      <c r="A20" t="s">
        <v>258</v>
      </c>
      <c r="B20" t="s">
        <v>258</v>
      </c>
      <c r="C20" t="s">
        <v>188</v>
      </c>
      <c r="D20" t="s">
        <v>259</v>
      </c>
      <c r="E20" t="str">
        <f>+Industrial!C29</f>
        <v>PROCESOS TECNOLOGICOS DEL BIO BIO SpA</v>
      </c>
      <c r="F20" s="4">
        <v>45658</v>
      </c>
      <c r="G20" s="4">
        <v>46022</v>
      </c>
      <c r="H20">
        <f>+Industrial!E29</f>
        <v>134.70599999999999</v>
      </c>
      <c r="I20">
        <f>+Industrial!F29</f>
        <v>0</v>
      </c>
      <c r="J20">
        <f>+Industrial!G29</f>
        <v>134.70599999999999</v>
      </c>
      <c r="K20">
        <f>+Industrial!H29</f>
        <v>0</v>
      </c>
      <c r="L20">
        <f>+Industrial!I29</f>
        <v>134.70599999999999</v>
      </c>
      <c r="M20" s="1">
        <f>+Industrial!J29</f>
        <v>0</v>
      </c>
      <c r="N20" s="6" t="s">
        <v>15</v>
      </c>
      <c r="O20" s="4">
        <f>Resumen!B$4</f>
        <v>45763</v>
      </c>
      <c r="P20">
        <v>2025</v>
      </c>
    </row>
    <row r="21" spans="1:16">
      <c r="A21" t="s">
        <v>258</v>
      </c>
      <c r="B21" t="s">
        <v>258</v>
      </c>
      <c r="C21" t="s">
        <v>188</v>
      </c>
      <c r="D21" t="s">
        <v>259</v>
      </c>
      <c r="E21" t="str">
        <f>+Industrial!C31</f>
        <v>SIPESUR SPA</v>
      </c>
      <c r="F21" s="4">
        <v>45658</v>
      </c>
      <c r="G21" s="4">
        <v>46022</v>
      </c>
      <c r="H21">
        <f>+Industrial!E31</f>
        <v>113.76</v>
      </c>
      <c r="I21">
        <f>+Industrial!F31</f>
        <v>0</v>
      </c>
      <c r="J21">
        <f>+Industrial!G31</f>
        <v>113.76</v>
      </c>
      <c r="K21">
        <f>+Industrial!H31</f>
        <v>0</v>
      </c>
      <c r="L21">
        <f>+Industrial!I31</f>
        <v>113.76</v>
      </c>
      <c r="M21" s="1">
        <f>+Industrial!J31</f>
        <v>0</v>
      </c>
      <c r="N21" s="6" t="s">
        <v>15</v>
      </c>
      <c r="O21" s="4">
        <f>Resumen!B$4</f>
        <v>45763</v>
      </c>
      <c r="P21">
        <v>2025</v>
      </c>
    </row>
    <row r="22" spans="1:16" s="16" customFormat="1">
      <c r="A22" s="16" t="s">
        <v>258</v>
      </c>
      <c r="B22" s="16" t="s">
        <v>258</v>
      </c>
      <c r="C22" s="16" t="s">
        <v>188</v>
      </c>
      <c r="D22" s="16" t="s">
        <v>259</v>
      </c>
      <c r="E22" s="16" t="s">
        <v>260</v>
      </c>
      <c r="F22" s="4">
        <v>45658</v>
      </c>
      <c r="G22" s="4">
        <v>46022</v>
      </c>
      <c r="H22" s="16">
        <f>+Industrial!K32</f>
        <v>11713.505000000001</v>
      </c>
      <c r="I22" s="16">
        <f>+Industrial!L32</f>
        <v>0</v>
      </c>
      <c r="J22" s="16">
        <f>+Industrial!M32</f>
        <v>11713.505000000001</v>
      </c>
      <c r="K22" s="16">
        <f>+Industrial!N32</f>
        <v>0</v>
      </c>
      <c r="L22" s="16">
        <f>+Industrial!O32</f>
        <v>11713.505000000001</v>
      </c>
      <c r="M22" s="17">
        <f>+Industrial!P32</f>
        <v>0</v>
      </c>
      <c r="N22" s="18" t="s">
        <v>15</v>
      </c>
      <c r="O22" s="4">
        <f>Resumen!B$4</f>
        <v>45763</v>
      </c>
      <c r="P22">
        <v>2025</v>
      </c>
    </row>
    <row r="23" spans="1:16">
      <c r="A23" t="s">
        <v>261</v>
      </c>
      <c r="B23" t="s">
        <v>261</v>
      </c>
      <c r="C23" t="s">
        <v>187</v>
      </c>
      <c r="D23" t="s">
        <v>259</v>
      </c>
      <c r="E23" t="str">
        <f>+Industrial!C37</f>
        <v xml:space="preserve">ARICA SEAFOOD PRODUCER S.A.  </v>
      </c>
      <c r="F23" s="4">
        <v>45658</v>
      </c>
      <c r="G23" s="4">
        <v>46022</v>
      </c>
      <c r="H23">
        <f>+Industrial!E37</f>
        <v>9.5679999999999996</v>
      </c>
      <c r="I23">
        <f>+Industrial!F37</f>
        <v>0</v>
      </c>
      <c r="J23">
        <f>+Industrial!G37</f>
        <v>9.5679999999999996</v>
      </c>
      <c r="K23">
        <f>+Industrial!H37</f>
        <v>0</v>
      </c>
      <c r="L23">
        <f>+Industrial!I37</f>
        <v>9.5679999999999996</v>
      </c>
      <c r="M23" s="1">
        <f>+Industrial!J37</f>
        <v>0</v>
      </c>
      <c r="N23" s="6" t="s">
        <v>15</v>
      </c>
      <c r="O23" s="4">
        <f>Resumen!B$4</f>
        <v>45763</v>
      </c>
      <c r="P23">
        <v>2025</v>
      </c>
    </row>
    <row r="24" spans="1:16">
      <c r="A24" t="s">
        <v>261</v>
      </c>
      <c r="B24" t="s">
        <v>261</v>
      </c>
      <c r="C24" t="s">
        <v>187</v>
      </c>
      <c r="D24" t="s">
        <v>259</v>
      </c>
      <c r="E24" t="str">
        <f>+Industrial!C38</f>
        <v xml:space="preserve">CAMANCHACA S.A. CIA. PESQ      </v>
      </c>
      <c r="F24" s="4">
        <v>45658</v>
      </c>
      <c r="G24" s="4">
        <v>46022</v>
      </c>
      <c r="H24">
        <f>+Industrial!E38</f>
        <v>613.73699999999997</v>
      </c>
      <c r="I24">
        <f>+Industrial!F38</f>
        <v>0</v>
      </c>
      <c r="J24">
        <f>+Industrial!G38</f>
        <v>613.73699999999997</v>
      </c>
      <c r="K24">
        <f>+Industrial!H38</f>
        <v>0</v>
      </c>
      <c r="L24">
        <f>+Industrial!I38</f>
        <v>613.73699999999997</v>
      </c>
      <c r="M24" s="1">
        <f>+Industrial!J38</f>
        <v>0</v>
      </c>
      <c r="N24" s="6" t="s">
        <v>15</v>
      </c>
      <c r="O24" s="4">
        <f>Resumen!B$4</f>
        <v>45763</v>
      </c>
      <c r="P24">
        <v>2025</v>
      </c>
    </row>
    <row r="25" spans="1:16">
      <c r="A25" t="s">
        <v>261</v>
      </c>
      <c r="B25" t="s">
        <v>261</v>
      </c>
      <c r="C25" t="s">
        <v>187</v>
      </c>
      <c r="D25" t="s">
        <v>259</v>
      </c>
      <c r="E25" t="str">
        <f>+Industrial!C39</f>
        <v xml:space="preserve">CORPESCA S.A.                             </v>
      </c>
      <c r="F25" s="4">
        <v>45658</v>
      </c>
      <c r="G25" s="4">
        <v>46022</v>
      </c>
      <c r="H25">
        <f>+Industrial!E39</f>
        <v>2287.6999999999998</v>
      </c>
      <c r="I25">
        <f>+Industrial!F39</f>
        <v>0</v>
      </c>
      <c r="J25">
        <f>+Industrial!G39</f>
        <v>2287.6999999999998</v>
      </c>
      <c r="K25">
        <f>+Industrial!H39</f>
        <v>0</v>
      </c>
      <c r="L25">
        <f>+Industrial!I39</f>
        <v>2287.6999999999998</v>
      </c>
      <c r="M25" s="1">
        <f>+Industrial!J39</f>
        <v>0</v>
      </c>
      <c r="N25" s="6" t="s">
        <v>15</v>
      </c>
      <c r="O25" s="4">
        <f>Resumen!B$4</f>
        <v>45763</v>
      </c>
      <c r="P25">
        <v>2025</v>
      </c>
    </row>
    <row r="26" spans="1:16" s="16" customFormat="1">
      <c r="A26" s="16" t="s">
        <v>261</v>
      </c>
      <c r="B26" s="16" t="s">
        <v>261</v>
      </c>
      <c r="C26" s="16" t="s">
        <v>187</v>
      </c>
      <c r="D26" s="16" t="s">
        <v>259</v>
      </c>
      <c r="E26" s="16" t="s">
        <v>260</v>
      </c>
      <c r="F26" s="4">
        <v>45658</v>
      </c>
      <c r="G26" s="4">
        <v>46022</v>
      </c>
      <c r="H26" s="21">
        <f>Industrial!E40</f>
        <v>2911.0049999999997</v>
      </c>
      <c r="I26" s="16">
        <f>+Industrial!L40</f>
        <v>0</v>
      </c>
      <c r="J26" s="16">
        <f>+Industrial!M40</f>
        <v>2911.0049999999997</v>
      </c>
      <c r="K26" s="16">
        <f>+Industrial!N40</f>
        <v>0</v>
      </c>
      <c r="L26" s="16">
        <f>+Industrial!O40</f>
        <v>2911.0049999999997</v>
      </c>
      <c r="M26" s="17">
        <f>+Industrial!P40</f>
        <v>0</v>
      </c>
      <c r="N26" s="18" t="s">
        <v>15</v>
      </c>
      <c r="O26" s="4">
        <f>Resumen!B$4</f>
        <v>45763</v>
      </c>
      <c r="P26">
        <v>2025</v>
      </c>
    </row>
    <row r="27" spans="1:16">
      <c r="A27" t="s">
        <v>261</v>
      </c>
      <c r="B27" t="s">
        <v>261</v>
      </c>
      <c r="C27" t="s">
        <v>188</v>
      </c>
      <c r="D27" t="s">
        <v>259</v>
      </c>
      <c r="E27" t="str">
        <f>+Industrial!C45</f>
        <v xml:space="preserve">ALIMENTOS MARINOS S.A.          </v>
      </c>
      <c r="F27" s="4">
        <v>45658</v>
      </c>
      <c r="G27" s="4">
        <v>46022</v>
      </c>
      <c r="H27">
        <f>+Industrial!E45</f>
        <v>336.31900000000002</v>
      </c>
      <c r="I27">
        <f>+Industrial!F45</f>
        <v>0</v>
      </c>
      <c r="J27">
        <f>+Industrial!G45</f>
        <v>336.31900000000002</v>
      </c>
      <c r="K27">
        <f>+Industrial!H45</f>
        <v>0</v>
      </c>
      <c r="L27">
        <f>+Industrial!I45</f>
        <v>336.31900000000002</v>
      </c>
      <c r="M27" s="1">
        <f>+Industrial!J45</f>
        <v>0</v>
      </c>
      <c r="N27" s="6" t="s">
        <v>15</v>
      </c>
      <c r="O27" s="4">
        <f>Resumen!B$4</f>
        <v>45763</v>
      </c>
      <c r="P27">
        <v>2025</v>
      </c>
    </row>
    <row r="28" spans="1:16">
      <c r="A28" t="s">
        <v>261</v>
      </c>
      <c r="B28" t="s">
        <v>261</v>
      </c>
      <c r="C28" t="s">
        <v>188</v>
      </c>
      <c r="D28" t="s">
        <v>259</v>
      </c>
      <c r="E28" t="str">
        <f>+Industrial!C46</f>
        <v xml:space="preserve">BAHIA CALDERA S.A. PESQ.          </v>
      </c>
      <c r="F28" s="4">
        <v>45658</v>
      </c>
      <c r="G28" s="4">
        <v>46022</v>
      </c>
      <c r="H28">
        <f>+Industrial!E46</f>
        <v>1464.2750000000001</v>
      </c>
      <c r="I28">
        <f>+Industrial!F46</f>
        <v>0</v>
      </c>
      <c r="J28">
        <f>+Industrial!G46</f>
        <v>1464.2750000000001</v>
      </c>
      <c r="K28">
        <f>+Industrial!H46</f>
        <v>0</v>
      </c>
      <c r="L28">
        <f>+Industrial!I46</f>
        <v>1464.2750000000001</v>
      </c>
      <c r="M28" s="1">
        <f>+Industrial!J46</f>
        <v>0</v>
      </c>
      <c r="N28" s="6" t="s">
        <v>15</v>
      </c>
      <c r="O28" s="4">
        <f>Resumen!B$4</f>
        <v>45763</v>
      </c>
      <c r="P28">
        <v>2025</v>
      </c>
    </row>
    <row r="29" spans="1:16">
      <c r="A29" t="s">
        <v>261</v>
      </c>
      <c r="B29" t="s">
        <v>261</v>
      </c>
      <c r="C29" t="s">
        <v>188</v>
      </c>
      <c r="D29" t="s">
        <v>259</v>
      </c>
      <c r="E29" t="str">
        <f>+Industrial!C47</f>
        <v>FOODCORP CHILE S.A.</v>
      </c>
      <c r="F29" s="4">
        <v>45658</v>
      </c>
      <c r="G29" s="4">
        <v>46022</v>
      </c>
      <c r="H29">
        <f>+Industrial!E47</f>
        <v>0.246</v>
      </c>
      <c r="I29">
        <f>+Industrial!F47</f>
        <v>0</v>
      </c>
      <c r="J29">
        <f>+Industrial!G47</f>
        <v>0.246</v>
      </c>
      <c r="K29">
        <f>+Industrial!H47</f>
        <v>0</v>
      </c>
      <c r="L29">
        <f>+Industrial!I47</f>
        <v>0.246</v>
      </c>
      <c r="M29" s="1">
        <f>+Industrial!J47</f>
        <v>0</v>
      </c>
      <c r="N29" s="6" t="s">
        <v>15</v>
      </c>
      <c r="O29" s="4">
        <f>Resumen!B$4</f>
        <v>45763</v>
      </c>
      <c r="P29">
        <v>2025</v>
      </c>
    </row>
    <row r="30" spans="1:16">
      <c r="A30" t="s">
        <v>261</v>
      </c>
      <c r="B30" t="s">
        <v>261</v>
      </c>
      <c r="C30" t="s">
        <v>188</v>
      </c>
      <c r="D30" t="s">
        <v>259</v>
      </c>
      <c r="E30" t="str">
        <f>+Industrial!C48</f>
        <v>BLUMAR S.A.</v>
      </c>
      <c r="F30" s="4">
        <v>45658</v>
      </c>
      <c r="G30" s="4">
        <v>46022</v>
      </c>
      <c r="H30">
        <f>+Industrial!E48</f>
        <v>9.4290000000000003</v>
      </c>
      <c r="I30">
        <f>+Industrial!F48</f>
        <v>0</v>
      </c>
      <c r="J30">
        <f>+Industrial!G48</f>
        <v>9.4290000000000003</v>
      </c>
      <c r="K30">
        <f>+Industrial!H48</f>
        <v>0</v>
      </c>
      <c r="L30">
        <f>+Industrial!I48</f>
        <v>9.4290000000000003</v>
      </c>
      <c r="M30" s="1">
        <f>+Industrial!J48</f>
        <v>0</v>
      </c>
      <c r="N30" s="6" t="s">
        <v>15</v>
      </c>
      <c r="O30" s="4">
        <f>Resumen!B$4</f>
        <v>45763</v>
      </c>
      <c r="P30">
        <v>2025</v>
      </c>
    </row>
    <row r="31" spans="1:16">
      <c r="A31" t="s">
        <v>261</v>
      </c>
      <c r="B31" t="s">
        <v>261</v>
      </c>
      <c r="C31" t="s">
        <v>188</v>
      </c>
      <c r="D31" t="s">
        <v>259</v>
      </c>
      <c r="E31" t="str">
        <f>+Industrial!C49</f>
        <v>CAMANCHACA S.A.</v>
      </c>
      <c r="F31" s="4">
        <v>45658</v>
      </c>
      <c r="G31" s="4">
        <v>46022</v>
      </c>
      <c r="H31">
        <f>+Industrial!E49</f>
        <v>14.913</v>
      </c>
      <c r="I31">
        <f>+Industrial!F49</f>
        <v>0</v>
      </c>
      <c r="J31">
        <f>+Industrial!G49</f>
        <v>14.913</v>
      </c>
      <c r="K31">
        <f>+Industrial!H49</f>
        <v>0</v>
      </c>
      <c r="L31">
        <f>+Industrial!I49</f>
        <v>14.913</v>
      </c>
      <c r="M31" s="1">
        <f>+Industrial!J49</f>
        <v>0</v>
      </c>
      <c r="N31" s="6" t="s">
        <v>15</v>
      </c>
      <c r="O31" s="4">
        <f>Resumen!B$4</f>
        <v>45763</v>
      </c>
      <c r="P31">
        <v>2025</v>
      </c>
    </row>
    <row r="32" spans="1:16">
      <c r="A32" t="s">
        <v>261</v>
      </c>
      <c r="B32" t="s">
        <v>261</v>
      </c>
      <c r="C32" t="s">
        <v>188</v>
      </c>
      <c r="D32" t="s">
        <v>259</v>
      </c>
      <c r="E32" t="str">
        <f>+Industrial!C50</f>
        <v>SIPESUR SPA</v>
      </c>
      <c r="F32" s="4">
        <v>45658</v>
      </c>
      <c r="G32" s="4">
        <v>46022</v>
      </c>
      <c r="H32">
        <f>+Industrial!E50</f>
        <v>4.8849999999999998</v>
      </c>
      <c r="I32">
        <f>+Industrial!F50</f>
        <v>0</v>
      </c>
      <c r="J32">
        <f>+Industrial!G50</f>
        <v>4.8849999999999998</v>
      </c>
      <c r="K32">
        <f>+Industrial!H50</f>
        <v>0</v>
      </c>
      <c r="L32">
        <f>+Industrial!I50</f>
        <v>4.8849999999999998</v>
      </c>
      <c r="M32" s="1">
        <f>+Industrial!J50</f>
        <v>0</v>
      </c>
      <c r="N32" s="6" t="s">
        <v>15</v>
      </c>
      <c r="O32" s="4">
        <f>Resumen!B$4</f>
        <v>45763</v>
      </c>
      <c r="P32">
        <v>2025</v>
      </c>
    </row>
    <row r="33" spans="1:16">
      <c r="A33" t="s">
        <v>261</v>
      </c>
      <c r="B33" t="s">
        <v>261</v>
      </c>
      <c r="C33" t="s">
        <v>188</v>
      </c>
      <c r="D33" t="s">
        <v>259</v>
      </c>
      <c r="E33" t="str">
        <f>+Industrial!C51</f>
        <v>ORIZON S.A.</v>
      </c>
      <c r="F33" s="4">
        <v>45658</v>
      </c>
      <c r="G33" s="4">
        <v>46022</v>
      </c>
      <c r="H33">
        <f>+Industrial!E51</f>
        <v>628.553</v>
      </c>
      <c r="I33">
        <f>+Industrial!F51</f>
        <v>0</v>
      </c>
      <c r="J33">
        <f>+Industrial!G51</f>
        <v>628.553</v>
      </c>
      <c r="K33">
        <f>+Industrial!H51</f>
        <v>0</v>
      </c>
      <c r="L33">
        <f>+Industrial!I51</f>
        <v>628.553</v>
      </c>
      <c r="M33" s="1">
        <f>+Industrial!J51</f>
        <v>0</v>
      </c>
      <c r="N33" s="6" t="s">
        <v>15</v>
      </c>
      <c r="O33" s="4">
        <f>Resumen!B$4</f>
        <v>45763</v>
      </c>
      <c r="P33">
        <v>2025</v>
      </c>
    </row>
    <row r="34" spans="1:16">
      <c r="A34" t="s">
        <v>261</v>
      </c>
      <c r="B34" t="s">
        <v>261</v>
      </c>
      <c r="C34" t="s">
        <v>188</v>
      </c>
      <c r="D34" t="s">
        <v>259</v>
      </c>
      <c r="E34" t="str">
        <f>+Industrial!C53</f>
        <v>LANDES S.A. SOC. PESQ.</v>
      </c>
      <c r="F34" s="4">
        <v>45658</v>
      </c>
      <c r="G34" s="4">
        <v>46022</v>
      </c>
      <c r="H34">
        <f>+Industrial!E53</f>
        <v>2.88</v>
      </c>
      <c r="I34">
        <f>+Industrial!F53</f>
        <v>-0.17199999999999999</v>
      </c>
      <c r="J34">
        <f>+Industrial!G53</f>
        <v>2.7079999999999997</v>
      </c>
      <c r="K34">
        <f>+Industrial!H53</f>
        <v>0</v>
      </c>
      <c r="L34">
        <f>+Industrial!I53</f>
        <v>2.7079999999999997</v>
      </c>
      <c r="M34" s="1">
        <f>+Industrial!J53</f>
        <v>0</v>
      </c>
      <c r="N34" s="6" t="s">
        <v>15</v>
      </c>
      <c r="O34" s="4">
        <f>Resumen!B$4</f>
        <v>45763</v>
      </c>
      <c r="P34">
        <v>2025</v>
      </c>
    </row>
    <row r="35" spans="1:16" s="16" customFormat="1">
      <c r="A35" s="16" t="s">
        <v>261</v>
      </c>
      <c r="B35" s="16" t="s">
        <v>261</v>
      </c>
      <c r="C35" s="16" t="s">
        <v>188</v>
      </c>
      <c r="D35" s="16" t="s">
        <v>259</v>
      </c>
      <c r="E35" s="16" t="s">
        <v>260</v>
      </c>
      <c r="F35" s="4">
        <v>45658</v>
      </c>
      <c r="G35" s="4">
        <v>46022</v>
      </c>
      <c r="H35" s="16">
        <f>+Industrial!K54</f>
        <v>2461.5000000000005</v>
      </c>
      <c r="I35" s="16">
        <f>+Industrial!L54</f>
        <v>0</v>
      </c>
      <c r="J35" s="16">
        <f>+Industrial!M54</f>
        <v>2461.5000000000005</v>
      </c>
      <c r="K35" s="16">
        <f>+Industrial!N54</f>
        <v>0</v>
      </c>
      <c r="L35" s="16">
        <f>+Industrial!O54</f>
        <v>2461.5000000000005</v>
      </c>
      <c r="M35" s="22">
        <f>+Industrial!P54</f>
        <v>0</v>
      </c>
      <c r="N35" s="23" t="s">
        <v>15</v>
      </c>
      <c r="O35" s="4">
        <f>Resumen!B$4</f>
        <v>45763</v>
      </c>
      <c r="P35">
        <v>2025</v>
      </c>
    </row>
    <row r="36" spans="1:16" ht="16.5" customHeight="1">
      <c r="A36" t="s">
        <v>258</v>
      </c>
      <c r="B36" t="s">
        <v>258</v>
      </c>
      <c r="C36" t="s">
        <v>80</v>
      </c>
      <c r="D36" t="s">
        <v>262</v>
      </c>
      <c r="E36" t="str">
        <f>+'Artesanal Anchoveta XV-IV'!D7</f>
        <v>MACROZONA XV - I</v>
      </c>
      <c r="F36" s="4">
        <v>45658</v>
      </c>
      <c r="G36" s="4">
        <v>46022</v>
      </c>
      <c r="H36">
        <f>+'Artesanal Anchoveta XV-IV'!F7</f>
        <v>62735</v>
      </c>
      <c r="I36">
        <f>+'Artesanal Anchoveta XV-IV'!G7</f>
        <v>5739</v>
      </c>
      <c r="J36">
        <f>+'Artesanal Anchoveta XV-IV'!H7</f>
        <v>68474</v>
      </c>
      <c r="K36">
        <f>+'Artesanal Anchoveta XV-IV'!I7</f>
        <v>68491.706000000006</v>
      </c>
      <c r="L36">
        <f>+'Artesanal Anchoveta XV-IV'!K7</f>
        <v>-17.706000000005588</v>
      </c>
      <c r="M36" s="1">
        <f>+'Artesanal Anchoveta XV-IV'!L7</f>
        <v>1.0002585798989398</v>
      </c>
      <c r="N36" s="6" t="s">
        <v>15</v>
      </c>
      <c r="O36" s="4">
        <f>Resumen!B$4</f>
        <v>45763</v>
      </c>
      <c r="P36">
        <v>2025</v>
      </c>
    </row>
    <row r="37" spans="1:16" s="16" customFormat="1">
      <c r="A37" s="16" t="s">
        <v>258</v>
      </c>
      <c r="B37" s="16" t="s">
        <v>258</v>
      </c>
      <c r="C37" s="16" t="s">
        <v>80</v>
      </c>
      <c r="D37" s="16" t="s">
        <v>262</v>
      </c>
      <c r="E37" s="16" t="s">
        <v>263</v>
      </c>
      <c r="F37" s="4">
        <v>45658</v>
      </c>
      <c r="G37" s="4">
        <v>46022</v>
      </c>
      <c r="H37" s="16">
        <f>Resumen!E9</f>
        <v>62735</v>
      </c>
      <c r="I37" s="16">
        <f>Resumen!F9</f>
        <v>5739</v>
      </c>
      <c r="J37" s="16">
        <f>Resumen!G9</f>
        <v>68474</v>
      </c>
      <c r="K37" s="16">
        <f>Resumen!H9</f>
        <v>68491.706000000006</v>
      </c>
      <c r="L37" s="16">
        <f>Resumen!I9</f>
        <v>-17.706000000005588</v>
      </c>
      <c r="M37" s="22">
        <f>Resumen!J9</f>
        <v>1.0002585798989398</v>
      </c>
      <c r="N37" s="23" t="s">
        <v>15</v>
      </c>
      <c r="O37" s="4">
        <f>Resumen!B$4</f>
        <v>45763</v>
      </c>
      <c r="P37">
        <v>2025</v>
      </c>
    </row>
    <row r="38" spans="1:16">
      <c r="A38" t="s">
        <v>258</v>
      </c>
      <c r="B38" t="s">
        <v>258</v>
      </c>
      <c r="C38" t="s">
        <v>16</v>
      </c>
      <c r="D38" t="s">
        <v>262</v>
      </c>
      <c r="E38" t="str">
        <f>+'Artesanal Anchoveta XV-IV'!D8</f>
        <v>REGIÓN II</v>
      </c>
      <c r="F38" s="4">
        <v>45658</v>
      </c>
      <c r="G38" s="4">
        <v>46022</v>
      </c>
      <c r="H38">
        <f>+'Artesanal Anchoveta XV-IV'!F8</f>
        <v>23594</v>
      </c>
      <c r="I38">
        <f>+'Artesanal Anchoveta XV-IV'!G8</f>
        <v>0</v>
      </c>
      <c r="J38">
        <f>+'Artesanal Anchoveta XV-IV'!H8</f>
        <v>23594</v>
      </c>
      <c r="K38">
        <f>+'Artesanal Anchoveta XV-IV'!I8</f>
        <v>12094.473</v>
      </c>
      <c r="L38">
        <f>+'Artesanal Anchoveta XV-IV'!K8</f>
        <v>11499.527</v>
      </c>
      <c r="M38" s="1">
        <f>+'Artesanal Anchoveta XV-IV'!L8</f>
        <v>0.51260799355768416</v>
      </c>
      <c r="N38" s="6" t="str">
        <f>'Artesanal Anchoveta XV-IV'!M8</f>
        <v>-</v>
      </c>
      <c r="O38" s="4">
        <f>Resumen!B$4</f>
        <v>45763</v>
      </c>
      <c r="P38">
        <v>2025</v>
      </c>
    </row>
    <row r="39" spans="1:16" s="16" customFormat="1">
      <c r="A39" s="16" t="s">
        <v>258</v>
      </c>
      <c r="B39" s="16" t="s">
        <v>258</v>
      </c>
      <c r="C39" s="16" t="s">
        <v>16</v>
      </c>
      <c r="D39" s="16" t="s">
        <v>262</v>
      </c>
      <c r="E39" s="16" t="s">
        <v>264</v>
      </c>
      <c r="F39" s="4">
        <v>45658</v>
      </c>
      <c r="G39" s="4">
        <v>46022</v>
      </c>
      <c r="H39" s="16">
        <f>+'Artesanal Anchoveta XV-IV'!N8</f>
        <v>23594</v>
      </c>
      <c r="I39" s="16">
        <f>+'Artesanal Anchoveta XV-IV'!O8</f>
        <v>0</v>
      </c>
      <c r="J39" s="16">
        <f>+'Artesanal Anchoveta XV-IV'!P8</f>
        <v>23594</v>
      </c>
      <c r="K39" s="16">
        <f>+'Artesanal Anchoveta XV-IV'!Q8</f>
        <v>12094.473</v>
      </c>
      <c r="L39" s="16">
        <f>+'Artesanal Anchoveta XV-IV'!R8</f>
        <v>11499.527</v>
      </c>
      <c r="M39" s="22">
        <f>+'Artesanal Anchoveta XV-IV'!S8</f>
        <v>0.51260799355768416</v>
      </c>
      <c r="N39" s="23" t="s">
        <v>15</v>
      </c>
      <c r="O39" s="4">
        <f>Resumen!B$4</f>
        <v>45763</v>
      </c>
      <c r="P39">
        <v>2025</v>
      </c>
    </row>
    <row r="40" spans="1:16" s="16" customFormat="1">
      <c r="A40" s="16" t="s">
        <v>258</v>
      </c>
      <c r="B40" s="16" t="s">
        <v>258</v>
      </c>
      <c r="C40" s="16" t="s">
        <v>27</v>
      </c>
      <c r="D40" s="16" t="s">
        <v>262</v>
      </c>
      <c r="E40" s="16" t="s">
        <v>265</v>
      </c>
      <c r="F40" s="4">
        <v>45658</v>
      </c>
      <c r="G40" s="4">
        <v>46022</v>
      </c>
      <c r="H40" s="16">
        <f>+'Artesanal Anchoveta XV-IV'!F9</f>
        <v>1000</v>
      </c>
      <c r="I40" s="16">
        <f>+'Artesanal Anchoveta XV-IV'!G9</f>
        <v>0</v>
      </c>
      <c r="J40" s="16">
        <f>+'Artesanal Anchoveta XV-IV'!H9</f>
        <v>1000</v>
      </c>
      <c r="K40" s="16">
        <f>+'Artesanal Anchoveta XV-IV'!I9</f>
        <v>0</v>
      </c>
      <c r="L40" s="16">
        <f>+'Artesanal Anchoveta XV-IV'!K9</f>
        <v>1000</v>
      </c>
      <c r="M40" s="22">
        <f>+'Artesanal Anchoveta XV-IV'!L9</f>
        <v>0</v>
      </c>
      <c r="N40" s="23" t="str">
        <f>'Artesanal Anchoveta XV-IV'!M9</f>
        <v>-</v>
      </c>
      <c r="O40" s="4">
        <f>Resumen!B$4</f>
        <v>45763</v>
      </c>
      <c r="P40">
        <v>2025</v>
      </c>
    </row>
    <row r="41" spans="1:16">
      <c r="A41" t="s">
        <v>258</v>
      </c>
      <c r="B41" t="s">
        <v>258</v>
      </c>
      <c r="C41" t="s">
        <v>18</v>
      </c>
      <c r="D41" t="s">
        <v>262</v>
      </c>
      <c r="E41" t="str">
        <f>+'Artesanal Anchoveta XV-IV'!D10</f>
        <v>REGIÓN III</v>
      </c>
      <c r="F41" s="4">
        <v>45658</v>
      </c>
      <c r="G41" s="4">
        <v>46022</v>
      </c>
      <c r="H41">
        <f>+'Artesanal Anchoveta XV-IV'!F10</f>
        <v>7849.5</v>
      </c>
      <c r="I41">
        <f>+'Artesanal Anchoveta XV-IV'!G10</f>
        <v>0</v>
      </c>
      <c r="J41">
        <f>+'Artesanal Anchoveta XV-IV'!H10</f>
        <v>7849.5</v>
      </c>
      <c r="K41">
        <f>+'Artesanal Anchoveta XV-IV'!I10</f>
        <v>0</v>
      </c>
      <c r="L41">
        <f>+'Artesanal Anchoveta XV-IV'!K10</f>
        <v>7849.5</v>
      </c>
      <c r="M41" s="1">
        <f>+'Artesanal Anchoveta XV-IV'!L10</f>
        <v>0</v>
      </c>
      <c r="N41" s="6" t="s">
        <v>15</v>
      </c>
      <c r="O41" s="4">
        <f>Resumen!B$4</f>
        <v>45763</v>
      </c>
      <c r="P41">
        <v>2025</v>
      </c>
    </row>
    <row r="42" spans="1:16" s="16" customFormat="1">
      <c r="A42" s="16" t="s">
        <v>258</v>
      </c>
      <c r="B42" s="16" t="s">
        <v>258</v>
      </c>
      <c r="C42" s="16" t="s">
        <v>18</v>
      </c>
      <c r="D42" s="16" t="s">
        <v>262</v>
      </c>
      <c r="E42" s="16" t="s">
        <v>264</v>
      </c>
      <c r="F42" s="4">
        <v>45658</v>
      </c>
      <c r="G42" s="4">
        <v>46022</v>
      </c>
      <c r="H42" s="16">
        <f>+'Artesanal Anchoveta XV-IV'!N10</f>
        <v>7849.5</v>
      </c>
      <c r="I42" s="16">
        <f>+'Artesanal Anchoveta XV-IV'!O10</f>
        <v>0</v>
      </c>
      <c r="J42" s="16">
        <f>+'Artesanal Anchoveta XV-IV'!P10</f>
        <v>7849.5</v>
      </c>
      <c r="K42" s="16">
        <f>+'Artesanal Anchoveta XV-IV'!Q10</f>
        <v>0</v>
      </c>
      <c r="L42" s="16">
        <f>+'Artesanal Anchoveta XV-IV'!R10</f>
        <v>7849.5</v>
      </c>
      <c r="M42" s="22">
        <f>+'Artesanal Anchoveta XV-IV'!S10</f>
        <v>0</v>
      </c>
      <c r="N42" s="23" t="s">
        <v>15</v>
      </c>
      <c r="O42" s="4">
        <f>Resumen!B$4</f>
        <v>45763</v>
      </c>
      <c r="P42">
        <v>2025</v>
      </c>
    </row>
    <row r="43" spans="1:16">
      <c r="A43" t="s">
        <v>258</v>
      </c>
      <c r="B43" t="s">
        <v>258</v>
      </c>
      <c r="C43" t="s">
        <v>20</v>
      </c>
      <c r="D43" t="s">
        <v>266</v>
      </c>
      <c r="E43" t="str">
        <f>+'Artesanal Anchoveta XV-IV'!D11</f>
        <v>AG de Coquimbo RAG 55-4</v>
      </c>
      <c r="F43" s="4">
        <v>45658</v>
      </c>
      <c r="G43" s="4">
        <v>46022</v>
      </c>
      <c r="H43">
        <f>+'Artesanal Anchoveta XV-IV'!F11</f>
        <v>248.02099999999999</v>
      </c>
      <c r="I43">
        <f>+'Artesanal Anchoveta XV-IV'!G11</f>
        <v>0</v>
      </c>
      <c r="J43">
        <f>+'Artesanal Anchoveta XV-IV'!H11</f>
        <v>248.02099999999999</v>
      </c>
      <c r="K43">
        <f>+'Artesanal Anchoveta XV-IV'!I11</f>
        <v>0</v>
      </c>
      <c r="L43">
        <f>+'Artesanal Anchoveta XV-IV'!K11</f>
        <v>248.02099999999999</v>
      </c>
      <c r="M43" s="1">
        <f>+'Artesanal Anchoveta XV-IV'!L11</f>
        <v>0</v>
      </c>
      <c r="N43" s="6" t="s">
        <v>15</v>
      </c>
      <c r="O43" s="4">
        <f>Resumen!B$4</f>
        <v>45763</v>
      </c>
      <c r="P43">
        <v>2025</v>
      </c>
    </row>
    <row r="44" spans="1:16">
      <c r="A44" t="s">
        <v>258</v>
      </c>
      <c r="B44" t="s">
        <v>258</v>
      </c>
      <c r="C44" t="s">
        <v>20</v>
      </c>
      <c r="D44" t="s">
        <v>266</v>
      </c>
      <c r="E44" t="str">
        <f>+'Artesanal Anchoveta XV-IV'!D12</f>
        <v>CERCOPESCA Rol 4276</v>
      </c>
      <c r="F44" s="4">
        <v>45658</v>
      </c>
      <c r="G44" s="4">
        <v>46022</v>
      </c>
      <c r="H44">
        <f>+'Artesanal Anchoveta XV-IV'!F12</f>
        <v>2841.442</v>
      </c>
      <c r="I44">
        <f>+'Artesanal Anchoveta XV-IV'!G12</f>
        <v>0</v>
      </c>
      <c r="J44">
        <f>+'Artesanal Anchoveta XV-IV'!H12</f>
        <v>2841.442</v>
      </c>
      <c r="K44">
        <f>+'Artesanal Anchoveta XV-IV'!I12</f>
        <v>32.966999999999999</v>
      </c>
      <c r="L44">
        <f>+'Artesanal Anchoveta XV-IV'!K12</f>
        <v>2808.4749999999999</v>
      </c>
      <c r="M44" s="1">
        <f>+'Artesanal Anchoveta XV-IV'!L12</f>
        <v>1.1602207611487406E-2</v>
      </c>
      <c r="N44" s="6" t="s">
        <v>15</v>
      </c>
      <c r="O44" s="4">
        <f>Resumen!B$4</f>
        <v>45763</v>
      </c>
      <c r="P44">
        <v>2025</v>
      </c>
    </row>
    <row r="45" spans="1:16">
      <c r="A45" t="s">
        <v>258</v>
      </c>
      <c r="B45" t="s">
        <v>258</v>
      </c>
      <c r="C45" t="s">
        <v>20</v>
      </c>
      <c r="D45" t="s">
        <v>266</v>
      </c>
      <c r="E45" t="str">
        <f>+'Artesanal Anchoveta XV-IV'!D13</f>
        <v>Cooperativa Pesquera Cerqueros Bahía Coquimbo Rol 6923</v>
      </c>
      <c r="F45" s="4">
        <v>45658</v>
      </c>
      <c r="G45" s="4">
        <v>46022</v>
      </c>
      <c r="H45">
        <f>+'Artesanal Anchoveta XV-IV'!F13</f>
        <v>48.984000000000002</v>
      </c>
      <c r="I45">
        <f>+'Artesanal Anchoveta XV-IV'!G13</f>
        <v>0</v>
      </c>
      <c r="J45">
        <f>+'Artesanal Anchoveta XV-IV'!H13</f>
        <v>48.984000000000002</v>
      </c>
      <c r="K45">
        <f>+'Artesanal Anchoveta XV-IV'!I13</f>
        <v>0</v>
      </c>
      <c r="L45">
        <f>+'Artesanal Anchoveta XV-IV'!K13</f>
        <v>48.984000000000002</v>
      </c>
      <c r="M45" s="1">
        <f>+'Artesanal Anchoveta XV-IV'!L13</f>
        <v>0</v>
      </c>
      <c r="N45" s="6"/>
      <c r="O45" s="4">
        <f>Resumen!B$4</f>
        <v>45763</v>
      </c>
      <c r="P45">
        <v>2025</v>
      </c>
    </row>
    <row r="46" spans="1:16">
      <c r="A46" t="s">
        <v>258</v>
      </c>
      <c r="B46" t="s">
        <v>258</v>
      </c>
      <c r="C46" t="s">
        <v>20</v>
      </c>
      <c r="D46" t="s">
        <v>266</v>
      </c>
      <c r="E46" t="str">
        <f>'Artesanal Anchoveta XV-IV'!D14</f>
        <v>CUOTA RESIDUAL</v>
      </c>
      <c r="F46" s="4">
        <v>45658</v>
      </c>
      <c r="G46" s="4">
        <v>46022</v>
      </c>
      <c r="H46">
        <f>'Artesanal Anchoveta XV-IV'!F14</f>
        <v>225.553</v>
      </c>
      <c r="I46">
        <f>'Artesanal Anchoveta XV-IV'!G14</f>
        <v>0</v>
      </c>
      <c r="J46">
        <f>+'Artesanal Anchoveta XV-IV'!H14</f>
        <v>225.553</v>
      </c>
      <c r="K46">
        <f>+'Artesanal Anchoveta XV-IV'!I14</f>
        <v>0</v>
      </c>
      <c r="L46">
        <f>+'Artesanal Anchoveta XV-IV'!K14</f>
        <v>225.553</v>
      </c>
      <c r="M46" s="1">
        <f>+'Artesanal Anchoveta XV-IV'!L14</f>
        <v>0</v>
      </c>
      <c r="N46" s="6" t="s">
        <v>15</v>
      </c>
      <c r="O46" s="4">
        <f>Resumen!B$4</f>
        <v>45763</v>
      </c>
      <c r="P46">
        <v>2025</v>
      </c>
    </row>
    <row r="47" spans="1:16">
      <c r="A47" t="s">
        <v>258</v>
      </c>
      <c r="B47" t="s">
        <v>258</v>
      </c>
      <c r="C47" t="s">
        <v>188</v>
      </c>
      <c r="D47" t="s">
        <v>266</v>
      </c>
      <c r="E47" t="s">
        <v>267</v>
      </c>
      <c r="F47" s="4">
        <v>45658</v>
      </c>
      <c r="G47" s="4">
        <v>46022</v>
      </c>
      <c r="H47">
        <f>'Artesanal Anchoveta XV-IV'!F15</f>
        <v>500</v>
      </c>
      <c r="I47">
        <f>'Artesanal Anchoveta XV-IV'!G15</f>
        <v>0</v>
      </c>
      <c r="J47">
        <f>+'Artesanal Anchoveta XV-IV'!H15</f>
        <v>500</v>
      </c>
      <c r="K47">
        <f>+'Artesanal Anchoveta XV-IV'!I15</f>
        <v>0</v>
      </c>
      <c r="L47">
        <f>+'Artesanal Anchoveta XV-IV'!K15</f>
        <v>500</v>
      </c>
      <c r="M47" s="14">
        <f>+'Artesanal Anchoveta XV-IV'!L15</f>
        <v>0</v>
      </c>
      <c r="N47" s="15" t="s">
        <v>15</v>
      </c>
      <c r="O47" s="4">
        <f>Resumen!B$4</f>
        <v>45763</v>
      </c>
      <c r="P47">
        <v>2025</v>
      </c>
    </row>
    <row r="48" spans="1:16" s="16" customFormat="1">
      <c r="A48" s="16" t="s">
        <v>258</v>
      </c>
      <c r="B48" s="16" t="s">
        <v>258</v>
      </c>
      <c r="C48" s="16" t="s">
        <v>20</v>
      </c>
      <c r="D48" s="16" t="s">
        <v>266</v>
      </c>
      <c r="E48" s="16" t="s">
        <v>264</v>
      </c>
      <c r="F48" s="4">
        <v>45658</v>
      </c>
      <c r="G48" s="4">
        <v>46022</v>
      </c>
      <c r="H48" s="16">
        <f>+Resumen!E15</f>
        <v>3364</v>
      </c>
      <c r="I48" s="16">
        <f>+Resumen!F15</f>
        <v>0</v>
      </c>
      <c r="J48" s="16">
        <f>+Resumen!G15</f>
        <v>3364</v>
      </c>
      <c r="K48" s="16">
        <f>+Resumen!H15</f>
        <v>32.966999999999999</v>
      </c>
      <c r="L48" s="16">
        <f>+Resumen!I15</f>
        <v>3331.0329999999999</v>
      </c>
      <c r="M48" s="22">
        <f>+Resumen!J15</f>
        <v>9.7999405469678946E-3</v>
      </c>
      <c r="N48" s="23" t="s">
        <v>15</v>
      </c>
      <c r="O48" s="4">
        <f>Resumen!B$4</f>
        <v>45763</v>
      </c>
      <c r="P48">
        <v>2025</v>
      </c>
    </row>
    <row r="49" spans="1:16">
      <c r="A49" t="s">
        <v>261</v>
      </c>
      <c r="B49" t="s">
        <v>261</v>
      </c>
      <c r="C49" t="s">
        <v>80</v>
      </c>
      <c r="D49" t="s">
        <v>268</v>
      </c>
      <c r="E49" t="str">
        <f>+'Artesanal S.española XV-IV'!D7</f>
        <v>MACROZONA XV - I</v>
      </c>
      <c r="F49" s="4">
        <v>45658</v>
      </c>
      <c r="G49" s="4">
        <v>46022</v>
      </c>
      <c r="H49">
        <f>+'Artesanal S.española XV-IV'!F7</f>
        <v>1294</v>
      </c>
      <c r="I49">
        <f>+'Artesanal S.española XV-IV'!G7</f>
        <v>0</v>
      </c>
      <c r="J49">
        <f>+'Artesanal S.española XV-IV'!H7</f>
        <v>1294</v>
      </c>
      <c r="K49">
        <f>+'Artesanal S.española XV-IV'!I7</f>
        <v>254.63200000000001</v>
      </c>
      <c r="L49">
        <f>+'Artesanal S.española XV-IV'!J7</f>
        <v>1039.3679999999999</v>
      </c>
      <c r="M49" s="1">
        <f>+'Artesanal S.española XV-IV'!K7</f>
        <v>0.19677897990726431</v>
      </c>
      <c r="N49" s="6" t="s">
        <v>15</v>
      </c>
      <c r="O49" s="4">
        <f>Resumen!B$4</f>
        <v>45763</v>
      </c>
      <c r="P49">
        <v>2025</v>
      </c>
    </row>
    <row r="50" spans="1:16" s="16" customFormat="1">
      <c r="A50" s="16" t="s">
        <v>261</v>
      </c>
      <c r="B50" s="16" t="s">
        <v>261</v>
      </c>
      <c r="C50" s="16" t="s">
        <v>80</v>
      </c>
      <c r="D50" s="16" t="s">
        <v>268</v>
      </c>
      <c r="E50" s="16" t="s">
        <v>263</v>
      </c>
      <c r="F50" s="4">
        <v>45658</v>
      </c>
      <c r="G50" s="4">
        <v>46022</v>
      </c>
      <c r="H50" s="16">
        <f>+'Artesanal S.española XV-IV'!M7</f>
        <v>1294</v>
      </c>
      <c r="I50" s="16">
        <f>+'Artesanal S.española XV-IV'!N7</f>
        <v>0</v>
      </c>
      <c r="J50" s="16">
        <f>+'Artesanal S.española XV-IV'!O7</f>
        <v>1294</v>
      </c>
      <c r="K50" s="16">
        <f>+'Artesanal S.española XV-IV'!P7</f>
        <v>254.63200000000001</v>
      </c>
      <c r="L50" s="16">
        <f>+'Artesanal S.española XV-IV'!Q7</f>
        <v>1039.3679999999999</v>
      </c>
      <c r="M50" s="22">
        <f>+'Artesanal S.española XV-IV'!R7</f>
        <v>0.19677897990726431</v>
      </c>
      <c r="N50" s="23" t="s">
        <v>15</v>
      </c>
      <c r="O50" s="4">
        <f>Resumen!B$4</f>
        <v>45763</v>
      </c>
      <c r="P50">
        <v>2025</v>
      </c>
    </row>
    <row r="51" spans="1:16">
      <c r="A51" t="s">
        <v>261</v>
      </c>
      <c r="B51" t="s">
        <v>261</v>
      </c>
      <c r="C51" t="s">
        <v>16</v>
      </c>
      <c r="D51" t="s">
        <v>262</v>
      </c>
      <c r="E51" t="str">
        <f>+'Artesanal S.española XV-IV'!D8</f>
        <v>REGIÓN II</v>
      </c>
      <c r="F51" s="4">
        <v>45658</v>
      </c>
      <c r="G51" s="4">
        <v>46022</v>
      </c>
      <c r="H51">
        <f>+'Artesanal S.española XV-IV'!F8</f>
        <v>4895</v>
      </c>
      <c r="I51">
        <f>+'Artesanal S.española XV-IV'!G8</f>
        <v>0</v>
      </c>
      <c r="J51">
        <f>+'Artesanal S.española XV-IV'!H8</f>
        <v>4895</v>
      </c>
      <c r="K51">
        <f>+'Artesanal S.española XV-IV'!I8</f>
        <v>2271.48</v>
      </c>
      <c r="L51">
        <f>+'Artesanal S.española XV-IV'!J8</f>
        <v>2623.52</v>
      </c>
      <c r="M51" s="14">
        <f>+'Artesanal S.española XV-IV'!K8</f>
        <v>0.46404085801838613</v>
      </c>
      <c r="N51" s="15" t="str">
        <f>'Artesanal S.española XV-IV'!L8</f>
        <v>-</v>
      </c>
      <c r="O51" s="4">
        <f>Resumen!B$4</f>
        <v>45763</v>
      </c>
      <c r="P51">
        <v>2025</v>
      </c>
    </row>
    <row r="52" spans="1:16" s="16" customFormat="1">
      <c r="A52" s="16" t="s">
        <v>261</v>
      </c>
      <c r="B52" s="16" t="s">
        <v>261</v>
      </c>
      <c r="C52" s="16" t="s">
        <v>16</v>
      </c>
      <c r="D52" s="16" t="s">
        <v>262</v>
      </c>
      <c r="E52" s="16" t="s">
        <v>263</v>
      </c>
      <c r="F52" s="4">
        <v>45658</v>
      </c>
      <c r="G52" s="4">
        <v>46022</v>
      </c>
      <c r="H52" s="16">
        <f>+'Artesanal S.española XV-IV'!M8</f>
        <v>4895</v>
      </c>
      <c r="I52" s="16">
        <f>+'Artesanal S.española XV-IV'!N8</f>
        <v>0</v>
      </c>
      <c r="J52" s="16">
        <f>+'Artesanal S.española XV-IV'!O8</f>
        <v>4895</v>
      </c>
      <c r="K52" s="16">
        <f>+'Artesanal S.española XV-IV'!P8</f>
        <v>2271.48</v>
      </c>
      <c r="L52" s="16">
        <f>+'Artesanal S.española XV-IV'!Q8</f>
        <v>2623.52</v>
      </c>
      <c r="M52" s="22">
        <f>+'Artesanal S.española XV-IV'!R8</f>
        <v>0.46404085801838613</v>
      </c>
      <c r="N52" s="23" t="s">
        <v>15</v>
      </c>
      <c r="O52" s="4">
        <f>Resumen!B$4</f>
        <v>45763</v>
      </c>
      <c r="P52">
        <v>2025</v>
      </c>
    </row>
    <row r="53" spans="1:16" s="16" customFormat="1">
      <c r="A53" s="16" t="s">
        <v>261</v>
      </c>
      <c r="B53" s="16" t="s">
        <v>261</v>
      </c>
      <c r="C53" s="16" t="s">
        <v>27</v>
      </c>
      <c r="D53" s="16" t="s">
        <v>262</v>
      </c>
      <c r="E53" s="16" t="s">
        <v>269</v>
      </c>
      <c r="F53" s="4">
        <v>45658</v>
      </c>
      <c r="G53" s="4">
        <v>46022</v>
      </c>
      <c r="H53">
        <f>+'Artesanal S.española XV-IV'!F9</f>
        <v>700</v>
      </c>
      <c r="I53">
        <f>+'Artesanal S.española XV-IV'!G9</f>
        <v>0</v>
      </c>
      <c r="J53">
        <f>+'Artesanal S.española XV-IV'!H9</f>
        <v>700</v>
      </c>
      <c r="K53">
        <f>+'Artesanal S.española XV-IV'!I9</f>
        <v>108.843</v>
      </c>
      <c r="L53">
        <f>+'Artesanal S.española XV-IV'!J9</f>
        <v>591.15700000000004</v>
      </c>
      <c r="M53" s="14">
        <f>+'Artesanal S.española XV-IV'!K9</f>
        <v>0.15549000000000002</v>
      </c>
      <c r="N53" s="15" t="s">
        <v>15</v>
      </c>
      <c r="O53" s="4">
        <f>Resumen!B$4</f>
        <v>45763</v>
      </c>
      <c r="P53">
        <v>2025</v>
      </c>
    </row>
    <row r="54" spans="1:16">
      <c r="A54" t="s">
        <v>261</v>
      </c>
      <c r="B54" t="s">
        <v>261</v>
      </c>
      <c r="C54" t="s">
        <v>18</v>
      </c>
      <c r="D54" t="s">
        <v>262</v>
      </c>
      <c r="E54" t="str">
        <f>+'Artesanal S.española XV-IV'!D10</f>
        <v>REGIÓN III</v>
      </c>
      <c r="F54" s="4">
        <v>45658</v>
      </c>
      <c r="G54" s="4">
        <v>46022</v>
      </c>
      <c r="H54">
        <f>+'Artesanal S.española XV-IV'!F10</f>
        <v>880.75</v>
      </c>
      <c r="I54">
        <f>+'Artesanal S.española XV-IV'!G10</f>
        <v>0</v>
      </c>
      <c r="J54">
        <f>+'Artesanal S.española XV-IV'!H10</f>
        <v>880.75</v>
      </c>
      <c r="K54">
        <f>+'Artesanal S.española XV-IV'!I10</f>
        <v>463.16899999999998</v>
      </c>
      <c r="L54">
        <f>+'Artesanal S.española XV-IV'!J10</f>
        <v>417.58100000000002</v>
      </c>
      <c r="M54" s="14">
        <f>+'Artesanal S.española XV-IV'!K9</f>
        <v>0.15549000000000002</v>
      </c>
      <c r="N54" s="15" t="s">
        <v>15</v>
      </c>
      <c r="O54" s="4">
        <f>Resumen!B$4</f>
        <v>45763</v>
      </c>
      <c r="P54">
        <v>2025</v>
      </c>
    </row>
    <row r="55" spans="1:16" s="16" customFormat="1">
      <c r="A55" s="16" t="s">
        <v>261</v>
      </c>
      <c r="B55" s="16" t="s">
        <v>261</v>
      </c>
      <c r="C55" s="16" t="s">
        <v>18</v>
      </c>
      <c r="D55" s="16" t="s">
        <v>262</v>
      </c>
      <c r="E55" s="16" t="s">
        <v>263</v>
      </c>
      <c r="F55" s="4">
        <v>45658</v>
      </c>
      <c r="G55" s="4">
        <v>46022</v>
      </c>
      <c r="H55" s="16">
        <f>+'Artesanal S.española XV-IV'!M10</f>
        <v>880.75</v>
      </c>
      <c r="I55" s="16">
        <f>+'Artesanal S.española XV-IV'!N10</f>
        <v>0</v>
      </c>
      <c r="J55" s="16">
        <f>+'Artesanal S.española XV-IV'!O10</f>
        <v>880.75</v>
      </c>
      <c r="K55" s="16">
        <f>+'Artesanal S.española XV-IV'!P10</f>
        <v>463.16899999999998</v>
      </c>
      <c r="L55" s="16">
        <f>+'Artesanal S.española XV-IV'!Q10</f>
        <v>417.58100000000002</v>
      </c>
      <c r="M55" s="22">
        <f>+'Artesanal S.española XV-IV'!R9</f>
        <v>0.15549000000000002</v>
      </c>
      <c r="N55" s="23" t="s">
        <v>15</v>
      </c>
      <c r="O55" s="4">
        <f>Resumen!B$4</f>
        <v>45763</v>
      </c>
      <c r="P55">
        <v>2025</v>
      </c>
    </row>
    <row r="56" spans="1:16">
      <c r="A56" t="s">
        <v>261</v>
      </c>
      <c r="B56" t="s">
        <v>261</v>
      </c>
      <c r="C56" t="s">
        <v>20</v>
      </c>
      <c r="D56" t="s">
        <v>262</v>
      </c>
      <c r="E56" t="str">
        <f>+'Artesanal S.española XV-IV'!D11</f>
        <v>REGIÓN IV</v>
      </c>
      <c r="F56" s="4">
        <v>45658</v>
      </c>
      <c r="G56" s="4">
        <v>46022</v>
      </c>
      <c r="H56">
        <f>+'Artesanal S.española XV-IV'!F11</f>
        <v>880.75</v>
      </c>
      <c r="I56">
        <f>+'Artesanal S.española XV-IV'!G11</f>
        <v>0</v>
      </c>
      <c r="J56">
        <f>+'Artesanal S.española XV-IV'!H11</f>
        <v>880.75</v>
      </c>
      <c r="K56">
        <f>+'Artesanal S.española XV-IV'!I11</f>
        <v>147.68</v>
      </c>
      <c r="L56">
        <f>+'Artesanal S.española XV-IV'!J11</f>
        <v>733.06999999999994</v>
      </c>
      <c r="M56" s="14">
        <f>+'Artesanal S.española XV-IV'!K11</f>
        <v>0.16767527675276753</v>
      </c>
      <c r="N56" s="15" t="s">
        <v>15</v>
      </c>
      <c r="O56" s="4">
        <f>Resumen!B$4</f>
        <v>45763</v>
      </c>
      <c r="P56">
        <v>2025</v>
      </c>
    </row>
    <row r="57" spans="1:16">
      <c r="A57" t="s">
        <v>261</v>
      </c>
      <c r="B57" t="s">
        <v>261</v>
      </c>
      <c r="C57" t="s">
        <v>188</v>
      </c>
      <c r="D57" t="s">
        <v>262</v>
      </c>
      <c r="E57" t="s">
        <v>267</v>
      </c>
      <c r="F57" s="4">
        <v>45292</v>
      </c>
      <c r="G57" s="4">
        <v>46022</v>
      </c>
      <c r="H57">
        <f>+'Artesanal S.española XV-IV'!F12</f>
        <v>700</v>
      </c>
      <c r="I57">
        <f>+'Artesanal S.española XV-IV'!G12</f>
        <v>0</v>
      </c>
      <c r="J57">
        <f>+'Artesanal S.española XV-IV'!H12</f>
        <v>700</v>
      </c>
      <c r="K57">
        <f>+'Artesanal S.española XV-IV'!I12</f>
        <v>4.157</v>
      </c>
      <c r="L57">
        <f>+'Artesanal S.española XV-IV'!J12</f>
        <v>695.84299999999996</v>
      </c>
      <c r="M57" s="14">
        <f>+'Artesanal S.española XV-IV'!K12</f>
        <v>5.9385714285714285E-3</v>
      </c>
      <c r="N57" s="15" t="s">
        <v>15</v>
      </c>
      <c r="O57" s="4">
        <f>Resumen!B$4</f>
        <v>45763</v>
      </c>
      <c r="P57">
        <v>2025</v>
      </c>
    </row>
    <row r="58" spans="1:16" s="16" customFormat="1">
      <c r="A58" s="16" t="s">
        <v>261</v>
      </c>
      <c r="B58" s="16" t="s">
        <v>261</v>
      </c>
      <c r="C58" s="16" t="s">
        <v>20</v>
      </c>
      <c r="D58" s="16" t="s">
        <v>262</v>
      </c>
      <c r="E58" s="16" t="s">
        <v>263</v>
      </c>
      <c r="F58" s="19">
        <v>45292</v>
      </c>
      <c r="G58" s="4">
        <v>46022</v>
      </c>
      <c r="H58" s="16">
        <f>+'Artesanal S.española XV-IV'!M11</f>
        <v>880.75</v>
      </c>
      <c r="I58" s="16">
        <f>+'Artesanal S.española XV-IV'!N11</f>
        <v>0</v>
      </c>
      <c r="J58" s="16">
        <f>+'Artesanal S.española XV-IV'!O11</f>
        <v>880.75</v>
      </c>
      <c r="K58" s="16">
        <f>+'Artesanal S.española XV-IV'!P11</f>
        <v>147.68</v>
      </c>
      <c r="L58" s="16">
        <f>+'Artesanal S.española XV-IV'!Q11</f>
        <v>733.06999999999994</v>
      </c>
      <c r="M58" s="22">
        <f>+'Artesanal S.española XV-IV'!R11</f>
        <v>0.16767527675276753</v>
      </c>
      <c r="N58" s="23" t="s">
        <v>15</v>
      </c>
      <c r="O58" s="4">
        <f>Resumen!B$4</f>
        <v>45763</v>
      </c>
      <c r="P58">
        <v>2025</v>
      </c>
    </row>
  </sheetData>
  <autoFilter ref="A1:Q58" xr:uid="{00000000-0009-0000-0000-000008000000}"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kmolina</dc:creator>
  <cp:keywords/>
  <dc:description/>
  <cp:lastModifiedBy>ZULETA ESPINOZA, GERALDINE</cp:lastModifiedBy>
  <cp:revision/>
  <dcterms:created xsi:type="dcterms:W3CDTF">2019-10-16T16:01:09Z</dcterms:created>
  <dcterms:modified xsi:type="dcterms:W3CDTF">2025-04-16T21:47:12Z</dcterms:modified>
  <cp:category/>
  <cp:contentStatus/>
</cp:coreProperties>
</file>