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ernapesca-my.sharepoint.com/personal/mcea_sernapesca_cl/Documents/PLANILLAS AÑO 2025/04_Langostino Amarillo_III-IV_y_V-VIII_2025/"/>
    </mc:Choice>
  </mc:AlternateContent>
  <xr:revisionPtr revIDLastSave="340" documentId="8_{5574AE63-88ED-4347-B093-5F8A2C33A17B}" xr6:coauthVersionLast="47" xr6:coauthVersionMax="47" xr10:uidLastSave="{3B26D019-2086-41AE-B18E-665FED8DE1F6}"/>
  <bookViews>
    <workbookView xWindow="-108" yWindow="-108" windowWidth="23256" windowHeight="12456" tabRatio="769" xr2:uid="{00000000-000D-0000-FFFF-FFFF00000000}"/>
  </bookViews>
  <sheets>
    <sheet name="RESUMEN " sheetId="1" r:id="rId1"/>
    <sheet name="CUOTA ARTESANAL" sheetId="2" r:id="rId2"/>
    <sheet name="CUOTA LTP" sheetId="3" r:id="rId3"/>
    <sheet name="CUOTA LICITADA" sheetId="5" r:id="rId4"/>
    <sheet name="PESCA DE INVESTIGACION" sheetId="7" r:id="rId5"/>
    <sheet name="CESIONES INDIVIDUALES" sheetId="9" r:id="rId6"/>
    <sheet name="Hoja1" sheetId="8" r:id="rId7"/>
    <sheet name="PAG. WEB" sheetId="6" r:id="rId8"/>
  </sheets>
  <definedNames>
    <definedName name="_xlnm._FilterDatabase" localSheetId="7" hidden="1">'PAG. WEB'!$A$1:$Q$191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6" l="1"/>
  <c r="N5" i="6"/>
  <c r="N6" i="6"/>
  <c r="N8" i="6"/>
  <c r="N9" i="6"/>
  <c r="N11" i="6"/>
  <c r="N12" i="6"/>
  <c r="N14" i="6"/>
  <c r="N15" i="6"/>
  <c r="N17" i="6"/>
  <c r="N18" i="6"/>
  <c r="N20" i="6"/>
  <c r="N21" i="6"/>
  <c r="G87" i="5"/>
  <c r="G67" i="5"/>
  <c r="G49" i="5"/>
  <c r="G29" i="5"/>
  <c r="G71" i="5"/>
  <c r="G61" i="5"/>
  <c r="G33" i="5"/>
  <c r="G23" i="5"/>
  <c r="U10" i="8"/>
  <c r="F13" i="5"/>
  <c r="B10" i="5"/>
  <c r="B3" i="3"/>
  <c r="B3" i="2"/>
  <c r="B21" i="1"/>
  <c r="E89" i="5"/>
  <c r="I89" i="5" l="1"/>
  <c r="G89" i="5"/>
  <c r="M49" i="5" l="1"/>
  <c r="O49" i="5"/>
  <c r="F49" i="5"/>
  <c r="F50" i="5"/>
  <c r="M87" i="5"/>
  <c r="O87" i="5"/>
  <c r="F87" i="5"/>
  <c r="H87" i="5" s="1"/>
  <c r="F88" i="5"/>
  <c r="L49" i="5" l="1"/>
  <c r="L87" i="5"/>
  <c r="N87" i="5" s="1"/>
  <c r="P87" i="5" s="1"/>
  <c r="H49" i="5"/>
  <c r="J49" i="5" s="1"/>
  <c r="H50" i="5" s="1"/>
  <c r="J87" i="5"/>
  <c r="H88" i="5" s="1"/>
  <c r="K87" i="5"/>
  <c r="H13" i="1"/>
  <c r="N49" i="5" l="1"/>
  <c r="P49" i="5" s="1"/>
  <c r="Q87" i="5"/>
  <c r="K49" i="5"/>
  <c r="K50" i="5"/>
  <c r="J50" i="5"/>
  <c r="J88" i="5"/>
  <c r="K88" i="5"/>
  <c r="Q49" i="5" l="1"/>
  <c r="F85" i="5"/>
  <c r="H85" i="5" s="1"/>
  <c r="F86" i="5"/>
  <c r="F47" i="5"/>
  <c r="H47" i="5" s="1"/>
  <c r="K47" i="5" s="1"/>
  <c r="F48" i="5"/>
  <c r="M85" i="5"/>
  <c r="O85" i="5"/>
  <c r="M47" i="5"/>
  <c r="O47" i="5"/>
  <c r="J47" i="5" l="1"/>
  <c r="H48" i="5" s="1"/>
  <c r="J85" i="5"/>
  <c r="H86" i="5" s="1"/>
  <c r="K85" i="5"/>
  <c r="L85" i="5"/>
  <c r="N85" i="5" s="1"/>
  <c r="P85" i="5" s="1"/>
  <c r="L47" i="5"/>
  <c r="N47" i="5" s="1"/>
  <c r="P47" i="5" s="1"/>
  <c r="E54" i="3"/>
  <c r="K52" i="3"/>
  <c r="L52" i="3"/>
  <c r="N52" i="3"/>
  <c r="G52" i="3"/>
  <c r="I52" i="3" s="1"/>
  <c r="G53" i="3" s="1"/>
  <c r="K28" i="3"/>
  <c r="L28" i="3"/>
  <c r="N28" i="3"/>
  <c r="G28" i="3"/>
  <c r="I28" i="3" s="1"/>
  <c r="G29" i="3" s="1"/>
  <c r="M52" i="3" l="1"/>
  <c r="P52" i="3" s="1"/>
  <c r="M28" i="3"/>
  <c r="P28" i="3" s="1"/>
  <c r="O52" i="3"/>
  <c r="K48" i="5"/>
  <c r="J48" i="5"/>
  <c r="Q47" i="5"/>
  <c r="J86" i="5"/>
  <c r="K86" i="5"/>
  <c r="Q85" i="5"/>
  <c r="J53" i="3"/>
  <c r="I53" i="3"/>
  <c r="J52" i="3"/>
  <c r="I29" i="3"/>
  <c r="J29" i="3"/>
  <c r="J28" i="3"/>
  <c r="O28" i="3" l="1"/>
  <c r="H54" i="3" l="1"/>
  <c r="F25" i="1" l="1"/>
  <c r="Q3" i="8" l="1"/>
  <c r="V3" i="8"/>
  <c r="Q4" i="8"/>
  <c r="V4" i="8"/>
  <c r="O5" i="8"/>
  <c r="P5" i="8"/>
  <c r="T5" i="8"/>
  <c r="U5" i="8"/>
  <c r="F24" i="1" l="1"/>
  <c r="F28" i="1" s="1"/>
  <c r="Q5" i="8"/>
  <c r="V5" i="8"/>
  <c r="O188" i="6"/>
  <c r="O189" i="6"/>
  <c r="O190" i="6"/>
  <c r="O173" i="6"/>
  <c r="O174" i="6"/>
  <c r="O175" i="6"/>
  <c r="O176" i="6"/>
  <c r="O177" i="6"/>
  <c r="O178" i="6"/>
  <c r="O179" i="6"/>
  <c r="O180" i="6"/>
  <c r="O181" i="6"/>
  <c r="R11" i="8" l="1"/>
  <c r="R10" i="8"/>
  <c r="F54" i="3"/>
  <c r="G54" i="3" s="1"/>
  <c r="I54" i="3" s="1"/>
  <c r="S10" i="8" l="1"/>
  <c r="T10" i="8"/>
  <c r="T11" i="8"/>
  <c r="S11" i="8"/>
  <c r="I173" i="6"/>
  <c r="K173" i="6"/>
  <c r="I174" i="6"/>
  <c r="K174" i="6"/>
  <c r="I176" i="6"/>
  <c r="K176" i="6"/>
  <c r="I177" i="6"/>
  <c r="K177" i="6"/>
  <c r="I179" i="6"/>
  <c r="K179" i="6"/>
  <c r="I180" i="6"/>
  <c r="K180" i="6"/>
  <c r="I182" i="6"/>
  <c r="K182" i="6"/>
  <c r="I183" i="6"/>
  <c r="K183" i="6"/>
  <c r="I185" i="6"/>
  <c r="K185" i="6"/>
  <c r="I186" i="6"/>
  <c r="K186" i="6"/>
  <c r="I188" i="6"/>
  <c r="K188" i="6"/>
  <c r="I189" i="6"/>
  <c r="K189" i="6"/>
  <c r="E190" i="6"/>
  <c r="E188" i="6"/>
  <c r="E189" i="6"/>
  <c r="E187" i="6"/>
  <c r="E185" i="6"/>
  <c r="E186" i="6"/>
  <c r="E181" i="6"/>
  <c r="E180" i="6"/>
  <c r="E179" i="6"/>
  <c r="E178" i="6"/>
  <c r="E177" i="6"/>
  <c r="E176" i="6"/>
  <c r="E175" i="6"/>
  <c r="E173" i="6"/>
  <c r="E174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I122" i="6"/>
  <c r="K122" i="6"/>
  <c r="I123" i="6"/>
  <c r="K123" i="6"/>
  <c r="I125" i="6"/>
  <c r="K125" i="6"/>
  <c r="I126" i="6"/>
  <c r="K126" i="6"/>
  <c r="I128" i="6"/>
  <c r="K128" i="6"/>
  <c r="I129" i="6"/>
  <c r="K129" i="6"/>
  <c r="I131" i="6"/>
  <c r="K131" i="6"/>
  <c r="I132" i="6"/>
  <c r="K132" i="6"/>
  <c r="I134" i="6"/>
  <c r="K134" i="6"/>
  <c r="I135" i="6"/>
  <c r="K135" i="6"/>
  <c r="I137" i="6"/>
  <c r="K137" i="6"/>
  <c r="I138" i="6"/>
  <c r="K138" i="6"/>
  <c r="E139" i="6"/>
  <c r="E137" i="6"/>
  <c r="E138" i="6"/>
  <c r="E136" i="6"/>
  <c r="E134" i="6"/>
  <c r="E135" i="6"/>
  <c r="E130" i="6"/>
  <c r="E128" i="6"/>
  <c r="E129" i="6"/>
  <c r="E127" i="6"/>
  <c r="E125" i="6"/>
  <c r="E126" i="6"/>
  <c r="E124" i="6"/>
  <c r="E122" i="6"/>
  <c r="E123" i="6"/>
  <c r="O80" i="6" l="1"/>
  <c r="O81" i="6"/>
  <c r="O82" i="6"/>
  <c r="O83" i="6"/>
  <c r="O84" i="6"/>
  <c r="I82" i="6"/>
  <c r="K82" i="6"/>
  <c r="I83" i="6"/>
  <c r="K83" i="6"/>
  <c r="H83" i="6"/>
  <c r="H82" i="6"/>
  <c r="E84" i="6"/>
  <c r="E82" i="6"/>
  <c r="E83" i="6"/>
  <c r="O49" i="6"/>
  <c r="O50" i="6"/>
  <c r="O51" i="6"/>
  <c r="I49" i="6"/>
  <c r="K49" i="6"/>
  <c r="I50" i="6"/>
  <c r="K50" i="6"/>
  <c r="H50" i="6"/>
  <c r="H49" i="6"/>
  <c r="E51" i="6"/>
  <c r="E49" i="6"/>
  <c r="E50" i="6"/>
  <c r="G14" i="1" l="1"/>
  <c r="J14" i="1" s="1"/>
  <c r="I14" i="1" l="1"/>
  <c r="AG63" i="3" l="1"/>
  <c r="D66" i="3"/>
  <c r="C91" i="3"/>
  <c r="J66" i="3"/>
  <c r="AG116" i="3"/>
  <c r="AG117" i="3"/>
  <c r="AB113" i="3"/>
  <c r="AB112" i="3"/>
  <c r="AG85" i="3"/>
  <c r="AG86" i="3"/>
  <c r="AB82" i="3"/>
  <c r="AB81" i="3"/>
  <c r="M81" i="5" l="1"/>
  <c r="I187" i="6" s="1"/>
  <c r="O81" i="5"/>
  <c r="K187" i="6" s="1"/>
  <c r="M83" i="5"/>
  <c r="I190" i="6" s="1"/>
  <c r="O83" i="5"/>
  <c r="K190" i="6" s="1"/>
  <c r="F81" i="5"/>
  <c r="F82" i="5"/>
  <c r="H186" i="6" s="1"/>
  <c r="F83" i="5"/>
  <c r="F84" i="5"/>
  <c r="H189" i="6" s="1"/>
  <c r="M45" i="5"/>
  <c r="O45" i="5"/>
  <c r="K139" i="6" s="1"/>
  <c r="M43" i="5"/>
  <c r="I136" i="6" s="1"/>
  <c r="O43" i="5"/>
  <c r="K136" i="6" s="1"/>
  <c r="F45" i="5"/>
  <c r="F46" i="5"/>
  <c r="H138" i="6" s="1"/>
  <c r="F43" i="5"/>
  <c r="H134" i="6" s="1"/>
  <c r="F44" i="5"/>
  <c r="H135" i="6" s="1"/>
  <c r="I139" i="6" l="1"/>
  <c r="H43" i="5"/>
  <c r="J43" i="5" s="1"/>
  <c r="L134" i="6" s="1"/>
  <c r="H83" i="5"/>
  <c r="J188" i="6" s="1"/>
  <c r="H188" i="6"/>
  <c r="H81" i="5"/>
  <c r="J185" i="6" s="1"/>
  <c r="H185" i="6"/>
  <c r="H45" i="5"/>
  <c r="J137" i="6" s="1"/>
  <c r="H137" i="6"/>
  <c r="L43" i="5"/>
  <c r="L45" i="5"/>
  <c r="L81" i="5"/>
  <c r="L83" i="5"/>
  <c r="K43" i="5" l="1"/>
  <c r="M134" i="6" s="1"/>
  <c r="J134" i="6"/>
  <c r="H44" i="5"/>
  <c r="K44" i="5" s="1"/>
  <c r="M135" i="6" s="1"/>
  <c r="K83" i="5"/>
  <c r="M188" i="6" s="1"/>
  <c r="J83" i="5"/>
  <c r="N83" i="5"/>
  <c r="Q83" i="5" s="1"/>
  <c r="M190" i="6" s="1"/>
  <c r="H190" i="6"/>
  <c r="K81" i="5"/>
  <c r="M185" i="6" s="1"/>
  <c r="J81" i="5"/>
  <c r="N81" i="5"/>
  <c r="Q81" i="5" s="1"/>
  <c r="M187" i="6" s="1"/>
  <c r="H187" i="6"/>
  <c r="J45" i="5"/>
  <c r="K45" i="5"/>
  <c r="M137" i="6" s="1"/>
  <c r="N45" i="5"/>
  <c r="Q45" i="5" s="1"/>
  <c r="M139" i="6" s="1"/>
  <c r="H139" i="6"/>
  <c r="J135" i="6"/>
  <c r="N43" i="5"/>
  <c r="Q43" i="5" s="1"/>
  <c r="M136" i="6" s="1"/>
  <c r="H136" i="6"/>
  <c r="J44" i="5" l="1"/>
  <c r="L135" i="6" s="1"/>
  <c r="H84" i="5"/>
  <c r="L188" i="6"/>
  <c r="P83" i="5"/>
  <c r="L190" i="6" s="1"/>
  <c r="J190" i="6"/>
  <c r="H82" i="5"/>
  <c r="L185" i="6"/>
  <c r="P81" i="5"/>
  <c r="L187" i="6" s="1"/>
  <c r="J187" i="6"/>
  <c r="P45" i="5"/>
  <c r="L139" i="6" s="1"/>
  <c r="J139" i="6"/>
  <c r="H46" i="5"/>
  <c r="L137" i="6"/>
  <c r="P43" i="5"/>
  <c r="L136" i="6" s="1"/>
  <c r="J136" i="6"/>
  <c r="J189" i="6" l="1"/>
  <c r="K84" i="5"/>
  <c r="M189" i="6" s="1"/>
  <c r="J84" i="5"/>
  <c r="L189" i="6" s="1"/>
  <c r="J186" i="6"/>
  <c r="K82" i="5"/>
  <c r="M186" i="6" s="1"/>
  <c r="J82" i="5"/>
  <c r="L186" i="6" s="1"/>
  <c r="J46" i="5"/>
  <c r="L138" i="6" s="1"/>
  <c r="J138" i="6"/>
  <c r="K46" i="5"/>
  <c r="M138" i="6" s="1"/>
  <c r="E19" i="2"/>
  <c r="AG81" i="3"/>
  <c r="AG82" i="3"/>
  <c r="AG65" i="3"/>
  <c r="AG64" i="3"/>
  <c r="AG95" i="3"/>
  <c r="AG94" i="3"/>
  <c r="N91" i="3"/>
  <c r="L91" i="3"/>
  <c r="I91" i="3"/>
  <c r="K91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66" i="3"/>
  <c r="D77" i="3"/>
  <c r="D78" i="3"/>
  <c r="D79" i="3"/>
  <c r="D80" i="3"/>
  <c r="D67" i="3"/>
  <c r="D68" i="3"/>
  <c r="D69" i="3"/>
  <c r="D70" i="3"/>
  <c r="D71" i="3"/>
  <c r="D72" i="3"/>
  <c r="D73" i="3"/>
  <c r="D74" i="3"/>
  <c r="D75" i="3"/>
  <c r="D76" i="3"/>
  <c r="F91" i="3"/>
  <c r="H91" i="3"/>
  <c r="E91" i="3"/>
  <c r="AG119" i="3"/>
  <c r="AG106" i="3"/>
  <c r="AG107" i="3"/>
  <c r="AG108" i="3"/>
  <c r="AG109" i="3"/>
  <c r="AG110" i="3"/>
  <c r="AG111" i="3"/>
  <c r="AG112" i="3"/>
  <c r="AG113" i="3"/>
  <c r="AG114" i="3"/>
  <c r="AG115" i="3"/>
  <c r="AG118" i="3"/>
  <c r="AG75" i="3"/>
  <c r="AG76" i="3"/>
  <c r="AG77" i="3"/>
  <c r="AG78" i="3"/>
  <c r="AG79" i="3"/>
  <c r="AG80" i="3"/>
  <c r="AG83" i="3"/>
  <c r="AG84" i="3"/>
  <c r="AG87" i="3"/>
  <c r="AG88" i="3"/>
  <c r="AG105" i="3"/>
  <c r="AG104" i="3"/>
  <c r="AG103" i="3"/>
  <c r="AG102" i="3"/>
  <c r="AG101" i="3"/>
  <c r="AG100" i="3"/>
  <c r="AG99" i="3"/>
  <c r="AG98" i="3"/>
  <c r="AG97" i="3"/>
  <c r="AG96" i="3"/>
  <c r="AL95" i="3"/>
  <c r="AG74" i="3"/>
  <c r="AG73" i="3"/>
  <c r="AG72" i="3"/>
  <c r="AG71" i="3"/>
  <c r="AG70" i="3"/>
  <c r="AG69" i="3"/>
  <c r="AG68" i="3"/>
  <c r="AG67" i="3"/>
  <c r="AL66" i="3"/>
  <c r="AG66" i="3"/>
  <c r="D91" i="3" l="1"/>
  <c r="AG89" i="3"/>
  <c r="AG120" i="3"/>
  <c r="J91" i="3"/>
  <c r="M91" i="3"/>
  <c r="G91" i="3"/>
  <c r="D92" i="3"/>
  <c r="N92" i="3"/>
  <c r="H92" i="3"/>
  <c r="J92" i="3"/>
  <c r="L92" i="3" l="1"/>
  <c r="F92" i="3"/>
  <c r="F14" i="5"/>
  <c r="E5" i="5"/>
  <c r="E4" i="5"/>
  <c r="G6" i="2" l="1"/>
  <c r="F77" i="5" l="1"/>
  <c r="M77" i="5"/>
  <c r="I181" i="6" s="1"/>
  <c r="O77" i="5"/>
  <c r="K181" i="6" s="1"/>
  <c r="F78" i="5"/>
  <c r="H180" i="6" s="1"/>
  <c r="F39" i="5"/>
  <c r="H128" i="6" s="1"/>
  <c r="M39" i="5"/>
  <c r="I130" i="6" s="1"/>
  <c r="O39" i="5"/>
  <c r="K130" i="6" s="1"/>
  <c r="F40" i="5"/>
  <c r="H129" i="6" s="1"/>
  <c r="H77" i="5" l="1"/>
  <c r="J179" i="6" s="1"/>
  <c r="H179" i="6"/>
  <c r="L39" i="5"/>
  <c r="H39" i="5"/>
  <c r="L77" i="5"/>
  <c r="K77" i="5" l="1"/>
  <c r="M179" i="6" s="1"/>
  <c r="J77" i="5"/>
  <c r="H78" i="5" s="1"/>
  <c r="J180" i="6" s="1"/>
  <c r="N77" i="5"/>
  <c r="Q77" i="5" s="1"/>
  <c r="M181" i="6" s="1"/>
  <c r="H181" i="6"/>
  <c r="N39" i="5"/>
  <c r="H130" i="6"/>
  <c r="J39" i="5"/>
  <c r="J128" i="6"/>
  <c r="K39" i="5"/>
  <c r="M128" i="6" s="1"/>
  <c r="L179" i="6" l="1"/>
  <c r="K78" i="5"/>
  <c r="M180" i="6" s="1"/>
  <c r="J78" i="5"/>
  <c r="L180" i="6" s="1"/>
  <c r="P77" i="5"/>
  <c r="L181" i="6" s="1"/>
  <c r="J181" i="6"/>
  <c r="P39" i="5"/>
  <c r="L130" i="6" s="1"/>
  <c r="J130" i="6"/>
  <c r="Q39" i="5"/>
  <c r="M130" i="6" s="1"/>
  <c r="H40" i="5"/>
  <c r="L128" i="6"/>
  <c r="G13" i="1"/>
  <c r="K40" i="5" l="1"/>
  <c r="M129" i="6" s="1"/>
  <c r="J129" i="6"/>
  <c r="J40" i="5"/>
  <c r="L129" i="6" s="1"/>
  <c r="K86" i="6"/>
  <c r="K85" i="6"/>
  <c r="I86" i="6"/>
  <c r="H86" i="6"/>
  <c r="I85" i="6"/>
  <c r="H85" i="6"/>
  <c r="O85" i="6"/>
  <c r="O86" i="6"/>
  <c r="O87" i="6"/>
  <c r="E87" i="6"/>
  <c r="E86" i="6"/>
  <c r="E85" i="6"/>
  <c r="N50" i="3"/>
  <c r="K87" i="6" s="1"/>
  <c r="L50" i="3"/>
  <c r="I87" i="6" s="1"/>
  <c r="K50" i="3"/>
  <c r="H87" i="6" s="1"/>
  <c r="G50" i="3"/>
  <c r="J50" i="3" l="1"/>
  <c r="M85" i="6" s="1"/>
  <c r="M50" i="3"/>
  <c r="I50" i="3"/>
  <c r="J85" i="6"/>
  <c r="G51" i="3" l="1"/>
  <c r="J51" i="3" s="1"/>
  <c r="L85" i="6"/>
  <c r="O50" i="3"/>
  <c r="L87" i="6" s="1"/>
  <c r="J87" i="6"/>
  <c r="P50" i="3"/>
  <c r="M87" i="6" s="1"/>
  <c r="J86" i="6" l="1"/>
  <c r="I51" i="3"/>
  <c r="L86" i="6" s="1"/>
  <c r="M86" i="6"/>
  <c r="G48" i="3" l="1"/>
  <c r="J82" i="6" s="1"/>
  <c r="L48" i="3"/>
  <c r="I84" i="6" s="1"/>
  <c r="N48" i="3"/>
  <c r="K84" i="6" s="1"/>
  <c r="G24" i="3"/>
  <c r="J49" i="6" s="1"/>
  <c r="K24" i="3"/>
  <c r="H51" i="6" s="1"/>
  <c r="L24" i="3"/>
  <c r="I51" i="6" s="1"/>
  <c r="N24" i="3"/>
  <c r="K51" i="6" s="1"/>
  <c r="M24" i="3" l="1"/>
  <c r="J51" i="6" s="1"/>
  <c r="I48" i="3"/>
  <c r="J48" i="3"/>
  <c r="M82" i="6" s="1"/>
  <c r="K48" i="3"/>
  <c r="I24" i="3"/>
  <c r="J24" i="3"/>
  <c r="M49" i="6" s="1"/>
  <c r="G25" i="3" l="1"/>
  <c r="J50" i="6" s="1"/>
  <c r="L49" i="6"/>
  <c r="M48" i="3"/>
  <c r="P48" i="3" s="1"/>
  <c r="M84" i="6" s="1"/>
  <c r="H84" i="6"/>
  <c r="G49" i="3"/>
  <c r="J83" i="6" s="1"/>
  <c r="L82" i="6"/>
  <c r="O24" i="3"/>
  <c r="L51" i="6" s="1"/>
  <c r="P24" i="3"/>
  <c r="M51" i="6" s="1"/>
  <c r="J25" i="3"/>
  <c r="M50" i="6" s="1"/>
  <c r="I25" i="3" l="1"/>
  <c r="L50" i="6" s="1"/>
  <c r="I49" i="3"/>
  <c r="L83" i="6" s="1"/>
  <c r="O48" i="3"/>
  <c r="L84" i="6" s="1"/>
  <c r="J84" i="6"/>
  <c r="J49" i="3"/>
  <c r="M83" i="6" s="1"/>
  <c r="F75" i="5"/>
  <c r="M75" i="5"/>
  <c r="I178" i="6" s="1"/>
  <c r="O75" i="5"/>
  <c r="K178" i="6" s="1"/>
  <c r="F76" i="5"/>
  <c r="H177" i="6" s="1"/>
  <c r="F37" i="5"/>
  <c r="M37" i="5"/>
  <c r="I127" i="6" s="1"/>
  <c r="F38" i="5"/>
  <c r="H126" i="6" s="1"/>
  <c r="H37" i="5" l="1"/>
  <c r="J125" i="6" s="1"/>
  <c r="H125" i="6"/>
  <c r="H75" i="5"/>
  <c r="J176" i="6" s="1"/>
  <c r="H176" i="6"/>
  <c r="L75" i="5"/>
  <c r="L37" i="5"/>
  <c r="N37" i="5" l="1"/>
  <c r="J127" i="6" s="1"/>
  <c r="H127" i="6"/>
  <c r="K75" i="5"/>
  <c r="M176" i="6" s="1"/>
  <c r="J75" i="5"/>
  <c r="N75" i="5"/>
  <c r="Q75" i="5" s="1"/>
  <c r="M178" i="6" s="1"/>
  <c r="H178" i="6"/>
  <c r="P75" i="5" l="1"/>
  <c r="L178" i="6" s="1"/>
  <c r="J178" i="6"/>
  <c r="H76" i="5"/>
  <c r="L176" i="6"/>
  <c r="O185" i="6"/>
  <c r="O186" i="6"/>
  <c r="O187" i="6"/>
  <c r="F73" i="5"/>
  <c r="H173" i="6" s="1"/>
  <c r="M73" i="5"/>
  <c r="I175" i="6" s="1"/>
  <c r="O73" i="5"/>
  <c r="K175" i="6" s="1"/>
  <c r="F74" i="5"/>
  <c r="H174" i="6" s="1"/>
  <c r="F35" i="5"/>
  <c r="M35" i="5"/>
  <c r="I124" i="6" s="1"/>
  <c r="O35" i="5"/>
  <c r="K124" i="6" s="1"/>
  <c r="F36" i="5"/>
  <c r="H123" i="6" s="1"/>
  <c r="H35" i="5" l="1"/>
  <c r="J122" i="6" s="1"/>
  <c r="H122" i="6"/>
  <c r="J76" i="5"/>
  <c r="L177" i="6" s="1"/>
  <c r="J177" i="6"/>
  <c r="K76" i="5"/>
  <c r="M177" i="6" s="1"/>
  <c r="L73" i="5"/>
  <c r="H73" i="5"/>
  <c r="J173" i="6" s="1"/>
  <c r="L35" i="5"/>
  <c r="H124" i="6" s="1"/>
  <c r="K35" i="5" l="1"/>
  <c r="M122" i="6" s="1"/>
  <c r="J35" i="5"/>
  <c r="L122" i="6" s="1"/>
  <c r="N73" i="5"/>
  <c r="Q73" i="5" s="1"/>
  <c r="M175" i="6" s="1"/>
  <c r="H175" i="6"/>
  <c r="K73" i="5"/>
  <c r="M173" i="6" s="1"/>
  <c r="J73" i="5"/>
  <c r="L173" i="6" s="1"/>
  <c r="N35" i="5"/>
  <c r="J124" i="6" s="1"/>
  <c r="H36" i="5" l="1"/>
  <c r="J123" i="6" s="1"/>
  <c r="P73" i="5"/>
  <c r="L175" i="6" s="1"/>
  <c r="J175" i="6"/>
  <c r="H74" i="5"/>
  <c r="J174" i="6" s="1"/>
  <c r="P35" i="5"/>
  <c r="L124" i="6" s="1"/>
  <c r="Q35" i="5"/>
  <c r="M124" i="6" s="1"/>
  <c r="J36" i="5" l="1"/>
  <c r="L123" i="6" s="1"/>
  <c r="K36" i="5"/>
  <c r="M123" i="6" s="1"/>
  <c r="J74" i="5"/>
  <c r="L174" i="6" s="1"/>
  <c r="K74" i="5"/>
  <c r="M174" i="6" s="1"/>
  <c r="F51" i="5"/>
  <c r="G35" i="8"/>
  <c r="E33" i="8"/>
  <c r="F33" i="8" s="1"/>
  <c r="H33" i="8" s="1"/>
  <c r="D31" i="8"/>
  <c r="E31" i="8" s="1"/>
  <c r="F31" i="8" s="1"/>
  <c r="H31" i="8" s="1"/>
  <c r="E29" i="8"/>
  <c r="F29" i="8" s="1"/>
  <c r="H29" i="8" s="1"/>
  <c r="E27" i="8"/>
  <c r="F27" i="8" s="1"/>
  <c r="H27" i="8" s="1"/>
  <c r="E25" i="8"/>
  <c r="F25" i="8" s="1"/>
  <c r="H25" i="8" s="1"/>
  <c r="D23" i="8"/>
  <c r="C23" i="8"/>
  <c r="E21" i="8"/>
  <c r="F21" i="8" s="1"/>
  <c r="H21" i="8" s="1"/>
  <c r="D19" i="8"/>
  <c r="E19" i="8" s="1"/>
  <c r="F19" i="8" s="1"/>
  <c r="H19" i="8" s="1"/>
  <c r="E17" i="8"/>
  <c r="F17" i="8" s="1"/>
  <c r="H17" i="8" s="1"/>
  <c r="D15" i="8"/>
  <c r="C15" i="8"/>
  <c r="D8" i="8"/>
  <c r="E8" i="8" s="1"/>
  <c r="F8" i="8" s="1"/>
  <c r="H8" i="8" s="1"/>
  <c r="D2" i="8"/>
  <c r="E2" i="8" s="1"/>
  <c r="F2" i="8" s="1"/>
  <c r="H2" i="8" s="1"/>
  <c r="D12" i="8"/>
  <c r="D4" i="8"/>
  <c r="C4" i="8"/>
  <c r="E6" i="8"/>
  <c r="F6" i="8" s="1"/>
  <c r="H6" i="8" s="1"/>
  <c r="E10" i="8"/>
  <c r="F10" i="8" s="1"/>
  <c r="H10" i="8" s="1"/>
  <c r="C35" i="8" l="1"/>
  <c r="D35" i="8"/>
  <c r="E23" i="8"/>
  <c r="F23" i="8" s="1"/>
  <c r="H23" i="8" s="1"/>
  <c r="E15" i="8"/>
  <c r="F15" i="8" s="1"/>
  <c r="H15" i="8" s="1"/>
  <c r="E12" i="8"/>
  <c r="F12" i="8" s="1"/>
  <c r="E4" i="8"/>
  <c r="F4" i="8" s="1"/>
  <c r="H4" i="8" s="1"/>
  <c r="H35" i="8" l="1"/>
  <c r="H12" i="8"/>
  <c r="F35" i="8"/>
  <c r="E35" i="8"/>
  <c r="J13" i="1" l="1"/>
  <c r="I13" i="1"/>
  <c r="O88" i="6" l="1"/>
  <c r="O3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82" i="6"/>
  <c r="O183" i="6"/>
  <c r="O184" i="6"/>
  <c r="O191" i="6"/>
  <c r="O2" i="6"/>
  <c r="I191" i="6"/>
  <c r="E184" i="6"/>
  <c r="E183" i="6"/>
  <c r="E172" i="6"/>
  <c r="E171" i="6"/>
  <c r="E169" i="6"/>
  <c r="E168" i="6"/>
  <c r="E166" i="6"/>
  <c r="E165" i="6"/>
  <c r="E163" i="6"/>
  <c r="E162" i="6"/>
  <c r="E160" i="6"/>
  <c r="E159" i="6"/>
  <c r="E157" i="6"/>
  <c r="E156" i="6"/>
  <c r="E154" i="6"/>
  <c r="E153" i="6"/>
  <c r="E151" i="6"/>
  <c r="E150" i="6"/>
  <c r="E148" i="6"/>
  <c r="E147" i="6"/>
  <c r="E145" i="6"/>
  <c r="E144" i="6"/>
  <c r="E142" i="6"/>
  <c r="E141" i="6"/>
  <c r="I140" i="6"/>
  <c r="K140" i="6"/>
  <c r="I141" i="6"/>
  <c r="K141" i="6"/>
  <c r="I143" i="6"/>
  <c r="K143" i="6"/>
  <c r="I144" i="6"/>
  <c r="K144" i="6"/>
  <c r="I146" i="6"/>
  <c r="K146" i="6"/>
  <c r="I147" i="6"/>
  <c r="K147" i="6"/>
  <c r="I149" i="6"/>
  <c r="K149" i="6"/>
  <c r="I150" i="6"/>
  <c r="K150" i="6"/>
  <c r="I152" i="6"/>
  <c r="K152" i="6"/>
  <c r="I153" i="6"/>
  <c r="K153" i="6"/>
  <c r="I155" i="6"/>
  <c r="K155" i="6"/>
  <c r="I156" i="6"/>
  <c r="K156" i="6"/>
  <c r="I158" i="6"/>
  <c r="K158" i="6"/>
  <c r="I159" i="6"/>
  <c r="K159" i="6"/>
  <c r="I161" i="6"/>
  <c r="K161" i="6"/>
  <c r="I162" i="6"/>
  <c r="K162" i="6"/>
  <c r="I164" i="6"/>
  <c r="K164" i="6"/>
  <c r="I165" i="6"/>
  <c r="K165" i="6"/>
  <c r="I167" i="6"/>
  <c r="K167" i="6"/>
  <c r="I168" i="6"/>
  <c r="K168" i="6"/>
  <c r="I170" i="6"/>
  <c r="K170" i="6"/>
  <c r="I171" i="6"/>
  <c r="K171" i="6"/>
  <c r="E143" i="6"/>
  <c r="E146" i="6"/>
  <c r="E149" i="6"/>
  <c r="E152" i="6"/>
  <c r="E155" i="6"/>
  <c r="E158" i="6"/>
  <c r="E161" i="6"/>
  <c r="E164" i="6"/>
  <c r="E167" i="6"/>
  <c r="E170" i="6"/>
  <c r="E182" i="6"/>
  <c r="E140" i="6"/>
  <c r="E133" i="6"/>
  <c r="E132" i="6"/>
  <c r="E121" i="6"/>
  <c r="E120" i="6"/>
  <c r="E118" i="6"/>
  <c r="E117" i="6"/>
  <c r="E115" i="6"/>
  <c r="E114" i="6"/>
  <c r="E112" i="6"/>
  <c r="E111" i="6"/>
  <c r="E109" i="6"/>
  <c r="E108" i="6"/>
  <c r="E106" i="6"/>
  <c r="E105" i="6"/>
  <c r="E103" i="6"/>
  <c r="E102" i="6"/>
  <c r="E100" i="6"/>
  <c r="E99" i="6"/>
  <c r="E97" i="6"/>
  <c r="E96" i="6"/>
  <c r="E94" i="6"/>
  <c r="E93" i="6"/>
  <c r="E91" i="6"/>
  <c r="E90" i="6"/>
  <c r="I89" i="6"/>
  <c r="K89" i="6"/>
  <c r="I90" i="6"/>
  <c r="K90" i="6"/>
  <c r="I92" i="6"/>
  <c r="K92" i="6"/>
  <c r="I93" i="6"/>
  <c r="K93" i="6"/>
  <c r="I95" i="6"/>
  <c r="K95" i="6"/>
  <c r="I96" i="6"/>
  <c r="K96" i="6"/>
  <c r="I98" i="6"/>
  <c r="K98" i="6"/>
  <c r="I99" i="6"/>
  <c r="K99" i="6"/>
  <c r="I101" i="6"/>
  <c r="K101" i="6"/>
  <c r="I102" i="6"/>
  <c r="K102" i="6"/>
  <c r="I104" i="6"/>
  <c r="K104" i="6"/>
  <c r="I105" i="6"/>
  <c r="K105" i="6"/>
  <c r="I107" i="6"/>
  <c r="K107" i="6"/>
  <c r="I108" i="6"/>
  <c r="K108" i="6"/>
  <c r="I110" i="6"/>
  <c r="K110" i="6"/>
  <c r="I111" i="6"/>
  <c r="K111" i="6"/>
  <c r="I113" i="6"/>
  <c r="K113" i="6"/>
  <c r="I114" i="6"/>
  <c r="K114" i="6"/>
  <c r="I116" i="6"/>
  <c r="K116" i="6"/>
  <c r="I117" i="6"/>
  <c r="K117" i="6"/>
  <c r="I119" i="6"/>
  <c r="K119" i="6"/>
  <c r="I120" i="6"/>
  <c r="K120" i="6"/>
  <c r="E131" i="6"/>
  <c r="E92" i="6"/>
  <c r="E95" i="6"/>
  <c r="E98" i="6"/>
  <c r="E101" i="6"/>
  <c r="E104" i="6"/>
  <c r="E107" i="6"/>
  <c r="E110" i="6"/>
  <c r="E113" i="6"/>
  <c r="E116" i="6"/>
  <c r="E119" i="6"/>
  <c r="E89" i="6"/>
  <c r="E81" i="6"/>
  <c r="E80" i="6"/>
  <c r="E78" i="6"/>
  <c r="E77" i="6"/>
  <c r="E75" i="6"/>
  <c r="E74" i="6"/>
  <c r="E72" i="6"/>
  <c r="E71" i="6"/>
  <c r="E69" i="6"/>
  <c r="E68" i="6"/>
  <c r="E67" i="6"/>
  <c r="E66" i="6"/>
  <c r="E65" i="6"/>
  <c r="E63" i="6"/>
  <c r="E62" i="6"/>
  <c r="E60" i="6"/>
  <c r="E59" i="6"/>
  <c r="E57" i="6"/>
  <c r="E56" i="6"/>
  <c r="I55" i="6"/>
  <c r="K55" i="6"/>
  <c r="I56" i="6"/>
  <c r="K56" i="6"/>
  <c r="I58" i="6"/>
  <c r="K58" i="6"/>
  <c r="I59" i="6"/>
  <c r="K59" i="6"/>
  <c r="I61" i="6"/>
  <c r="K61" i="6"/>
  <c r="I62" i="6"/>
  <c r="K62" i="6"/>
  <c r="I64" i="6"/>
  <c r="K64" i="6"/>
  <c r="I65" i="6"/>
  <c r="K65" i="6"/>
  <c r="I67" i="6"/>
  <c r="K67" i="6"/>
  <c r="I68" i="6"/>
  <c r="K68" i="6"/>
  <c r="I70" i="6"/>
  <c r="K70" i="6"/>
  <c r="I71" i="6"/>
  <c r="K71" i="6"/>
  <c r="I73" i="6"/>
  <c r="K73" i="6"/>
  <c r="I74" i="6"/>
  <c r="K74" i="6"/>
  <c r="I76" i="6"/>
  <c r="K76" i="6"/>
  <c r="I77" i="6"/>
  <c r="K77" i="6"/>
  <c r="I79" i="6"/>
  <c r="K79" i="6"/>
  <c r="I80" i="6"/>
  <c r="K80" i="6"/>
  <c r="E58" i="6"/>
  <c r="E61" i="6"/>
  <c r="E64" i="6"/>
  <c r="E70" i="6"/>
  <c r="E73" i="6"/>
  <c r="E76" i="6"/>
  <c r="E79" i="6"/>
  <c r="E55" i="6"/>
  <c r="E54" i="6"/>
  <c r="E53" i="6"/>
  <c r="E48" i="6"/>
  <c r="E47" i="6"/>
  <c r="E45" i="6"/>
  <c r="E44" i="6"/>
  <c r="E42" i="6"/>
  <c r="E41" i="6"/>
  <c r="E39" i="6"/>
  <c r="E38" i="6"/>
  <c r="E36" i="6"/>
  <c r="E35" i="6"/>
  <c r="E33" i="6"/>
  <c r="E32" i="6"/>
  <c r="E30" i="6"/>
  <c r="E29" i="6"/>
  <c r="E27" i="6"/>
  <c r="E26" i="6"/>
  <c r="E24" i="6"/>
  <c r="E23" i="6"/>
  <c r="I22" i="6"/>
  <c r="K22" i="6"/>
  <c r="I23" i="6"/>
  <c r="K23" i="6"/>
  <c r="I25" i="6"/>
  <c r="K25" i="6"/>
  <c r="I26" i="6"/>
  <c r="K26" i="6"/>
  <c r="I28" i="6"/>
  <c r="K28" i="6"/>
  <c r="I29" i="6"/>
  <c r="K29" i="6"/>
  <c r="I31" i="6"/>
  <c r="K31" i="6"/>
  <c r="I32" i="6"/>
  <c r="K32" i="6"/>
  <c r="I34" i="6"/>
  <c r="K34" i="6"/>
  <c r="I35" i="6"/>
  <c r="K35" i="6"/>
  <c r="I37" i="6"/>
  <c r="K37" i="6"/>
  <c r="I38" i="6"/>
  <c r="K38" i="6"/>
  <c r="I40" i="6"/>
  <c r="K40" i="6"/>
  <c r="I41" i="6"/>
  <c r="K41" i="6"/>
  <c r="I43" i="6"/>
  <c r="K43" i="6"/>
  <c r="I44" i="6"/>
  <c r="K44" i="6"/>
  <c r="I46" i="6"/>
  <c r="K46" i="6"/>
  <c r="I47" i="6"/>
  <c r="K47" i="6"/>
  <c r="I52" i="6"/>
  <c r="K52" i="6"/>
  <c r="I53" i="6"/>
  <c r="K53" i="6"/>
  <c r="E25" i="6"/>
  <c r="E28" i="6"/>
  <c r="E31" i="6"/>
  <c r="E34" i="6"/>
  <c r="E37" i="6"/>
  <c r="E40" i="6"/>
  <c r="E43" i="6"/>
  <c r="E46" i="6"/>
  <c r="E52" i="6"/>
  <c r="E22" i="6"/>
  <c r="I20" i="6"/>
  <c r="K20" i="6"/>
  <c r="H20" i="6"/>
  <c r="I18" i="6"/>
  <c r="K18" i="6"/>
  <c r="H18" i="6"/>
  <c r="I17" i="6"/>
  <c r="K17" i="6"/>
  <c r="H17" i="6"/>
  <c r="E19" i="6"/>
  <c r="E18" i="6"/>
  <c r="E17" i="6"/>
  <c r="I15" i="6"/>
  <c r="K15" i="6"/>
  <c r="H15" i="6"/>
  <c r="I14" i="6"/>
  <c r="K14" i="6"/>
  <c r="H14" i="6"/>
  <c r="E16" i="6"/>
  <c r="E15" i="6"/>
  <c r="E14" i="6"/>
  <c r="I12" i="6"/>
  <c r="K12" i="6"/>
  <c r="H12" i="6"/>
  <c r="I11" i="6"/>
  <c r="K11" i="6"/>
  <c r="H11" i="6"/>
  <c r="E13" i="6"/>
  <c r="E12" i="6"/>
  <c r="E11" i="6"/>
  <c r="I9" i="6"/>
  <c r="K9" i="6"/>
  <c r="H9" i="6"/>
  <c r="I8" i="6"/>
  <c r="K8" i="6"/>
  <c r="H8" i="6"/>
  <c r="E10" i="6"/>
  <c r="E9" i="6"/>
  <c r="E8" i="6"/>
  <c r="E7" i="6"/>
  <c r="E6" i="6"/>
  <c r="I6" i="6"/>
  <c r="K6" i="6"/>
  <c r="H6" i="6"/>
  <c r="I5" i="6"/>
  <c r="K5" i="6"/>
  <c r="H5" i="6"/>
  <c r="E5" i="6"/>
  <c r="I3" i="6"/>
  <c r="K3" i="6"/>
  <c r="H3" i="6"/>
  <c r="I2" i="6"/>
  <c r="K2" i="6"/>
  <c r="N2" i="6"/>
  <c r="H2" i="6"/>
  <c r="G27" i="1" l="1"/>
  <c r="I27" i="1" s="1"/>
  <c r="G26" i="1"/>
  <c r="J26" i="1" s="1"/>
  <c r="I26" i="1" l="1"/>
  <c r="J27" i="1"/>
  <c r="M51" i="5"/>
  <c r="M15" i="5"/>
  <c r="I94" i="6" s="1"/>
  <c r="O15" i="5"/>
  <c r="M17" i="5"/>
  <c r="I97" i="6" s="1"/>
  <c r="O17" i="5"/>
  <c r="M19" i="5"/>
  <c r="I100" i="6" s="1"/>
  <c r="O19" i="5"/>
  <c r="K100" i="6" s="1"/>
  <c r="M21" i="5"/>
  <c r="I103" i="6" s="1"/>
  <c r="O21" i="5"/>
  <c r="M23" i="5"/>
  <c r="I106" i="6" s="1"/>
  <c r="O23" i="5"/>
  <c r="K106" i="6" s="1"/>
  <c r="M25" i="5"/>
  <c r="I109" i="6" s="1"/>
  <c r="O25" i="5"/>
  <c r="M27" i="5"/>
  <c r="I112" i="6" s="1"/>
  <c r="O27" i="5"/>
  <c r="K112" i="6" s="1"/>
  <c r="M29" i="5"/>
  <c r="I115" i="6" s="1"/>
  <c r="O29" i="5"/>
  <c r="M31" i="5"/>
  <c r="I118" i="6" s="1"/>
  <c r="O31" i="5"/>
  <c r="K118" i="6" s="1"/>
  <c r="M33" i="5"/>
  <c r="I121" i="6" s="1"/>
  <c r="O33" i="5"/>
  <c r="M41" i="5"/>
  <c r="I133" i="6" s="1"/>
  <c r="O41" i="5"/>
  <c r="K133" i="6" s="1"/>
  <c r="O51" i="5"/>
  <c r="M53" i="5"/>
  <c r="I145" i="6" s="1"/>
  <c r="O53" i="5"/>
  <c r="K145" i="6" s="1"/>
  <c r="M55" i="5"/>
  <c r="I148" i="6" s="1"/>
  <c r="O55" i="5"/>
  <c r="M57" i="5"/>
  <c r="I151" i="6" s="1"/>
  <c r="O57" i="5"/>
  <c r="M59" i="5"/>
  <c r="I154" i="6" s="1"/>
  <c r="O59" i="5"/>
  <c r="K154" i="6" s="1"/>
  <c r="M61" i="5"/>
  <c r="O61" i="5"/>
  <c r="M63" i="5"/>
  <c r="I160" i="6" s="1"/>
  <c r="O63" i="5"/>
  <c r="K160" i="6" s="1"/>
  <c r="M65" i="5"/>
  <c r="I163" i="6" s="1"/>
  <c r="O65" i="5"/>
  <c r="M67" i="5"/>
  <c r="I166" i="6" s="1"/>
  <c r="O67" i="5"/>
  <c r="K166" i="6" s="1"/>
  <c r="M69" i="5"/>
  <c r="I169" i="6" s="1"/>
  <c r="O69" i="5"/>
  <c r="M71" i="5"/>
  <c r="I172" i="6" s="1"/>
  <c r="O71" i="5"/>
  <c r="K172" i="6" s="1"/>
  <c r="M79" i="5"/>
  <c r="I184" i="6" s="1"/>
  <c r="O79" i="5"/>
  <c r="K184" i="6" s="1"/>
  <c r="O13" i="5"/>
  <c r="M13" i="5"/>
  <c r="H13" i="5"/>
  <c r="J89" i="6" s="1"/>
  <c r="I157" i="6" l="1"/>
  <c r="M89" i="5"/>
  <c r="K97" i="6"/>
  <c r="I142" i="6"/>
  <c r="H25" i="1"/>
  <c r="K157" i="6"/>
  <c r="K94" i="6"/>
  <c r="J13" i="5"/>
  <c r="L89" i="6" s="1"/>
  <c r="K142" i="6"/>
  <c r="K13" i="5"/>
  <c r="M89" i="6" s="1"/>
  <c r="I91" i="6"/>
  <c r="K169" i="6"/>
  <c r="K148" i="6"/>
  <c r="K103" i="6"/>
  <c r="K91" i="6"/>
  <c r="K115" i="6"/>
  <c r="K163" i="6"/>
  <c r="K121" i="6"/>
  <c r="H89" i="6"/>
  <c r="K151" i="6"/>
  <c r="K109" i="6"/>
  <c r="F53" i="5"/>
  <c r="F54" i="5"/>
  <c r="H144" i="6" s="1"/>
  <c r="F55" i="5"/>
  <c r="F56" i="5"/>
  <c r="H147" i="6" s="1"/>
  <c r="F57" i="5"/>
  <c r="F58" i="5"/>
  <c r="H150" i="6" s="1"/>
  <c r="F59" i="5"/>
  <c r="F60" i="5"/>
  <c r="H153" i="6" s="1"/>
  <c r="F61" i="5"/>
  <c r="F62" i="5"/>
  <c r="H156" i="6" s="1"/>
  <c r="F63" i="5"/>
  <c r="F64" i="5"/>
  <c r="H159" i="6" s="1"/>
  <c r="F65" i="5"/>
  <c r="F66" i="5"/>
  <c r="H162" i="6" s="1"/>
  <c r="F67" i="5"/>
  <c r="F68" i="5"/>
  <c r="H165" i="6" s="1"/>
  <c r="F69" i="5"/>
  <c r="F70" i="5"/>
  <c r="H168" i="6" s="1"/>
  <c r="F71" i="5"/>
  <c r="F72" i="5"/>
  <c r="H171" i="6" s="1"/>
  <c r="F79" i="5"/>
  <c r="F80" i="5"/>
  <c r="H183" i="6" s="1"/>
  <c r="F52" i="5"/>
  <c r="E25" i="1" l="1"/>
  <c r="H141" i="6"/>
  <c r="H167" i="6"/>
  <c r="H69" i="5"/>
  <c r="L69" i="5"/>
  <c r="H155" i="6"/>
  <c r="L61" i="5"/>
  <c r="H61" i="5"/>
  <c r="H149" i="6"/>
  <c r="L57" i="5"/>
  <c r="H57" i="5"/>
  <c r="H146" i="6"/>
  <c r="L55" i="5"/>
  <c r="H55" i="5"/>
  <c r="H182" i="6"/>
  <c r="L79" i="5"/>
  <c r="H79" i="5"/>
  <c r="J182" i="6" s="1"/>
  <c r="H161" i="6"/>
  <c r="H65" i="5"/>
  <c r="L65" i="5"/>
  <c r="H140" i="6"/>
  <c r="L51" i="5"/>
  <c r="H51" i="5"/>
  <c r="H170" i="6"/>
  <c r="L71" i="5"/>
  <c r="H71" i="5"/>
  <c r="H164" i="6"/>
  <c r="H67" i="5"/>
  <c r="L67" i="5"/>
  <c r="H158" i="6"/>
  <c r="L63" i="5"/>
  <c r="H63" i="5"/>
  <c r="H152" i="6"/>
  <c r="L59" i="5"/>
  <c r="H59" i="5"/>
  <c r="H143" i="6"/>
  <c r="L53" i="5"/>
  <c r="H53" i="5"/>
  <c r="F42" i="5"/>
  <c r="H132" i="6" s="1"/>
  <c r="F41" i="5"/>
  <c r="F15" i="5"/>
  <c r="F16" i="5"/>
  <c r="H93" i="6" s="1"/>
  <c r="F17" i="5"/>
  <c r="F18" i="5"/>
  <c r="H96" i="6" s="1"/>
  <c r="F19" i="5"/>
  <c r="F20" i="5"/>
  <c r="H99" i="6" s="1"/>
  <c r="F21" i="5"/>
  <c r="F22" i="5"/>
  <c r="H102" i="6" s="1"/>
  <c r="F23" i="5"/>
  <c r="H23" i="5" s="1"/>
  <c r="F24" i="5"/>
  <c r="H105" i="6" s="1"/>
  <c r="F25" i="5"/>
  <c r="F26" i="5"/>
  <c r="H108" i="6" s="1"/>
  <c r="F27" i="5"/>
  <c r="F28" i="5"/>
  <c r="H111" i="6" s="1"/>
  <c r="F29" i="5"/>
  <c r="H29" i="5" s="1"/>
  <c r="F30" i="5"/>
  <c r="H114" i="6" s="1"/>
  <c r="F31" i="5"/>
  <c r="F32" i="5"/>
  <c r="H117" i="6" s="1"/>
  <c r="F33" i="5"/>
  <c r="F34" i="5"/>
  <c r="H120" i="6" s="1"/>
  <c r="D6" i="5"/>
  <c r="C6" i="5"/>
  <c r="F89" i="5" l="1"/>
  <c r="H89" i="5" s="1"/>
  <c r="E24" i="1"/>
  <c r="G25" i="1"/>
  <c r="E6" i="5"/>
  <c r="H90" i="6"/>
  <c r="H14" i="5"/>
  <c r="L13" i="5"/>
  <c r="H110" i="6"/>
  <c r="H27" i="5"/>
  <c r="L27" i="5"/>
  <c r="H95" i="6"/>
  <c r="L17" i="5"/>
  <c r="H17" i="5"/>
  <c r="J55" i="5"/>
  <c r="J146" i="6"/>
  <c r="K55" i="5"/>
  <c r="M146" i="6" s="1"/>
  <c r="H151" i="6"/>
  <c r="N57" i="5"/>
  <c r="N59" i="5"/>
  <c r="H154" i="6"/>
  <c r="J170" i="6"/>
  <c r="K71" i="5"/>
  <c r="M170" i="6" s="1"/>
  <c r="J71" i="5"/>
  <c r="J79" i="5"/>
  <c r="L182" i="6" s="1"/>
  <c r="K79" i="5"/>
  <c r="M182" i="6" s="1"/>
  <c r="H148" i="6"/>
  <c r="N55" i="5"/>
  <c r="H169" i="6"/>
  <c r="N69" i="5"/>
  <c r="H116" i="6"/>
  <c r="L31" i="5"/>
  <c r="H31" i="5"/>
  <c r="H98" i="6"/>
  <c r="L19" i="5"/>
  <c r="H19" i="5"/>
  <c r="J152" i="6"/>
  <c r="K59" i="5"/>
  <c r="M152" i="6" s="1"/>
  <c r="J59" i="5"/>
  <c r="H119" i="6"/>
  <c r="L33" i="5"/>
  <c r="H33" i="5"/>
  <c r="H107" i="6"/>
  <c r="L25" i="5"/>
  <c r="H25" i="5"/>
  <c r="H92" i="6"/>
  <c r="L15" i="5"/>
  <c r="H15" i="5"/>
  <c r="J143" i="6"/>
  <c r="K53" i="5"/>
  <c r="M143" i="6" s="1"/>
  <c r="J53" i="5"/>
  <c r="N67" i="5"/>
  <c r="H166" i="6"/>
  <c r="N71" i="5"/>
  <c r="H172" i="6"/>
  <c r="J51" i="5"/>
  <c r="J140" i="6"/>
  <c r="K51" i="5"/>
  <c r="M140" i="6" s="1"/>
  <c r="H163" i="6"/>
  <c r="N65" i="5"/>
  <c r="H184" i="6"/>
  <c r="N79" i="5"/>
  <c r="J184" i="6" s="1"/>
  <c r="J61" i="5"/>
  <c r="J155" i="6"/>
  <c r="K61" i="5"/>
  <c r="M155" i="6" s="1"/>
  <c r="J69" i="5"/>
  <c r="J167" i="6"/>
  <c r="K69" i="5"/>
  <c r="M167" i="6" s="1"/>
  <c r="H104" i="6"/>
  <c r="L23" i="5"/>
  <c r="N63" i="5"/>
  <c r="H160" i="6"/>
  <c r="H113" i="6"/>
  <c r="L29" i="5"/>
  <c r="H101" i="6"/>
  <c r="H21" i="5"/>
  <c r="L21" i="5"/>
  <c r="H131" i="6"/>
  <c r="H41" i="5"/>
  <c r="L41" i="5"/>
  <c r="N53" i="5"/>
  <c r="H145" i="6"/>
  <c r="J158" i="6"/>
  <c r="K63" i="5"/>
  <c r="M158" i="6" s="1"/>
  <c r="J63" i="5"/>
  <c r="J164" i="6"/>
  <c r="K67" i="5"/>
  <c r="M164" i="6" s="1"/>
  <c r="J67" i="5"/>
  <c r="H142" i="6"/>
  <c r="N51" i="5"/>
  <c r="J65" i="5"/>
  <c r="J161" i="6"/>
  <c r="K65" i="5"/>
  <c r="M161" i="6" s="1"/>
  <c r="J57" i="5"/>
  <c r="J149" i="6"/>
  <c r="K57" i="5"/>
  <c r="M149" i="6" s="1"/>
  <c r="H157" i="6"/>
  <c r="N61" i="5"/>
  <c r="L89" i="5" l="1"/>
  <c r="N89" i="5" s="1"/>
  <c r="J89" i="5"/>
  <c r="K89" i="5"/>
  <c r="K41" i="5"/>
  <c r="M131" i="6" s="1"/>
  <c r="J131" i="6"/>
  <c r="J145" i="6"/>
  <c r="P53" i="5"/>
  <c r="L145" i="6" s="1"/>
  <c r="Q53" i="5"/>
  <c r="M145" i="6" s="1"/>
  <c r="J104" i="6"/>
  <c r="K23" i="5"/>
  <c r="M104" i="6" s="1"/>
  <c r="J23" i="5"/>
  <c r="J98" i="6"/>
  <c r="K19" i="5"/>
  <c r="M98" i="6" s="1"/>
  <c r="J19" i="5"/>
  <c r="P55" i="5"/>
  <c r="L148" i="6" s="1"/>
  <c r="J148" i="6"/>
  <c r="Q55" i="5"/>
  <c r="M148" i="6" s="1"/>
  <c r="H191" i="6"/>
  <c r="H66" i="5"/>
  <c r="L161" i="6"/>
  <c r="H68" i="5"/>
  <c r="L164" i="6"/>
  <c r="N41" i="5"/>
  <c r="J133" i="6" s="1"/>
  <c r="H133" i="6"/>
  <c r="J21" i="5"/>
  <c r="J101" i="6"/>
  <c r="K21" i="5"/>
  <c r="M101" i="6" s="1"/>
  <c r="N23" i="5"/>
  <c r="H106" i="6"/>
  <c r="H70" i="5"/>
  <c r="L167" i="6"/>
  <c r="P79" i="5"/>
  <c r="L184" i="6" s="1"/>
  <c r="Q79" i="5"/>
  <c r="M184" i="6" s="1"/>
  <c r="J172" i="6"/>
  <c r="Q71" i="5"/>
  <c r="M172" i="6" s="1"/>
  <c r="P71" i="5"/>
  <c r="L172" i="6" s="1"/>
  <c r="J15" i="5"/>
  <c r="J92" i="6"/>
  <c r="K15" i="5"/>
  <c r="M92" i="6" s="1"/>
  <c r="H60" i="5"/>
  <c r="L152" i="6"/>
  <c r="N19" i="5"/>
  <c r="H100" i="6"/>
  <c r="H72" i="5"/>
  <c r="L170" i="6"/>
  <c r="J154" i="6"/>
  <c r="Q59" i="5"/>
  <c r="M154" i="6" s="1"/>
  <c r="P59" i="5"/>
  <c r="L154" i="6" s="1"/>
  <c r="P57" i="5"/>
  <c r="L151" i="6" s="1"/>
  <c r="J151" i="6"/>
  <c r="Q57" i="5"/>
  <c r="M151" i="6" s="1"/>
  <c r="H56" i="5"/>
  <c r="L146" i="6"/>
  <c r="N27" i="5"/>
  <c r="H112" i="6"/>
  <c r="H91" i="6"/>
  <c r="N13" i="5"/>
  <c r="H64" i="5"/>
  <c r="L158" i="6"/>
  <c r="H115" i="6"/>
  <c r="N29" i="5"/>
  <c r="H80" i="5"/>
  <c r="J183" i="6" s="1"/>
  <c r="H54" i="5"/>
  <c r="L143" i="6"/>
  <c r="H94" i="6"/>
  <c r="N15" i="5"/>
  <c r="J33" i="5"/>
  <c r="J119" i="6"/>
  <c r="K33" i="5"/>
  <c r="M119" i="6" s="1"/>
  <c r="P69" i="5"/>
  <c r="L169" i="6" s="1"/>
  <c r="J169" i="6"/>
  <c r="Q69" i="5"/>
  <c r="M169" i="6" s="1"/>
  <c r="J95" i="6"/>
  <c r="K17" i="5"/>
  <c r="M95" i="6" s="1"/>
  <c r="J17" i="5"/>
  <c r="J110" i="6"/>
  <c r="K27" i="5"/>
  <c r="M110" i="6" s="1"/>
  <c r="J27" i="5"/>
  <c r="J90" i="6"/>
  <c r="K14" i="5"/>
  <c r="M90" i="6" s="1"/>
  <c r="J14" i="5"/>
  <c r="L90" i="6" s="1"/>
  <c r="H103" i="6"/>
  <c r="N21" i="5"/>
  <c r="H62" i="5"/>
  <c r="L155" i="6"/>
  <c r="H109" i="6"/>
  <c r="N25" i="5"/>
  <c r="N31" i="5"/>
  <c r="H118" i="6"/>
  <c r="P61" i="5"/>
  <c r="L157" i="6" s="1"/>
  <c r="J157" i="6"/>
  <c r="Q61" i="5"/>
  <c r="M157" i="6" s="1"/>
  <c r="H58" i="5"/>
  <c r="L149" i="6"/>
  <c r="J142" i="6"/>
  <c r="P51" i="5"/>
  <c r="L142" i="6" s="1"/>
  <c r="Q51" i="5"/>
  <c r="M142" i="6" s="1"/>
  <c r="J41" i="5"/>
  <c r="L131" i="6" s="1"/>
  <c r="I25" i="1"/>
  <c r="J25" i="1"/>
  <c r="J29" i="5"/>
  <c r="J113" i="6"/>
  <c r="K29" i="5"/>
  <c r="M113" i="6" s="1"/>
  <c r="J160" i="6"/>
  <c r="Q63" i="5"/>
  <c r="M160" i="6" s="1"/>
  <c r="P63" i="5"/>
  <c r="L160" i="6" s="1"/>
  <c r="P65" i="5"/>
  <c r="L163" i="6" s="1"/>
  <c r="J163" i="6"/>
  <c r="Q65" i="5"/>
  <c r="M163" i="6" s="1"/>
  <c r="H52" i="5"/>
  <c r="L140" i="6"/>
  <c r="J166" i="6"/>
  <c r="Q67" i="5"/>
  <c r="M166" i="6" s="1"/>
  <c r="P67" i="5"/>
  <c r="L166" i="6" s="1"/>
  <c r="J25" i="5"/>
  <c r="J107" i="6"/>
  <c r="K25" i="5"/>
  <c r="M107" i="6" s="1"/>
  <c r="H121" i="6"/>
  <c r="N33" i="5"/>
  <c r="J116" i="6"/>
  <c r="K31" i="5"/>
  <c r="M116" i="6" s="1"/>
  <c r="J31" i="5"/>
  <c r="N17" i="5"/>
  <c r="H97" i="6"/>
  <c r="E28" i="1" l="1"/>
  <c r="G28" i="1" s="1"/>
  <c r="G24" i="1"/>
  <c r="H22" i="5"/>
  <c r="L101" i="6"/>
  <c r="J165" i="6"/>
  <c r="K68" i="5"/>
  <c r="M165" i="6" s="1"/>
  <c r="J68" i="5"/>
  <c r="L165" i="6" s="1"/>
  <c r="H20" i="5"/>
  <c r="L98" i="6"/>
  <c r="J97" i="6"/>
  <c r="P17" i="5"/>
  <c r="L97" i="6" s="1"/>
  <c r="Q17" i="5"/>
  <c r="M97" i="6" s="1"/>
  <c r="P33" i="5"/>
  <c r="L121" i="6" s="1"/>
  <c r="J121" i="6"/>
  <c r="Q33" i="5"/>
  <c r="M121" i="6" s="1"/>
  <c r="H26" i="5"/>
  <c r="L107" i="6"/>
  <c r="J150" i="6"/>
  <c r="K58" i="5"/>
  <c r="M150" i="6" s="1"/>
  <c r="J58" i="5"/>
  <c r="L150" i="6" s="1"/>
  <c r="H34" i="5"/>
  <c r="L119" i="6"/>
  <c r="J144" i="6"/>
  <c r="K54" i="5"/>
  <c r="M144" i="6" s="1"/>
  <c r="J54" i="5"/>
  <c r="L144" i="6" s="1"/>
  <c r="J91" i="6"/>
  <c r="P13" i="5"/>
  <c r="L91" i="6" s="1"/>
  <c r="Q13" i="5"/>
  <c r="M91" i="6" s="1"/>
  <c r="J112" i="6"/>
  <c r="P27" i="5"/>
  <c r="L112" i="6" s="1"/>
  <c r="Q27" i="5"/>
  <c r="M112" i="6" s="1"/>
  <c r="J100" i="6"/>
  <c r="P19" i="5"/>
  <c r="L100" i="6" s="1"/>
  <c r="Q19" i="5"/>
  <c r="M100" i="6" s="1"/>
  <c r="J106" i="6"/>
  <c r="Q23" i="5"/>
  <c r="M106" i="6" s="1"/>
  <c r="P23" i="5"/>
  <c r="L106" i="6" s="1"/>
  <c r="J141" i="6"/>
  <c r="K52" i="5"/>
  <c r="M141" i="6" s="1"/>
  <c r="J52" i="5"/>
  <c r="L141" i="6" s="1"/>
  <c r="J118" i="6"/>
  <c r="Q31" i="5"/>
  <c r="M118" i="6" s="1"/>
  <c r="P31" i="5"/>
  <c r="L118" i="6" s="1"/>
  <c r="J156" i="6"/>
  <c r="J62" i="5"/>
  <c r="L156" i="6" s="1"/>
  <c r="K62" i="5"/>
  <c r="M156" i="6" s="1"/>
  <c r="P15" i="5"/>
  <c r="L94" i="6" s="1"/>
  <c r="J94" i="6"/>
  <c r="Q15" i="5"/>
  <c r="M94" i="6" s="1"/>
  <c r="P41" i="5"/>
  <c r="L133" i="6" s="1"/>
  <c r="Q41" i="5"/>
  <c r="M133" i="6" s="1"/>
  <c r="J162" i="6"/>
  <c r="K66" i="5"/>
  <c r="M162" i="6" s="1"/>
  <c r="J66" i="5"/>
  <c r="L162" i="6" s="1"/>
  <c r="H24" i="5"/>
  <c r="L104" i="6"/>
  <c r="H28" i="5"/>
  <c r="L110" i="6"/>
  <c r="P29" i="5"/>
  <c r="L115" i="6" s="1"/>
  <c r="J115" i="6"/>
  <c r="Q29" i="5"/>
  <c r="M115" i="6" s="1"/>
  <c r="H16" i="5"/>
  <c r="L92" i="6"/>
  <c r="H32" i="5"/>
  <c r="L116" i="6"/>
  <c r="H42" i="5"/>
  <c r="H30" i="5"/>
  <c r="L113" i="6"/>
  <c r="P25" i="5"/>
  <c r="L109" i="6" s="1"/>
  <c r="J109" i="6"/>
  <c r="Q25" i="5"/>
  <c r="M109" i="6" s="1"/>
  <c r="P21" i="5"/>
  <c r="L103" i="6" s="1"/>
  <c r="J103" i="6"/>
  <c r="Q21" i="5"/>
  <c r="M103" i="6" s="1"/>
  <c r="H18" i="5"/>
  <c r="L95" i="6"/>
  <c r="J80" i="5"/>
  <c r="L183" i="6" s="1"/>
  <c r="K80" i="5"/>
  <c r="M183" i="6" s="1"/>
  <c r="J159" i="6"/>
  <c r="J64" i="5"/>
  <c r="L159" i="6" s="1"/>
  <c r="K64" i="5"/>
  <c r="M159" i="6" s="1"/>
  <c r="J147" i="6"/>
  <c r="J56" i="5"/>
  <c r="L147" i="6" s="1"/>
  <c r="K56" i="5"/>
  <c r="M147" i="6" s="1"/>
  <c r="J171" i="6"/>
  <c r="K72" i="5"/>
  <c r="M171" i="6" s="1"/>
  <c r="J72" i="5"/>
  <c r="L171" i="6" s="1"/>
  <c r="J153" i="6"/>
  <c r="K60" i="5"/>
  <c r="M153" i="6" s="1"/>
  <c r="J60" i="5"/>
  <c r="L153" i="6" s="1"/>
  <c r="J168" i="6"/>
  <c r="J70" i="5"/>
  <c r="L168" i="6" s="1"/>
  <c r="K70" i="5"/>
  <c r="M168" i="6" s="1"/>
  <c r="J191" i="6"/>
  <c r="K88" i="6"/>
  <c r="I88" i="6"/>
  <c r="H19" i="2"/>
  <c r="K21" i="6" s="1"/>
  <c r="F19" i="2"/>
  <c r="I21" i="6" s="1"/>
  <c r="M18" i="2"/>
  <c r="F8" i="1" s="1"/>
  <c r="G8" i="1" s="1"/>
  <c r="O18" i="2"/>
  <c r="H8" i="1" s="1"/>
  <c r="L18" i="2"/>
  <c r="G18" i="2"/>
  <c r="J20" i="6" s="1"/>
  <c r="K42" i="5" l="1"/>
  <c r="M132" i="6" s="1"/>
  <c r="J132" i="6"/>
  <c r="J8" i="1"/>
  <c r="I8" i="1"/>
  <c r="I18" i="2"/>
  <c r="L20" i="6" s="1"/>
  <c r="J18" i="2"/>
  <c r="N18" i="2"/>
  <c r="J42" i="5"/>
  <c r="L132" i="6" s="1"/>
  <c r="J108" i="6"/>
  <c r="J26" i="5"/>
  <c r="L108" i="6" s="1"/>
  <c r="K26" i="5"/>
  <c r="M108" i="6" s="1"/>
  <c r="J99" i="6"/>
  <c r="K20" i="5"/>
  <c r="M99" i="6" s="1"/>
  <c r="J20" i="5"/>
  <c r="L99" i="6" s="1"/>
  <c r="J111" i="6"/>
  <c r="K28" i="5"/>
  <c r="M111" i="6" s="1"/>
  <c r="J28" i="5"/>
  <c r="L111" i="6" s="1"/>
  <c r="J102" i="6"/>
  <c r="K22" i="5"/>
  <c r="M102" i="6" s="1"/>
  <c r="J22" i="5"/>
  <c r="L102" i="6" s="1"/>
  <c r="J96" i="6"/>
  <c r="K18" i="5"/>
  <c r="M96" i="6" s="1"/>
  <c r="J18" i="5"/>
  <c r="L96" i="6" s="1"/>
  <c r="J114" i="6"/>
  <c r="K30" i="5"/>
  <c r="M114" i="6" s="1"/>
  <c r="J30" i="5"/>
  <c r="L114" i="6" s="1"/>
  <c r="J117" i="6"/>
  <c r="K32" i="5"/>
  <c r="M117" i="6" s="1"/>
  <c r="J32" i="5"/>
  <c r="L117" i="6" s="1"/>
  <c r="J93" i="6"/>
  <c r="J16" i="5"/>
  <c r="L93" i="6" s="1"/>
  <c r="K16" i="5"/>
  <c r="M93" i="6" s="1"/>
  <c r="J105" i="6"/>
  <c r="J24" i="5"/>
  <c r="L105" i="6" s="1"/>
  <c r="K24" i="5"/>
  <c r="M105" i="6" s="1"/>
  <c r="J120" i="6"/>
  <c r="J34" i="5"/>
  <c r="L120" i="6" s="1"/>
  <c r="K34" i="5"/>
  <c r="M120" i="6" s="1"/>
  <c r="L8" i="2"/>
  <c r="M8" i="2"/>
  <c r="O8" i="2"/>
  <c r="L10" i="2"/>
  <c r="H10" i="6" s="1"/>
  <c r="M10" i="2"/>
  <c r="O10" i="2"/>
  <c r="K10" i="6" s="1"/>
  <c r="L12" i="2"/>
  <c r="H13" i="6" s="1"/>
  <c r="M12" i="2"/>
  <c r="O12" i="2"/>
  <c r="L14" i="2"/>
  <c r="M14" i="2"/>
  <c r="I16" i="6" s="1"/>
  <c r="O14" i="2"/>
  <c r="K16" i="6" s="1"/>
  <c r="L16" i="2"/>
  <c r="H19" i="6" s="1"/>
  <c r="M16" i="2"/>
  <c r="O16" i="2"/>
  <c r="O6" i="2"/>
  <c r="M6" i="2"/>
  <c r="L6" i="2"/>
  <c r="E6" i="1" s="1"/>
  <c r="G8" i="2"/>
  <c r="I8" i="2" s="1"/>
  <c r="G10" i="2"/>
  <c r="G12" i="2"/>
  <c r="I12" i="2" s="1"/>
  <c r="L11" i="6" s="1"/>
  <c r="G14" i="2"/>
  <c r="J14" i="6" s="1"/>
  <c r="G16" i="2"/>
  <c r="J2" i="6"/>
  <c r="L8" i="3"/>
  <c r="I27" i="6" s="1"/>
  <c r="N8" i="3"/>
  <c r="K27" i="6" s="1"/>
  <c r="L10" i="3"/>
  <c r="I30" i="6" s="1"/>
  <c r="N10" i="3"/>
  <c r="K30" i="6" s="1"/>
  <c r="L12" i="3"/>
  <c r="I33" i="6" s="1"/>
  <c r="N12" i="3"/>
  <c r="K33" i="6" s="1"/>
  <c r="L14" i="3"/>
  <c r="I36" i="6" s="1"/>
  <c r="N14" i="3"/>
  <c r="K36" i="6" s="1"/>
  <c r="L16" i="3"/>
  <c r="I39" i="6" s="1"/>
  <c r="N16" i="3"/>
  <c r="K39" i="6" s="1"/>
  <c r="L18" i="3"/>
  <c r="I42" i="6" s="1"/>
  <c r="N18" i="3"/>
  <c r="K42" i="6" s="1"/>
  <c r="L20" i="3"/>
  <c r="I45" i="6" s="1"/>
  <c r="N20" i="3"/>
  <c r="K45" i="6" s="1"/>
  <c r="L22" i="3"/>
  <c r="N22" i="3"/>
  <c r="K48" i="6" s="1"/>
  <c r="L26" i="3"/>
  <c r="I54" i="6" s="1"/>
  <c r="N26" i="3"/>
  <c r="K54" i="6" s="1"/>
  <c r="L30" i="3"/>
  <c r="N30" i="3"/>
  <c r="L32" i="3"/>
  <c r="I60" i="6" s="1"/>
  <c r="N32" i="3"/>
  <c r="K60" i="6" s="1"/>
  <c r="L34" i="3"/>
  <c r="N34" i="3"/>
  <c r="K63" i="6" s="1"/>
  <c r="L36" i="3"/>
  <c r="I66" i="6" s="1"/>
  <c r="N36" i="3"/>
  <c r="L38" i="3"/>
  <c r="N38" i="3"/>
  <c r="K69" i="6" s="1"/>
  <c r="L40" i="3"/>
  <c r="I72" i="6" s="1"/>
  <c r="N40" i="3"/>
  <c r="K72" i="6" s="1"/>
  <c r="L42" i="3"/>
  <c r="I75" i="6" s="1"/>
  <c r="N42" i="3"/>
  <c r="K75" i="6" s="1"/>
  <c r="L44" i="3"/>
  <c r="N44" i="3"/>
  <c r="K78" i="6" s="1"/>
  <c r="L46" i="3"/>
  <c r="I81" i="6" s="1"/>
  <c r="N46" i="3"/>
  <c r="K81" i="6" s="1"/>
  <c r="N6" i="3"/>
  <c r="L6" i="3"/>
  <c r="E7" i="1" l="1"/>
  <c r="E9" i="1" s="1"/>
  <c r="L54" i="3"/>
  <c r="K57" i="6"/>
  <c r="N54" i="3"/>
  <c r="P18" i="2"/>
  <c r="J14" i="2"/>
  <c r="M14" i="6" s="1"/>
  <c r="I6" i="2"/>
  <c r="L2" i="6" s="1"/>
  <c r="L5" i="6"/>
  <c r="G9" i="2"/>
  <c r="J9" i="2" s="1"/>
  <c r="M6" i="6" s="1"/>
  <c r="K24" i="6"/>
  <c r="H10" i="1"/>
  <c r="I57" i="6"/>
  <c r="F11" i="1"/>
  <c r="J16" i="2"/>
  <c r="M17" i="6" s="1"/>
  <c r="J17" i="6"/>
  <c r="G13" i="2"/>
  <c r="J13" i="2" s="1"/>
  <c r="M12" i="6" s="1"/>
  <c r="J10" i="2"/>
  <c r="M8" i="6" s="1"/>
  <c r="J8" i="6"/>
  <c r="H4" i="6"/>
  <c r="L19" i="2"/>
  <c r="K13" i="6"/>
  <c r="N10" i="2"/>
  <c r="J10" i="6" s="1"/>
  <c r="I10" i="6"/>
  <c r="I7" i="6"/>
  <c r="F7" i="1"/>
  <c r="I4" i="6"/>
  <c r="F6" i="1"/>
  <c r="M19" i="2"/>
  <c r="N12" i="2"/>
  <c r="Q12" i="2" s="1"/>
  <c r="M13" i="6" s="1"/>
  <c r="I13" i="6"/>
  <c r="H7" i="6"/>
  <c r="I24" i="6"/>
  <c r="F10" i="1"/>
  <c r="I78" i="6"/>
  <c r="I63" i="6"/>
  <c r="J6" i="2"/>
  <c r="M2" i="6" s="1"/>
  <c r="I14" i="2"/>
  <c r="J12" i="2"/>
  <c r="M11" i="6" s="1"/>
  <c r="J11" i="6"/>
  <c r="N6" i="2"/>
  <c r="K7" i="6"/>
  <c r="M20" i="6"/>
  <c r="Q18" i="2"/>
  <c r="I69" i="6"/>
  <c r="I48" i="6"/>
  <c r="I16" i="2"/>
  <c r="I10" i="2"/>
  <c r="L8" i="6" s="1"/>
  <c r="J8" i="2"/>
  <c r="M5" i="6" s="1"/>
  <c r="J5" i="6"/>
  <c r="K4" i="6"/>
  <c r="H6" i="1"/>
  <c r="N16" i="2"/>
  <c r="J19" i="6" s="1"/>
  <c r="I19" i="6"/>
  <c r="N14" i="2"/>
  <c r="J16" i="6" s="1"/>
  <c r="H16" i="6"/>
  <c r="N8" i="2"/>
  <c r="K66" i="6"/>
  <c r="H11" i="1"/>
  <c r="K19" i="6"/>
  <c r="H7" i="1"/>
  <c r="O19" i="2"/>
  <c r="G6" i="1" l="1"/>
  <c r="J6" i="1" s="1"/>
  <c r="G7" i="1"/>
  <c r="I7" i="1" s="1"/>
  <c r="G7" i="2"/>
  <c r="J3" i="6" s="1"/>
  <c r="H9" i="1"/>
  <c r="Q10" i="2"/>
  <c r="M10" i="6" s="1"/>
  <c r="Q16" i="2"/>
  <c r="M19" i="6" s="1"/>
  <c r="P16" i="2"/>
  <c r="L19" i="6" s="1"/>
  <c r="P10" i="2"/>
  <c r="L10" i="6" s="1"/>
  <c r="F9" i="1"/>
  <c r="N19" i="2"/>
  <c r="Q19" i="2" s="1"/>
  <c r="F12" i="1"/>
  <c r="P14" i="2"/>
  <c r="L16" i="6" s="1"/>
  <c r="Q14" i="2"/>
  <c r="M16" i="6" s="1"/>
  <c r="G11" i="2"/>
  <c r="H12" i="1"/>
  <c r="P8" i="2"/>
  <c r="L7" i="6" s="1"/>
  <c r="J7" i="6"/>
  <c r="Q8" i="2"/>
  <c r="M7" i="6" s="1"/>
  <c r="G15" i="2"/>
  <c r="L14" i="6"/>
  <c r="H21" i="6"/>
  <c r="G19" i="2"/>
  <c r="J4" i="6"/>
  <c r="Q6" i="2"/>
  <c r="P6" i="2"/>
  <c r="L17" i="6"/>
  <c r="G17" i="2"/>
  <c r="P12" i="2"/>
  <c r="L13" i="6" s="1"/>
  <c r="J13" i="6"/>
  <c r="I13" i="2"/>
  <c r="L12" i="6" s="1"/>
  <c r="J12" i="6"/>
  <c r="I9" i="2"/>
  <c r="L6" i="6" s="1"/>
  <c r="J6" i="6"/>
  <c r="H80" i="6"/>
  <c r="H71" i="6"/>
  <c r="H59" i="6"/>
  <c r="H26" i="6"/>
  <c r="H53" i="6"/>
  <c r="H44" i="6"/>
  <c r="H41" i="6"/>
  <c r="H35" i="6"/>
  <c r="H29" i="6"/>
  <c r="F15" i="1" l="1"/>
  <c r="H15" i="1"/>
  <c r="J7" i="1"/>
  <c r="I6" i="1"/>
  <c r="J7" i="2"/>
  <c r="M3" i="6" s="1"/>
  <c r="G9" i="1"/>
  <c r="I9" i="1" s="1"/>
  <c r="I7" i="2"/>
  <c r="L3" i="6" s="1"/>
  <c r="J9" i="6"/>
  <c r="J11" i="2"/>
  <c r="M9" i="6" s="1"/>
  <c r="I11" i="2"/>
  <c r="L9" i="6" s="1"/>
  <c r="P19" i="2"/>
  <c r="H47" i="6"/>
  <c r="H23" i="6"/>
  <c r="H68" i="6"/>
  <c r="H65" i="6"/>
  <c r="I17" i="2"/>
  <c r="L18" i="6" s="1"/>
  <c r="J17" i="2"/>
  <c r="M18" i="6" s="1"/>
  <c r="J18" i="6"/>
  <c r="H34" i="6"/>
  <c r="K14" i="3"/>
  <c r="G14" i="3"/>
  <c r="H52" i="6"/>
  <c r="G26" i="3"/>
  <c r="K26" i="3"/>
  <c r="H37" i="6"/>
  <c r="G16" i="3"/>
  <c r="K16" i="3"/>
  <c r="H31" i="6"/>
  <c r="K12" i="3"/>
  <c r="G12" i="3"/>
  <c r="H61" i="6"/>
  <c r="K34" i="3"/>
  <c r="G34" i="3"/>
  <c r="H73" i="6"/>
  <c r="K42" i="3"/>
  <c r="G42" i="3"/>
  <c r="H76" i="6"/>
  <c r="K44" i="3"/>
  <c r="G44" i="3"/>
  <c r="H58" i="6"/>
  <c r="K32" i="3"/>
  <c r="G32" i="3"/>
  <c r="H79" i="6"/>
  <c r="K46" i="3"/>
  <c r="G46" i="3"/>
  <c r="H55" i="6"/>
  <c r="K30" i="3"/>
  <c r="G30" i="3"/>
  <c r="H38" i="6"/>
  <c r="H74" i="6"/>
  <c r="H56" i="6"/>
  <c r="L4" i="6"/>
  <c r="H32" i="6"/>
  <c r="H62" i="6"/>
  <c r="H77" i="6"/>
  <c r="H28" i="6"/>
  <c r="K10" i="3"/>
  <c r="G10" i="3"/>
  <c r="H40" i="6"/>
  <c r="K18" i="3"/>
  <c r="G18" i="3"/>
  <c r="H43" i="6"/>
  <c r="K20" i="3"/>
  <c r="G20" i="3"/>
  <c r="H25" i="6"/>
  <c r="K8" i="3"/>
  <c r="G8" i="3"/>
  <c r="H46" i="6"/>
  <c r="G22" i="3"/>
  <c r="K22" i="3"/>
  <c r="H22" i="6"/>
  <c r="K6" i="3"/>
  <c r="G6" i="3"/>
  <c r="H67" i="6"/>
  <c r="K38" i="3"/>
  <c r="G38" i="3"/>
  <c r="H70" i="6"/>
  <c r="K40" i="3"/>
  <c r="G40" i="3"/>
  <c r="H64" i="6"/>
  <c r="G36" i="3"/>
  <c r="K36" i="3"/>
  <c r="M4" i="6"/>
  <c r="J21" i="6"/>
  <c r="J19" i="2"/>
  <c r="M21" i="6" s="1"/>
  <c r="I19" i="2"/>
  <c r="L21" i="6" s="1"/>
  <c r="J15" i="6"/>
  <c r="J15" i="2"/>
  <c r="M15" i="6" s="1"/>
  <c r="I15" i="2"/>
  <c r="L15" i="6" s="1"/>
  <c r="E11" i="1" l="1"/>
  <c r="G11" i="1" s="1"/>
  <c r="E10" i="1"/>
  <c r="G10" i="1" s="1"/>
  <c r="K54" i="3"/>
  <c r="M54" i="3" s="1"/>
  <c r="J9" i="1"/>
  <c r="H66" i="6"/>
  <c r="M36" i="3"/>
  <c r="M40" i="3"/>
  <c r="H72" i="6"/>
  <c r="J67" i="6"/>
  <c r="I38" i="3"/>
  <c r="J38" i="3"/>
  <c r="M67" i="6" s="1"/>
  <c r="J22" i="6"/>
  <c r="J6" i="3"/>
  <c r="M22" i="6" s="1"/>
  <c r="I6" i="3"/>
  <c r="J46" i="6"/>
  <c r="I22" i="3"/>
  <c r="J22" i="3"/>
  <c r="M46" i="6" s="1"/>
  <c r="J18" i="3"/>
  <c r="M40" i="6" s="1"/>
  <c r="J40" i="6"/>
  <c r="I18" i="3"/>
  <c r="H30" i="6"/>
  <c r="M10" i="3"/>
  <c r="J46" i="3"/>
  <c r="M79" i="6" s="1"/>
  <c r="J79" i="6"/>
  <c r="I46" i="3"/>
  <c r="M32" i="3"/>
  <c r="H60" i="6"/>
  <c r="J61" i="6"/>
  <c r="I34" i="3"/>
  <c r="J34" i="3"/>
  <c r="M61" i="6" s="1"/>
  <c r="M12" i="3"/>
  <c r="H33" i="6"/>
  <c r="J14" i="3"/>
  <c r="M34" i="6" s="1"/>
  <c r="J34" i="6"/>
  <c r="I14" i="3"/>
  <c r="H69" i="6"/>
  <c r="M38" i="3"/>
  <c r="H24" i="6"/>
  <c r="M6" i="3"/>
  <c r="J20" i="3"/>
  <c r="M43" i="6" s="1"/>
  <c r="J43" i="6"/>
  <c r="I20" i="3"/>
  <c r="H42" i="6"/>
  <c r="M18" i="3"/>
  <c r="J55" i="6"/>
  <c r="I30" i="3"/>
  <c r="J30" i="3"/>
  <c r="M55" i="6" s="1"/>
  <c r="M46" i="3"/>
  <c r="H81" i="6"/>
  <c r="J73" i="6"/>
  <c r="I42" i="3"/>
  <c r="J42" i="3"/>
  <c r="M73" i="6" s="1"/>
  <c r="H63" i="6"/>
  <c r="M34" i="3"/>
  <c r="H54" i="6"/>
  <c r="M26" i="3"/>
  <c r="M14" i="3"/>
  <c r="H36" i="6"/>
  <c r="J36" i="3"/>
  <c r="M64" i="6" s="1"/>
  <c r="J64" i="6"/>
  <c r="I36" i="3"/>
  <c r="I8" i="3"/>
  <c r="J25" i="6"/>
  <c r="J8" i="3"/>
  <c r="M25" i="6" s="1"/>
  <c r="M20" i="3"/>
  <c r="H45" i="6"/>
  <c r="M30" i="3"/>
  <c r="H57" i="6"/>
  <c r="J76" i="6"/>
  <c r="I44" i="3"/>
  <c r="J44" i="3"/>
  <c r="M76" i="6" s="1"/>
  <c r="M42" i="3"/>
  <c r="H75" i="6"/>
  <c r="M16" i="3"/>
  <c r="H39" i="6"/>
  <c r="J26" i="3"/>
  <c r="M52" i="6" s="1"/>
  <c r="J52" i="6"/>
  <c r="I26" i="3"/>
  <c r="J40" i="3"/>
  <c r="M70" i="6" s="1"/>
  <c r="J70" i="6"/>
  <c r="I40" i="3"/>
  <c r="H88" i="6"/>
  <c r="H48" i="6"/>
  <c r="M22" i="3"/>
  <c r="M8" i="3"/>
  <c r="H27" i="6"/>
  <c r="J10" i="3"/>
  <c r="M28" i="6" s="1"/>
  <c r="J28" i="6"/>
  <c r="I10" i="3"/>
  <c r="J32" i="3"/>
  <c r="M58" i="6" s="1"/>
  <c r="J58" i="6"/>
  <c r="I32" i="3"/>
  <c r="H78" i="6"/>
  <c r="M44" i="3"/>
  <c r="J31" i="6"/>
  <c r="I12" i="3"/>
  <c r="J12" i="3"/>
  <c r="M31" i="6" s="1"/>
  <c r="J37" i="6"/>
  <c r="I16" i="3"/>
  <c r="J16" i="3"/>
  <c r="M37" i="6" s="1"/>
  <c r="P54" i="3" l="1"/>
  <c r="O54" i="3"/>
  <c r="J11" i="1"/>
  <c r="I11" i="1"/>
  <c r="J10" i="1"/>
  <c r="I10" i="1"/>
  <c r="L31" i="6"/>
  <c r="G13" i="3"/>
  <c r="G27" i="3"/>
  <c r="L52" i="6"/>
  <c r="O16" i="3"/>
  <c r="L39" i="6" s="1"/>
  <c r="J39" i="6"/>
  <c r="P16" i="3"/>
  <c r="M39" i="6" s="1"/>
  <c r="L76" i="6"/>
  <c r="G45" i="3"/>
  <c r="O30" i="3"/>
  <c r="J57" i="6"/>
  <c r="P30" i="3"/>
  <c r="G9" i="3"/>
  <c r="L25" i="6"/>
  <c r="L73" i="6"/>
  <c r="G43" i="3"/>
  <c r="J24" i="6"/>
  <c r="O6" i="3"/>
  <c r="P6" i="3"/>
  <c r="O38" i="3"/>
  <c r="L69" i="6" s="1"/>
  <c r="J69" i="6"/>
  <c r="P38" i="3"/>
  <c r="M69" i="6" s="1"/>
  <c r="G19" i="3"/>
  <c r="L40" i="6"/>
  <c r="L46" i="6"/>
  <c r="G23" i="3"/>
  <c r="G33" i="3"/>
  <c r="L58" i="6"/>
  <c r="J88" i="6"/>
  <c r="L88" i="6"/>
  <c r="J54" i="3"/>
  <c r="M88" i="6" s="1"/>
  <c r="G41" i="3"/>
  <c r="L70" i="6"/>
  <c r="O20" i="3"/>
  <c r="L45" i="6" s="1"/>
  <c r="J45" i="6"/>
  <c r="P20" i="3"/>
  <c r="M45" i="6" s="1"/>
  <c r="O34" i="3"/>
  <c r="L63" i="6" s="1"/>
  <c r="J63" i="6"/>
  <c r="P34" i="3"/>
  <c r="M63" i="6" s="1"/>
  <c r="L55" i="6"/>
  <c r="G31" i="3"/>
  <c r="G21" i="3"/>
  <c r="L43" i="6"/>
  <c r="G15" i="3"/>
  <c r="L34" i="6"/>
  <c r="O12" i="3"/>
  <c r="L33" i="6" s="1"/>
  <c r="J33" i="6"/>
  <c r="P12" i="3"/>
  <c r="M33" i="6" s="1"/>
  <c r="O40" i="3"/>
  <c r="L72" i="6" s="1"/>
  <c r="J72" i="6"/>
  <c r="P40" i="3"/>
  <c r="M72" i="6" s="1"/>
  <c r="O8" i="3"/>
  <c r="L27" i="6" s="1"/>
  <c r="J27" i="6"/>
  <c r="P8" i="3"/>
  <c r="M27" i="6" s="1"/>
  <c r="O42" i="3"/>
  <c r="L75" i="6" s="1"/>
  <c r="J75" i="6"/>
  <c r="P42" i="3"/>
  <c r="M75" i="6" s="1"/>
  <c r="L64" i="6"/>
  <c r="G37" i="3"/>
  <c r="O14" i="3"/>
  <c r="L36" i="6" s="1"/>
  <c r="J36" i="6"/>
  <c r="P14" i="3"/>
  <c r="M36" i="6" s="1"/>
  <c r="E12" i="1"/>
  <c r="O32" i="3"/>
  <c r="L60" i="6" s="1"/>
  <c r="J60" i="6"/>
  <c r="P32" i="3"/>
  <c r="M60" i="6" s="1"/>
  <c r="O10" i="3"/>
  <c r="L30" i="6" s="1"/>
  <c r="J30" i="6"/>
  <c r="P10" i="3"/>
  <c r="M30" i="6" s="1"/>
  <c r="L22" i="6"/>
  <c r="G7" i="3"/>
  <c r="L67" i="6"/>
  <c r="G39" i="3"/>
  <c r="J66" i="6"/>
  <c r="O36" i="3"/>
  <c r="L66" i="6" s="1"/>
  <c r="P36" i="3"/>
  <c r="M66" i="6" s="1"/>
  <c r="L37" i="6"/>
  <c r="G17" i="3"/>
  <c r="G11" i="3"/>
  <c r="L28" i="6"/>
  <c r="O44" i="3"/>
  <c r="L78" i="6" s="1"/>
  <c r="J78" i="6"/>
  <c r="P44" i="3"/>
  <c r="M78" i="6" s="1"/>
  <c r="O22" i="3"/>
  <c r="L48" i="6" s="1"/>
  <c r="J48" i="6"/>
  <c r="P22" i="3"/>
  <c r="M48" i="6" s="1"/>
  <c r="O26" i="3"/>
  <c r="L54" i="6" s="1"/>
  <c r="J54" i="6"/>
  <c r="P26" i="3"/>
  <c r="M54" i="6" s="1"/>
  <c r="O46" i="3"/>
  <c r="L81" i="6" s="1"/>
  <c r="J81" i="6"/>
  <c r="P46" i="3"/>
  <c r="M81" i="6" s="1"/>
  <c r="O18" i="3"/>
  <c r="L42" i="6" s="1"/>
  <c r="J42" i="6"/>
  <c r="P18" i="3"/>
  <c r="M42" i="6" s="1"/>
  <c r="L61" i="6"/>
  <c r="G35" i="3"/>
  <c r="G47" i="3"/>
  <c r="L79" i="6"/>
  <c r="G12" i="1" l="1"/>
  <c r="I12" i="1" s="1"/>
  <c r="E15" i="1"/>
  <c r="G15" i="1" s="1"/>
  <c r="I35" i="3"/>
  <c r="L62" i="6" s="1"/>
  <c r="J62" i="6"/>
  <c r="J35" i="3"/>
  <c r="M62" i="6" s="1"/>
  <c r="J35" i="6"/>
  <c r="I15" i="3"/>
  <c r="L35" i="6" s="1"/>
  <c r="J15" i="3"/>
  <c r="M35" i="6" s="1"/>
  <c r="J44" i="6"/>
  <c r="I21" i="3"/>
  <c r="L44" i="6" s="1"/>
  <c r="J21" i="3"/>
  <c r="M44" i="6" s="1"/>
  <c r="J29" i="6"/>
  <c r="I11" i="3"/>
  <c r="L29" i="6" s="1"/>
  <c r="J11" i="3"/>
  <c r="M29" i="6" s="1"/>
  <c r="J23" i="6"/>
  <c r="I7" i="3"/>
  <c r="L23" i="6" s="1"/>
  <c r="J7" i="3"/>
  <c r="M23" i="6" s="1"/>
  <c r="I31" i="3"/>
  <c r="L56" i="6" s="1"/>
  <c r="J56" i="6"/>
  <c r="J31" i="3"/>
  <c r="M56" i="6" s="1"/>
  <c r="J71" i="6"/>
  <c r="J41" i="3"/>
  <c r="M71" i="6" s="1"/>
  <c r="I41" i="3"/>
  <c r="L71" i="6" s="1"/>
  <c r="J59" i="6"/>
  <c r="I33" i="3"/>
  <c r="L59" i="6" s="1"/>
  <c r="J33" i="3"/>
  <c r="M59" i="6" s="1"/>
  <c r="J41" i="6"/>
  <c r="I19" i="3"/>
  <c r="L41" i="6" s="1"/>
  <c r="J19" i="3"/>
  <c r="M41" i="6" s="1"/>
  <c r="M24" i="6"/>
  <c r="I43" i="3"/>
  <c r="L74" i="6" s="1"/>
  <c r="J74" i="6"/>
  <c r="J43" i="3"/>
  <c r="M74" i="6" s="1"/>
  <c r="J53" i="6"/>
  <c r="I27" i="3"/>
  <c r="L53" i="6" s="1"/>
  <c r="J27" i="3"/>
  <c r="M53" i="6" s="1"/>
  <c r="I17" i="3"/>
  <c r="L38" i="6" s="1"/>
  <c r="J38" i="6"/>
  <c r="J17" i="3"/>
  <c r="M38" i="6" s="1"/>
  <c r="I23" i="3"/>
  <c r="L47" i="6" s="1"/>
  <c r="J47" i="6"/>
  <c r="J23" i="3"/>
  <c r="M47" i="6" s="1"/>
  <c r="L24" i="6"/>
  <c r="J26" i="6"/>
  <c r="I9" i="3"/>
  <c r="L26" i="6" s="1"/>
  <c r="J9" i="3"/>
  <c r="M26" i="6" s="1"/>
  <c r="L57" i="6"/>
  <c r="I13" i="3"/>
  <c r="L32" i="6" s="1"/>
  <c r="J32" i="6"/>
  <c r="J13" i="3"/>
  <c r="M32" i="6" s="1"/>
  <c r="J80" i="6"/>
  <c r="I47" i="3"/>
  <c r="L80" i="6" s="1"/>
  <c r="J47" i="3"/>
  <c r="M80" i="6" s="1"/>
  <c r="I39" i="3"/>
  <c r="L68" i="6" s="1"/>
  <c r="J68" i="6"/>
  <c r="J39" i="3"/>
  <c r="M68" i="6" s="1"/>
  <c r="J65" i="6"/>
  <c r="I37" i="3"/>
  <c r="L65" i="6" s="1"/>
  <c r="J37" i="3"/>
  <c r="M65" i="6" s="1"/>
  <c r="M57" i="6"/>
  <c r="I45" i="3"/>
  <c r="L77" i="6" s="1"/>
  <c r="J77" i="6"/>
  <c r="J45" i="3"/>
  <c r="M77" i="6" s="1"/>
  <c r="J12" i="1" l="1"/>
  <c r="J15" i="1"/>
  <c r="I15" i="1"/>
  <c r="M191" i="6"/>
  <c r="J37" i="5"/>
  <c r="O37" i="5"/>
  <c r="K37" i="5"/>
  <c r="M125" i="6" s="1"/>
  <c r="K127" i="6" l="1"/>
  <c r="O89" i="5"/>
  <c r="P89" i="5" s="1"/>
  <c r="H38" i="5"/>
  <c r="K38" i="5" s="1"/>
  <c r="M126" i="6" s="1"/>
  <c r="L125" i="6"/>
  <c r="H24" i="1"/>
  <c r="Q37" i="5"/>
  <c r="M127" i="6" s="1"/>
  <c r="L191" i="6"/>
  <c r="P37" i="5"/>
  <c r="L127" i="6" s="1"/>
  <c r="K191" i="6"/>
  <c r="J38" i="5" l="1"/>
  <c r="L126" i="6" s="1"/>
  <c r="J126" i="6"/>
  <c r="J24" i="1"/>
  <c r="H28" i="1"/>
  <c r="J28" i="1" s="1"/>
  <c r="I24" i="1"/>
  <c r="Q89" i="5"/>
  <c r="I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8" authorId="0" shapeId="0" xr:uid="{3E58D45E-AFA4-4725-B082-E8DD56FB4A61}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N°377-25 cede 73,32 ton hacia BRACPESCA S.A.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36" authorId="0" shapeId="0" xr:uid="{AE428C9C-CDBC-4E1E-B7D4-E164B8FCD8A3}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N°377-25 incremento de 73,32 ton desde PUNTA DE TALCA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mcea</author>
  </authors>
  <commentList>
    <comment ref="G23" authorId="0" shapeId="0" xr:uid="{AC05B14E-F9D4-4F3D-B3C3-305D46F70AD7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Comodato de 0,679 Ton a Enfermar V-VI</t>
        </r>
      </text>
    </comment>
    <comment ref="G29" authorId="0" shapeId="0" xr:uid="{40527F12-EB79-4243-947A-A3DDDA3CD27A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N°293-25  de 27,48 Ton a Crustaceos Sur S.A. V-VI</t>
        </r>
      </text>
    </comment>
    <comment ref="G33" authorId="0" shapeId="0" xr:uid="{B8A9844C-CCF5-449B-90FF-40568779D551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Comodato de 0,679 Ton desde Pesq. Isladamas S.A. V-VI</t>
        </r>
      </text>
    </comment>
    <comment ref="G49" authorId="0" shapeId="0" xr:uid="{683AEE5D-FD60-4BAD-8E08-D8C58599D0BB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 de 27,48 Ton desde Pacificblu Spa V-VI</t>
        </r>
      </text>
    </comment>
    <comment ref="G61" authorId="0" shapeId="0" xr:uid="{2C0F5D8A-49E2-45B5-B60D-EC86FCC3922B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Comodato de 0,831 Ton a Enfermar VII-VIII</t>
        </r>
      </text>
    </comment>
    <comment ref="G67" authorId="0" shapeId="0" xr:uid="{469C591C-DBCF-40FF-9F6B-E96024C0E606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N°293-25 Comodato de 33,6 Ton a Crustaceos Sur S.A. VII-VIII</t>
        </r>
      </text>
    </comment>
    <comment ref="G71" authorId="0" shapeId="0" xr:uid="{C52CD429-7FE5-411A-96C4-77B698AFC3E7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Comodato de 0,831 Ton desde Pesq. Isladamas S.A. VII-VIII</t>
        </r>
      </text>
    </comment>
    <comment ref="G87" authorId="0" shapeId="0" xr:uid="{ABDE5936-CB21-45AB-B4E0-4A007420FD6F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N°293-25  de 33,6 Ton desde Pacificblu Spa VII-VIII</t>
        </r>
      </text>
    </comment>
  </commentList>
</comments>
</file>

<file path=xl/sharedStrings.xml><?xml version="1.0" encoding="utf-8"?>
<sst xmlns="http://schemas.openxmlformats.org/spreadsheetml/2006/main" count="1517" uniqueCount="187">
  <si>
    <t>CONTROL CUOTA GLOBAL LANGOSTINO AMARILLO III-IV AÑO 2025</t>
  </si>
  <si>
    <t>UNIDAD DE PESQUERIA</t>
  </si>
  <si>
    <t>SECTOR</t>
  </si>
  <si>
    <t>FRACCIONAMIENTO</t>
  </si>
  <si>
    <t>CUOTA ASIGNADA (TON)</t>
  </si>
  <si>
    <t>MOVIMIENTO (TON)</t>
  </si>
  <si>
    <t>CUOTA EFECTIVA (TON)</t>
  </si>
  <si>
    <t>CAPTURA (TON)</t>
  </si>
  <si>
    <t>SALDO (TON)</t>
  </si>
  <si>
    <t>% CONSUMIDO</t>
  </si>
  <si>
    <t>LANGOSTINO AMARILLO III-IV</t>
  </si>
  <si>
    <t>ARTESANAL</t>
  </si>
  <si>
    <t>ARTESANAL III</t>
  </si>
  <si>
    <t>ARTESANAL IV</t>
  </si>
  <si>
    <t>FAUNA ACOMPAÑANTE</t>
  </si>
  <si>
    <t>FRACCION ARTESANAL</t>
  </si>
  <si>
    <t>INDUSTRIAL</t>
  </si>
  <si>
    <t>INDUSTRIAL LTP III</t>
  </si>
  <si>
    <t>INDUSTRIAL LTP IV</t>
  </si>
  <si>
    <t>FRACCIÓN INDUSTRIAL</t>
  </si>
  <si>
    <t>INVESTIGACIÓN III-IV</t>
  </si>
  <si>
    <t>CESIONES INDIVIDUALES</t>
  </si>
  <si>
    <t>TOTALES</t>
  </si>
  <si>
    <t xml:space="preserve">Folio DEXE </t>
  </si>
  <si>
    <t>N° 192-24</t>
  </si>
  <si>
    <t>CONTROL CUOTA GLOBAL LANGOSTINO AMARILLO PEP V-VIII AÑO 2025</t>
  </si>
  <si>
    <t>LANGOSTINO AMARILLO PEP  V-VIII</t>
  </si>
  <si>
    <t>ARTESANAL-INDUSTRIAL</t>
  </si>
  <si>
    <t>LICITADA PEP V-VI</t>
  </si>
  <si>
    <t>LICITADA PEP VII-VIII</t>
  </si>
  <si>
    <t>FAUNA ACOMPAÑANTE V-VIII</t>
  </si>
  <si>
    <t>INVESTIGACIÓN V-VIII</t>
  </si>
  <si>
    <t>N° 156-24</t>
  </si>
  <si>
    <t>CONTROL CUOTA LANGOSTINO AMARILLO FRACCION ARTESANAL AÑO 2025</t>
  </si>
  <si>
    <t>REGIÓN</t>
  </si>
  <si>
    <t>ASIGNATARIO</t>
  </si>
  <si>
    <t>PERIODO</t>
  </si>
  <si>
    <t>FECHA CIERRE</t>
  </si>
  <si>
    <t>% CONSUMO</t>
  </si>
  <si>
    <t>III REGION DE ATACAMA</t>
  </si>
  <si>
    <t>MAR-AGO</t>
  </si>
  <si>
    <t>-</t>
  </si>
  <si>
    <t>OCT-DIC</t>
  </si>
  <si>
    <t>IV REGION DE COQUIMBO</t>
  </si>
  <si>
    <t>PUNTA TALCA</t>
  </si>
  <si>
    <t>TRAUWUN I</t>
  </si>
  <si>
    <t>CHAFIC I</t>
  </si>
  <si>
    <t>ISLA TABON</t>
  </si>
  <si>
    <t>RESIDUAL</t>
  </si>
  <si>
    <t>REGIONES III-IV</t>
  </si>
  <si>
    <t>ENE-DIC</t>
  </si>
  <si>
    <t>CONTROL CUOTA LANGOSTINO AMARILLO FRACCION INDUSTRIAL AÑO 2025</t>
  </si>
  <si>
    <t>TITULAR DE CUOTA LTP</t>
  </si>
  <si>
    <t>LANGOSTINO AMARILLO III</t>
  </si>
  <si>
    <t>ANTARTIC SEAFOOD S.A.</t>
  </si>
  <si>
    <t>QUINTERO S.A. PESQ.</t>
  </si>
  <si>
    <t>BAYCIC BAYCIC MARIA</t>
  </si>
  <si>
    <t>BRACPESCA S.A.</t>
  </si>
  <si>
    <t>GRIMAR S.A. PESQ.</t>
  </si>
  <si>
    <t>ISLADAMAS S.A. PESQ.</t>
  </si>
  <si>
    <t>MOROZIN BAYCIC MARIA ANA</t>
  </si>
  <si>
    <t>MOROZIN YURECIC MARIO</t>
  </si>
  <si>
    <t>NAKAL SPA INV.</t>
  </si>
  <si>
    <t xml:space="preserve">NORDIOMAR SPA SOC. PESQ. </t>
  </si>
  <si>
    <t>ENFERMAR LTDA. SOC. PESQ.</t>
  </si>
  <si>
    <t>CADUCADOS</t>
  </si>
  <si>
    <t>LANGOSTINO AMARILLO IV</t>
  </si>
  <si>
    <t>NORDIOMAR SPA SOC. PESQ.</t>
  </si>
  <si>
    <t>III</t>
  </si>
  <si>
    <t>VALOR DECRETO</t>
  </si>
  <si>
    <t>IV</t>
  </si>
  <si>
    <t>A</t>
  </si>
  <si>
    <t>B</t>
  </si>
  <si>
    <t>TOTAL CUOTA</t>
  </si>
  <si>
    <t>Lotes deciertos  III</t>
  </si>
  <si>
    <t>ENE-FEB</t>
  </si>
  <si>
    <t>LTP A</t>
  </si>
  <si>
    <t xml:space="preserve">LTP A X COEFICIENTE </t>
  </si>
  <si>
    <t>LTP A (COEFICIENTE)</t>
  </si>
  <si>
    <t>LTP B</t>
  </si>
  <si>
    <t>LTP B x COEFICIENTE</t>
  </si>
  <si>
    <t>LTP B (COEFICIENTE)</t>
  </si>
  <si>
    <t>MAR-DIC</t>
  </si>
  <si>
    <t>TOTAL LOTES DECIERTOS</t>
  </si>
  <si>
    <t>ZUÑIGA ROMERO GONZALO</t>
  </si>
  <si>
    <t>NAKAL INV. SpA</t>
  </si>
  <si>
    <t xml:space="preserve">SOCIEDAD PESQUERA NORDIOMAR </t>
  </si>
  <si>
    <t>RUBIO Y MAUAD SPA</t>
  </si>
  <si>
    <t>TOTAL LTP ASIGNADAS</t>
  </si>
  <si>
    <t xml:space="preserve">TOTAL </t>
  </si>
  <si>
    <t>TOTAL LTP A+B</t>
  </si>
  <si>
    <t xml:space="preserve">LTP (A+B)  X COEFICIENTE </t>
  </si>
  <si>
    <t>TOTAL LTP A+B (COEFICIENTE)</t>
  </si>
  <si>
    <t>Lotes deciertos IV</t>
  </si>
  <si>
    <t>V-VI</t>
  </si>
  <si>
    <t>VII-VIII</t>
  </si>
  <si>
    <t>TOTAL</t>
  </si>
  <si>
    <t>CONTROL CUOTA LANGOSTINO AMARILLO PEP AÑO 2025</t>
  </si>
  <si>
    <t>%</t>
  </si>
  <si>
    <t xml:space="preserve"> LANGOSTINO AMARILLO PEP V-VI</t>
  </si>
  <si>
    <t>ANTONIO CRUZ CORDOVA NAKOUZI E.I.R.L.</t>
  </si>
  <si>
    <t>LANDES S.A. PESQ.</t>
  </si>
  <si>
    <t>PACIFICBLU SPA.</t>
  </si>
  <si>
    <t>ERIC ARAVENA ARAVENA</t>
  </si>
  <si>
    <t>ENFEMAR LTDA. SOC. PESQ.</t>
  </si>
  <si>
    <t>INVERSIONES NAKAL SPA.</t>
  </si>
  <si>
    <t>SOC. PESQ. NORDIOMAR SPA.</t>
  </si>
  <si>
    <t>PESQUERA SUR AUSTRAL</t>
  </si>
  <si>
    <t>COMERCIALIZADORA SIMON SEAFOOD LTDA.</t>
  </si>
  <si>
    <t>WILLIAMS MAUAD MEZA</t>
  </si>
  <si>
    <t xml:space="preserve">GUILLEROMO DONOSO TOBAR </t>
  </si>
  <si>
    <t>MJF LTDA</t>
  </si>
  <si>
    <t>CRUSTACEOS SUR S.A.</t>
  </si>
  <si>
    <t>LANGOSTINO AMARILLO PEP VII-VIII</t>
  </si>
  <si>
    <t xml:space="preserve"> </t>
  </si>
  <si>
    <t>CONTROL PESCA DE INVESTIGACION</t>
  </si>
  <si>
    <t>N° RESOLUCION</t>
  </si>
  <si>
    <t>EMBARCACION TITULAR</t>
  </si>
  <si>
    <t>CUOTA</t>
  </si>
  <si>
    <t>CAPTURA</t>
  </si>
  <si>
    <t>CAPTURA TOTAL</t>
  </si>
  <si>
    <t>SALDO</t>
  </si>
  <si>
    <t>CONSUMO</t>
  </si>
  <si>
    <t>CESIONES CUOTAS INDIVIDUALES</t>
  </si>
  <si>
    <t>N° Resolución</t>
  </si>
  <si>
    <t>RPA</t>
  </si>
  <si>
    <t>Embarcación</t>
  </si>
  <si>
    <t>Cuota</t>
  </si>
  <si>
    <t>Captura</t>
  </si>
  <si>
    <t>Saldo</t>
  </si>
  <si>
    <t>Consumo</t>
  </si>
  <si>
    <t>LTPA</t>
  </si>
  <si>
    <t>LTPB</t>
  </si>
  <si>
    <t>A+B</t>
  </si>
  <si>
    <t>TON</t>
  </si>
  <si>
    <t>EMPRESAS</t>
  </si>
  <si>
    <t>CAMANCHACA PESCA SUR</t>
  </si>
  <si>
    <t>QUINTERO</t>
  </si>
  <si>
    <t>BRACPESCA</t>
  </si>
  <si>
    <t>ISLADAMAS</t>
  </si>
  <si>
    <t>ANTARTIC SEAFOOD</t>
  </si>
  <si>
    <t>GRIMAR S.A.</t>
  </si>
  <si>
    <t xml:space="preserve">Detalle Negocios Langostino Amarillo PEP (V-VIII) </t>
  </si>
  <si>
    <t>PESQ. ANTONIO CRUZ CORDOVA</t>
  </si>
  <si>
    <t>N° doc</t>
  </si>
  <si>
    <t>Fecha</t>
  </si>
  <si>
    <t>DE -</t>
  </si>
  <si>
    <t>A+</t>
  </si>
  <si>
    <t>Coeficiente</t>
  </si>
  <si>
    <t xml:space="preserve"> VII-VIII</t>
  </si>
  <si>
    <t>Total</t>
  </si>
  <si>
    <t>RUBIO Y MAUAD LTDA.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</si>
  <si>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</si>
  <si>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</si>
  <si>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</si>
  <si>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</si>
  <si>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</si>
  <si>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</si>
  <si>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</si>
  <si>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</si>
  <si>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</si>
  <si>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</si>
  <si>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</si>
  <si>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</si>
  <si>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consumo_porcentaje</t>
  </si>
  <si>
    <t>cierre</t>
  </si>
  <si>
    <t>preliminar</t>
  </si>
  <si>
    <t>año</t>
  </si>
  <si>
    <t>mensaje</t>
  </si>
  <si>
    <t>LANGOSTINO AMARILLO</t>
  </si>
  <si>
    <t>REGION</t>
  </si>
  <si>
    <t>EMBARCACIÓN</t>
  </si>
  <si>
    <t>III-IV</t>
  </si>
  <si>
    <t>TOTAL ARTESANAL</t>
  </si>
  <si>
    <t>TOTAL ASIGNATARIO ARTESANAL</t>
  </si>
  <si>
    <t>TITULAR LTP</t>
  </si>
  <si>
    <t>TOTAL LTP</t>
  </si>
  <si>
    <t>TOTAL ASIGNATARIOS LTP</t>
  </si>
  <si>
    <t>LANGOSTINO AMARILLO V-VIII</t>
  </si>
  <si>
    <t>TITULAR PEP</t>
  </si>
  <si>
    <t>V-VIII</t>
  </si>
  <si>
    <t>TOTAL PEP</t>
  </si>
  <si>
    <t>TOTAL ASIGNATARIO PEP</t>
  </si>
  <si>
    <t>Pesq. Isla damas S.A.</t>
  </si>
  <si>
    <t>Enfermar Ltda.</t>
  </si>
  <si>
    <t>Pacificblu spa</t>
  </si>
  <si>
    <t>Crustaceos Sur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</si>
</sst>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"/>
    <numFmt numFmtId="165" formatCode="0.000%"/>
    <numFmt numFmtId="166" formatCode="yyyy/mm/dd;@"/>
    <numFmt numFmtId="167" formatCode="0.00000"/>
    <numFmt numFmtId="168" formatCode="[$-F800]dddd\,\ mmmm\ dd\,\ yyyy"/>
    <numFmt numFmtId="169" formatCode="0.0000000"/>
    <numFmt numFmtId="170" formatCode="0.000000"/>
    <numFmt numFmtId="171" formatCode="0.0000"/>
    <numFmt numFmtId="172" formatCode="0.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165" fontId="6" fillId="0" borderId="0" xfId="1" applyNumberFormat="1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5" fontId="3" fillId="0" borderId="29" xfId="1" applyNumberFormat="1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5" borderId="26" xfId="0" applyNumberFormat="1" applyFont="1" applyFill="1" applyBorder="1" applyAlignment="1">
      <alignment horizontal="center" vertical="center"/>
    </xf>
    <xf numFmtId="164" fontId="3" fillId="5" borderId="27" xfId="0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3" fillId="8" borderId="41" xfId="0" applyFont="1" applyFill="1" applyBorder="1" applyAlignment="1">
      <alignment horizontal="left" vertical="center"/>
    </xf>
    <xf numFmtId="0" fontId="3" fillId="8" borderId="42" xfId="0" applyFont="1" applyFill="1" applyBorder="1" applyAlignment="1">
      <alignment horizontal="left" vertical="center"/>
    </xf>
    <xf numFmtId="0" fontId="3" fillId="8" borderId="45" xfId="0" applyFont="1" applyFill="1" applyBorder="1" applyAlignment="1">
      <alignment horizontal="left" vertical="center"/>
    </xf>
    <xf numFmtId="0" fontId="3" fillId="9" borderId="42" xfId="0" applyFont="1" applyFill="1" applyBorder="1" applyAlignment="1">
      <alignment horizontal="left" vertical="center"/>
    </xf>
    <xf numFmtId="0" fontId="3" fillId="9" borderId="43" xfId="0" applyFont="1" applyFill="1" applyBorder="1" applyAlignment="1">
      <alignment horizontal="left" vertical="center"/>
    </xf>
    <xf numFmtId="164" fontId="2" fillId="9" borderId="31" xfId="0" applyNumberFormat="1" applyFont="1" applyFill="1" applyBorder="1" applyAlignment="1">
      <alignment horizontal="center" vertical="center"/>
    </xf>
    <xf numFmtId="164" fontId="2" fillId="9" borderId="32" xfId="0" applyNumberFormat="1" applyFont="1" applyFill="1" applyBorder="1" applyAlignment="1">
      <alignment horizontal="center" vertical="center"/>
    </xf>
    <xf numFmtId="165" fontId="2" fillId="9" borderId="33" xfId="1" applyNumberFormat="1" applyFont="1" applyFill="1" applyBorder="1" applyAlignment="1">
      <alignment horizontal="center" vertical="center"/>
    </xf>
    <xf numFmtId="164" fontId="2" fillId="8" borderId="32" xfId="0" applyNumberFormat="1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9" fontId="2" fillId="8" borderId="32" xfId="1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165" fontId="2" fillId="8" borderId="1" xfId="1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14" fontId="2" fillId="10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9" fontId="2" fillId="12" borderId="32" xfId="1" applyFont="1" applyFill="1" applyBorder="1" applyAlignment="1">
      <alignment horizontal="center" vertical="center"/>
    </xf>
    <xf numFmtId="0" fontId="2" fillId="12" borderId="3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3" fillId="0" borderId="22" xfId="1" applyNumberFormat="1" applyFont="1" applyBorder="1" applyAlignment="1">
      <alignment horizontal="center" vertical="center"/>
    </xf>
    <xf numFmtId="165" fontId="3" fillId="0" borderId="27" xfId="1" applyNumberFormat="1" applyFont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164" fontId="2" fillId="12" borderId="32" xfId="0" applyNumberFormat="1" applyFont="1" applyFill="1" applyBorder="1" applyAlignment="1">
      <alignment horizontal="center" vertical="center"/>
    </xf>
    <xf numFmtId="165" fontId="2" fillId="12" borderId="32" xfId="1" applyNumberFormat="1" applyFont="1" applyFill="1" applyBorder="1" applyAlignment="1">
      <alignment horizontal="center" vertical="center"/>
    </xf>
    <xf numFmtId="165" fontId="2" fillId="12" borderId="33" xfId="1" applyNumberFormat="1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2" fillId="14" borderId="40" xfId="0" applyFont="1" applyFill="1" applyBorder="1" applyAlignment="1">
      <alignment horizontal="center" vertical="center"/>
    </xf>
    <xf numFmtId="0" fontId="2" fillId="14" borderId="32" xfId="0" applyFont="1" applyFill="1" applyBorder="1" applyAlignment="1">
      <alignment horizontal="center" vertical="center"/>
    </xf>
    <xf numFmtId="9" fontId="2" fillId="14" borderId="32" xfId="1" applyFont="1" applyFill="1" applyBorder="1" applyAlignment="1">
      <alignment horizontal="center" vertical="center"/>
    </xf>
    <xf numFmtId="0" fontId="2" fillId="14" borderId="33" xfId="0" applyFont="1" applyFill="1" applyBorder="1" applyAlignment="1">
      <alignment horizontal="center" vertical="center"/>
    </xf>
    <xf numFmtId="0" fontId="7" fillId="17" borderId="1" xfId="0" applyFont="1" applyFill="1" applyBorder="1"/>
    <xf numFmtId="0" fontId="7" fillId="18" borderId="1" xfId="0" applyFont="1" applyFill="1" applyBorder="1"/>
    <xf numFmtId="0" fontId="8" fillId="17" borderId="1" xfId="0" applyFont="1" applyFill="1" applyBorder="1"/>
    <xf numFmtId="2" fontId="8" fillId="18" borderId="1" xfId="0" applyNumberFormat="1" applyFont="1" applyFill="1" applyBorder="1"/>
    <xf numFmtId="167" fontId="8" fillId="18" borderId="1" xfId="0" applyNumberFormat="1" applyFont="1" applyFill="1" applyBorder="1"/>
    <xf numFmtId="2" fontId="9" fillId="18" borderId="1" xfId="0" applyNumberFormat="1" applyFont="1" applyFill="1" applyBorder="1" applyAlignment="1">
      <alignment horizontal="center"/>
    </xf>
    <xf numFmtId="0" fontId="10" fillId="13" borderId="23" xfId="0" applyFont="1" applyFill="1" applyBorder="1"/>
    <xf numFmtId="0" fontId="10" fillId="13" borderId="47" xfId="0" applyFont="1" applyFill="1" applyBorder="1"/>
    <xf numFmtId="0" fontId="10" fillId="13" borderId="24" xfId="0" applyFont="1" applyFill="1" applyBorder="1"/>
    <xf numFmtId="0" fontId="10" fillId="13" borderId="28" xfId="0" applyFont="1" applyFill="1" applyBorder="1"/>
    <xf numFmtId="0" fontId="3" fillId="9" borderId="49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16" borderId="49" xfId="0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/>
    </xf>
    <xf numFmtId="0" fontId="3" fillId="13" borderId="50" xfId="0" applyFont="1" applyFill="1" applyBorder="1" applyAlignment="1">
      <alignment horizontal="center" vertical="center"/>
    </xf>
    <xf numFmtId="0" fontId="3" fillId="13" borderId="4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22" borderId="13" xfId="0" applyFont="1" applyFill="1" applyBorder="1" applyAlignment="1">
      <alignment horizontal="center" vertical="center"/>
    </xf>
    <xf numFmtId="0" fontId="12" fillId="24" borderId="30" xfId="0" applyFont="1" applyFill="1" applyBorder="1" applyAlignment="1">
      <alignment horizontal="center" vertical="center"/>
    </xf>
    <xf numFmtId="0" fontId="12" fillId="24" borderId="34" xfId="0" applyFont="1" applyFill="1" applyBorder="1" applyAlignment="1">
      <alignment horizontal="center" vertical="center"/>
    </xf>
    <xf numFmtId="0" fontId="12" fillId="18" borderId="34" xfId="0" applyFont="1" applyFill="1" applyBorder="1" applyAlignment="1">
      <alignment horizontal="center" vertical="center"/>
    </xf>
    <xf numFmtId="0" fontId="12" fillId="18" borderId="14" xfId="0" applyFont="1" applyFill="1" applyBorder="1" applyAlignment="1">
      <alignment horizontal="center" vertical="center"/>
    </xf>
    <xf numFmtId="0" fontId="12" fillId="0" borderId="56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1" fillId="0" borderId="5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4" borderId="21" xfId="0" applyFont="1" applyFill="1" applyBorder="1" applyAlignment="1">
      <alignment horizontal="center" vertical="center"/>
    </xf>
    <xf numFmtId="0" fontId="12" fillId="24" borderId="22" xfId="0" applyFont="1" applyFill="1" applyBorder="1" applyAlignment="1">
      <alignment horizontal="center" vertical="center" wrapText="1"/>
    </xf>
    <xf numFmtId="0" fontId="12" fillId="18" borderId="22" xfId="0" applyFont="1" applyFill="1" applyBorder="1" applyAlignment="1">
      <alignment horizontal="center" vertical="center" wrapText="1"/>
    </xf>
    <xf numFmtId="0" fontId="12" fillId="18" borderId="23" xfId="0" applyFont="1" applyFill="1" applyBorder="1" applyAlignment="1">
      <alignment horizontal="center" vertical="center" wrapText="1"/>
    </xf>
    <xf numFmtId="0" fontId="12" fillId="24" borderId="21" xfId="0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169" fontId="12" fillId="0" borderId="1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wrapText="1"/>
    </xf>
    <xf numFmtId="0" fontId="11" fillId="0" borderId="46" xfId="0" applyFont="1" applyBorder="1" applyAlignment="1">
      <alignment horizontal="center" vertical="center" wrapText="1"/>
    </xf>
    <xf numFmtId="172" fontId="12" fillId="0" borderId="1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2" fontId="11" fillId="0" borderId="30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171" fontId="11" fillId="0" borderId="13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7" fontId="12" fillId="0" borderId="4" xfId="0" applyNumberFormat="1" applyFont="1" applyBorder="1" applyAlignment="1">
      <alignment horizontal="center" vertical="center" wrapText="1"/>
    </xf>
    <xf numFmtId="167" fontId="12" fillId="0" borderId="4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0" fontId="12" fillId="24" borderId="1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8" borderId="30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/>
    </xf>
    <xf numFmtId="0" fontId="12" fillId="26" borderId="61" xfId="0" applyFont="1" applyFill="1" applyBorder="1" applyAlignment="1">
      <alignment horizontal="center" vertical="center"/>
    </xf>
    <xf numFmtId="0" fontId="12" fillId="26" borderId="51" xfId="0" applyFont="1" applyFill="1" applyBorder="1" applyAlignment="1">
      <alignment horizontal="center" vertical="center"/>
    </xf>
    <xf numFmtId="170" fontId="3" fillId="13" borderId="4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13" borderId="21" xfId="0" applyFont="1" applyFill="1" applyBorder="1" applyAlignment="1">
      <alignment horizontal="center" vertical="center"/>
    </xf>
    <xf numFmtId="0" fontId="10" fillId="13" borderId="22" xfId="0" applyFont="1" applyFill="1" applyBorder="1" applyAlignment="1">
      <alignment horizontal="center" vertical="center"/>
    </xf>
    <xf numFmtId="0" fontId="10" fillId="13" borderId="47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3" borderId="51" xfId="0" applyFont="1" applyFill="1" applyBorder="1" applyAlignment="1">
      <alignment horizontal="center" vertical="center"/>
    </xf>
    <xf numFmtId="0" fontId="10" fillId="13" borderId="27" xfId="0" applyFont="1" applyFill="1" applyBorder="1" applyAlignment="1">
      <alignment horizontal="center" vertical="center"/>
    </xf>
    <xf numFmtId="0" fontId="3" fillId="15" borderId="48" xfId="0" applyFont="1" applyFill="1" applyBorder="1" applyAlignment="1">
      <alignment horizontal="center" vertical="center"/>
    </xf>
    <xf numFmtId="0" fontId="2" fillId="14" borderId="62" xfId="0" applyFont="1" applyFill="1" applyBorder="1" applyAlignment="1">
      <alignment horizontal="center" vertical="center"/>
    </xf>
    <xf numFmtId="0" fontId="2" fillId="14" borderId="31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164" fontId="2" fillId="14" borderId="32" xfId="0" applyNumberFormat="1" applyFont="1" applyFill="1" applyBorder="1" applyAlignment="1">
      <alignment horizontal="center" vertical="center"/>
    </xf>
    <xf numFmtId="165" fontId="2" fillId="14" borderId="32" xfId="1" applyNumberFormat="1" applyFont="1" applyFill="1" applyBorder="1" applyAlignment="1">
      <alignment horizontal="center" vertical="center"/>
    </xf>
    <xf numFmtId="165" fontId="2" fillId="14" borderId="33" xfId="1" applyNumberFormat="1" applyFont="1" applyFill="1" applyBorder="1" applyAlignment="1">
      <alignment horizontal="center" vertical="center"/>
    </xf>
    <xf numFmtId="165" fontId="3" fillId="0" borderId="39" xfId="1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65" fontId="3" fillId="0" borderId="39" xfId="1" applyNumberFormat="1" applyFont="1" applyFill="1" applyBorder="1" applyAlignment="1">
      <alignment horizontal="center" vertical="center"/>
    </xf>
    <xf numFmtId="165" fontId="3" fillId="0" borderId="24" xfId="1" applyNumberFormat="1" applyFont="1" applyFill="1" applyBorder="1" applyAlignment="1">
      <alignment horizontal="center" vertical="center"/>
    </xf>
    <xf numFmtId="10" fontId="3" fillId="5" borderId="28" xfId="1" applyNumberFormat="1" applyFont="1" applyFill="1" applyBorder="1" applyAlignment="1">
      <alignment horizontal="center" vertical="center"/>
    </xf>
    <xf numFmtId="10" fontId="2" fillId="8" borderId="33" xfId="1" applyNumberFormat="1" applyFont="1" applyFill="1" applyBorder="1" applyAlignment="1">
      <alignment horizontal="center" vertical="center"/>
    </xf>
    <xf numFmtId="0" fontId="3" fillId="9" borderId="60" xfId="0" applyFont="1" applyFill="1" applyBorder="1" applyAlignment="1">
      <alignment horizontal="left" vertical="center"/>
    </xf>
    <xf numFmtId="0" fontId="12" fillId="18" borderId="11" xfId="0" applyFont="1" applyFill="1" applyBorder="1" applyAlignment="1">
      <alignment horizontal="center" vertical="center"/>
    </xf>
    <xf numFmtId="0" fontId="12" fillId="18" borderId="2" xfId="0" applyFont="1" applyFill="1" applyBorder="1" applyAlignment="1">
      <alignment horizontal="center" vertical="center"/>
    </xf>
    <xf numFmtId="167" fontId="11" fillId="0" borderId="13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165" fontId="3" fillId="0" borderId="23" xfId="1" applyNumberFormat="1" applyFont="1" applyFill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10" fillId="24" borderId="51" xfId="0" applyFont="1" applyFill="1" applyBorder="1"/>
    <xf numFmtId="0" fontId="2" fillId="12" borderId="32" xfId="0" applyFont="1" applyFill="1" applyBorder="1" applyAlignment="1">
      <alignment horizontal="center" vertical="center"/>
    </xf>
    <xf numFmtId="0" fontId="10" fillId="20" borderId="35" xfId="0" applyFont="1" applyFill="1" applyBorder="1"/>
    <xf numFmtId="0" fontId="10" fillId="20" borderId="63" xfId="0" applyFont="1" applyFill="1" applyBorder="1"/>
    <xf numFmtId="0" fontId="10" fillId="20" borderId="63" xfId="0" applyFont="1" applyFill="1" applyBorder="1" applyAlignment="1">
      <alignment horizontal="center" vertical="center"/>
    </xf>
    <xf numFmtId="0" fontId="10" fillId="20" borderId="64" xfId="0" applyFont="1" applyFill="1" applyBorder="1" applyAlignment="1">
      <alignment horizontal="center" vertical="center"/>
    </xf>
    <xf numFmtId="0" fontId="0" fillId="0" borderId="1" xfId="0" applyBorder="1"/>
    <xf numFmtId="16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2" fillId="12" borderId="31" xfId="0" applyFont="1" applyFill="1" applyBorder="1" applyAlignment="1">
      <alignment horizontal="center" vertical="center"/>
    </xf>
    <xf numFmtId="164" fontId="2" fillId="12" borderId="31" xfId="0" applyNumberFormat="1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3" fillId="13" borderId="36" xfId="0" applyFont="1" applyFill="1" applyBorder="1" applyAlignment="1">
      <alignment horizontal="center" vertical="center"/>
    </xf>
    <xf numFmtId="0" fontId="3" fillId="15" borderId="49" xfId="0" applyFont="1" applyFill="1" applyBorder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3" fillId="16" borderId="48" xfId="0" applyFont="1" applyFill="1" applyBorder="1" applyAlignment="1">
      <alignment horizontal="center" vertical="center"/>
    </xf>
    <xf numFmtId="0" fontId="3" fillId="16" borderId="50" xfId="0" applyFont="1" applyFill="1" applyBorder="1" applyAlignment="1">
      <alignment horizontal="center" vertical="center"/>
    </xf>
    <xf numFmtId="0" fontId="10" fillId="13" borderId="24" xfId="0" applyFont="1" applyFill="1" applyBorder="1" applyAlignment="1">
      <alignment horizontal="center" vertical="center"/>
    </xf>
    <xf numFmtId="0" fontId="10" fillId="24" borderId="27" xfId="0" applyFont="1" applyFill="1" applyBorder="1" applyAlignment="1">
      <alignment horizontal="center" vertical="center"/>
    </xf>
    <xf numFmtId="0" fontId="10" fillId="24" borderId="28" xfId="0" applyFont="1" applyFill="1" applyBorder="1" applyAlignment="1">
      <alignment horizontal="center" vertical="center"/>
    </xf>
    <xf numFmtId="0" fontId="10" fillId="13" borderId="23" xfId="0" applyFont="1" applyFill="1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8" fontId="2" fillId="2" borderId="18" xfId="0" applyNumberFormat="1" applyFont="1" applyFill="1" applyBorder="1" applyAlignment="1">
      <alignment horizontal="center" vertical="center"/>
    </xf>
    <xf numFmtId="168" fontId="2" fillId="2" borderId="19" xfId="0" applyNumberFormat="1" applyFont="1" applyFill="1" applyBorder="1" applyAlignment="1">
      <alignment horizontal="center" vertical="center"/>
    </xf>
    <xf numFmtId="168" fontId="2" fillId="2" borderId="20" xfId="0" applyNumberFormat="1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46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165" fontId="3" fillId="11" borderId="2" xfId="1" applyNumberFormat="1" applyFont="1" applyFill="1" applyBorder="1" applyAlignment="1">
      <alignment horizontal="center" vertical="center"/>
    </xf>
    <xf numFmtId="165" fontId="3" fillId="11" borderId="4" xfId="1" applyNumberFormat="1" applyFont="1" applyFill="1" applyBorder="1" applyAlignment="1">
      <alignment horizontal="center" vertical="center"/>
    </xf>
    <xf numFmtId="164" fontId="3" fillId="11" borderId="2" xfId="0" applyNumberFormat="1" applyFont="1" applyFill="1" applyBorder="1" applyAlignment="1">
      <alignment horizontal="center" vertical="center"/>
    </xf>
    <xf numFmtId="164" fontId="3" fillId="11" borderId="4" xfId="0" applyNumberFormat="1" applyFont="1" applyFill="1" applyBorder="1" applyAlignment="1">
      <alignment horizontal="center" vertical="center"/>
    </xf>
    <xf numFmtId="164" fontId="3" fillId="11" borderId="3" xfId="0" applyNumberFormat="1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168" fontId="2" fillId="8" borderId="7" xfId="0" applyNumberFormat="1" applyFont="1" applyFill="1" applyBorder="1" applyAlignment="1">
      <alignment horizontal="center" vertical="center"/>
    </xf>
    <xf numFmtId="168" fontId="2" fillId="8" borderId="12" xfId="0" applyNumberFormat="1" applyFont="1" applyFill="1" applyBorder="1" applyAlignment="1">
      <alignment horizontal="center" vertical="center"/>
    </xf>
    <xf numFmtId="168" fontId="2" fillId="8" borderId="8" xfId="0" applyNumberFormat="1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165" fontId="3" fillId="11" borderId="3" xfId="1" applyNumberFormat="1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5" fontId="3" fillId="0" borderId="23" xfId="1" applyNumberFormat="1" applyFont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/>
    </xf>
    <xf numFmtId="0" fontId="2" fillId="12" borderId="16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168" fontId="2" fillId="12" borderId="18" xfId="0" applyNumberFormat="1" applyFont="1" applyFill="1" applyBorder="1" applyAlignment="1">
      <alignment horizontal="center" vertical="center"/>
    </xf>
    <xf numFmtId="168" fontId="2" fillId="12" borderId="19" xfId="0" applyNumberFormat="1" applyFont="1" applyFill="1" applyBorder="1" applyAlignment="1">
      <alignment horizontal="center" vertical="center"/>
    </xf>
    <xf numFmtId="168" fontId="2" fillId="12" borderId="20" xfId="0" applyNumberFormat="1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 wrapText="1"/>
    </xf>
    <xf numFmtId="0" fontId="3" fillId="13" borderId="48" xfId="0" applyFont="1" applyFill="1" applyBorder="1" applyAlignment="1">
      <alignment horizontal="center" vertical="center" wrapText="1"/>
    </xf>
    <xf numFmtId="0" fontId="3" fillId="13" borderId="52" xfId="0" applyFont="1" applyFill="1" applyBorder="1" applyAlignment="1">
      <alignment horizontal="center" vertical="center" wrapText="1"/>
    </xf>
    <xf numFmtId="0" fontId="13" fillId="21" borderId="15" xfId="0" applyFont="1" applyFill="1" applyBorder="1" applyAlignment="1">
      <alignment horizontal="center" vertical="center" wrapText="1"/>
    </xf>
    <xf numFmtId="0" fontId="13" fillId="21" borderId="16" xfId="0" applyFont="1" applyFill="1" applyBorder="1" applyAlignment="1">
      <alignment horizontal="center" vertical="center" wrapText="1"/>
    </xf>
    <xf numFmtId="0" fontId="13" fillId="21" borderId="56" xfId="0" applyFont="1" applyFill="1" applyBorder="1" applyAlignment="1">
      <alignment horizontal="center" vertical="center" wrapText="1"/>
    </xf>
    <xf numFmtId="0" fontId="13" fillId="21" borderId="0" xfId="0" applyFont="1" applyFill="1" applyAlignment="1">
      <alignment horizontal="center"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13" fillId="21" borderId="1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23" borderId="15" xfId="0" applyFont="1" applyFill="1" applyBorder="1" applyAlignment="1">
      <alignment horizontal="center" vertical="center" wrapText="1"/>
    </xf>
    <xf numFmtId="0" fontId="13" fillId="23" borderId="17" xfId="0" applyFont="1" applyFill="1" applyBorder="1" applyAlignment="1">
      <alignment horizontal="center" vertical="center" wrapText="1"/>
    </xf>
    <xf numFmtId="0" fontId="13" fillId="23" borderId="56" xfId="0" applyFont="1" applyFill="1" applyBorder="1" applyAlignment="1">
      <alignment horizontal="center" vertical="center" wrapText="1"/>
    </xf>
    <xf numFmtId="0" fontId="13" fillId="23" borderId="57" xfId="0" applyFont="1" applyFill="1" applyBorder="1" applyAlignment="1">
      <alignment horizontal="center" vertical="center" wrapText="1"/>
    </xf>
    <xf numFmtId="0" fontId="13" fillId="23" borderId="18" xfId="0" applyFont="1" applyFill="1" applyBorder="1" applyAlignment="1">
      <alignment horizontal="center" vertical="center" wrapText="1"/>
    </xf>
    <xf numFmtId="0" fontId="13" fillId="23" borderId="20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5" fillId="23" borderId="36" xfId="0" applyFont="1" applyFill="1" applyBorder="1" applyAlignment="1">
      <alignment horizontal="center" vertical="center" wrapText="1"/>
    </xf>
    <xf numFmtId="0" fontId="15" fillId="23" borderId="38" xfId="0" applyFont="1" applyFill="1" applyBorder="1" applyAlignment="1">
      <alignment horizontal="center" vertical="center" wrapText="1"/>
    </xf>
    <xf numFmtId="172" fontId="11" fillId="0" borderId="36" xfId="0" applyNumberFormat="1" applyFont="1" applyBorder="1" applyAlignment="1">
      <alignment horizontal="center" vertical="center"/>
    </xf>
    <xf numFmtId="172" fontId="11" fillId="0" borderId="38" xfId="0" applyNumberFormat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67" fontId="12" fillId="0" borderId="16" xfId="0" applyNumberFormat="1" applyFont="1" applyBorder="1" applyAlignment="1">
      <alignment horizontal="center" vertical="center"/>
    </xf>
    <xf numFmtId="167" fontId="12" fillId="0" borderId="17" xfId="0" applyNumberFormat="1" applyFont="1" applyBorder="1" applyAlignment="1">
      <alignment horizontal="center" vertical="center"/>
    </xf>
    <xf numFmtId="167" fontId="12" fillId="0" borderId="19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0" fontId="12" fillId="26" borderId="10" xfId="0" applyFont="1" applyFill="1" applyBorder="1" applyAlignment="1">
      <alignment horizontal="center" vertical="center"/>
    </xf>
    <xf numFmtId="0" fontId="12" fillId="26" borderId="11" xfId="0" applyFont="1" applyFill="1" applyBorder="1" applyAlignment="1">
      <alignment horizontal="center" vertical="center"/>
    </xf>
    <xf numFmtId="0" fontId="11" fillId="25" borderId="36" xfId="0" applyFont="1" applyFill="1" applyBorder="1" applyAlignment="1">
      <alignment horizontal="center" vertical="center" wrapText="1"/>
    </xf>
    <xf numFmtId="0" fontId="11" fillId="25" borderId="37" xfId="0" applyFont="1" applyFill="1" applyBorder="1" applyAlignment="1">
      <alignment horizontal="center" vertical="center" wrapText="1"/>
    </xf>
    <xf numFmtId="0" fontId="11" fillId="25" borderId="38" xfId="0" applyFont="1" applyFill="1" applyBorder="1" applyAlignment="1">
      <alignment horizontal="center" vertical="center" wrapText="1"/>
    </xf>
    <xf numFmtId="0" fontId="12" fillId="26" borderId="55" xfId="0" applyFont="1" applyFill="1" applyBorder="1" applyAlignment="1">
      <alignment horizontal="center" vertical="center"/>
    </xf>
    <xf numFmtId="0" fontId="12" fillId="26" borderId="6" xfId="0" applyFont="1" applyFill="1" applyBorder="1" applyAlignment="1">
      <alignment horizontal="center" vertical="center"/>
    </xf>
    <xf numFmtId="0" fontId="3" fillId="13" borderId="53" xfId="0" applyFont="1" applyFill="1" applyBorder="1" applyAlignment="1">
      <alignment horizontal="center" vertical="center" wrapText="1"/>
    </xf>
    <xf numFmtId="0" fontId="3" fillId="13" borderId="50" xfId="0" applyFont="1" applyFill="1" applyBorder="1" applyAlignment="1">
      <alignment horizontal="center" vertical="center" wrapText="1"/>
    </xf>
    <xf numFmtId="0" fontId="11" fillId="21" borderId="36" xfId="0" applyFont="1" applyFill="1" applyBorder="1" applyAlignment="1">
      <alignment horizontal="center" vertical="center" wrapText="1"/>
    </xf>
    <xf numFmtId="0" fontId="11" fillId="21" borderId="38" xfId="0" applyFont="1" applyFill="1" applyBorder="1" applyAlignment="1">
      <alignment horizontal="center" vertical="center" wrapText="1"/>
    </xf>
    <xf numFmtId="0" fontId="15" fillId="21" borderId="36" xfId="0" applyFont="1" applyFill="1" applyBorder="1" applyAlignment="1">
      <alignment horizontal="center" vertical="center" wrapText="1"/>
    </xf>
    <xf numFmtId="0" fontId="15" fillId="21" borderId="38" xfId="0" applyFont="1" applyFill="1" applyBorder="1" applyAlignment="1">
      <alignment horizontal="center" vertical="center" wrapText="1"/>
    </xf>
    <xf numFmtId="0" fontId="11" fillId="23" borderId="36" xfId="0" applyFont="1" applyFill="1" applyBorder="1" applyAlignment="1">
      <alignment horizontal="center" vertical="center" wrapText="1"/>
    </xf>
    <xf numFmtId="0" fontId="11" fillId="23" borderId="38" xfId="0" applyFont="1" applyFill="1" applyBorder="1" applyAlignment="1">
      <alignment horizontal="center" vertical="center" wrapText="1"/>
    </xf>
    <xf numFmtId="167" fontId="11" fillId="0" borderId="36" xfId="0" applyNumberFormat="1" applyFont="1" applyBorder="1" applyAlignment="1">
      <alignment horizontal="center" vertical="center"/>
    </xf>
    <xf numFmtId="167" fontId="11" fillId="0" borderId="38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13" borderId="38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 textRotation="90"/>
    </xf>
    <xf numFmtId="0" fontId="3" fillId="13" borderId="56" xfId="0" applyFont="1" applyFill="1" applyBorder="1" applyAlignment="1">
      <alignment horizontal="center" vertical="center" textRotation="90"/>
    </xf>
    <xf numFmtId="0" fontId="3" fillId="13" borderId="37" xfId="0" applyFont="1" applyFill="1" applyBorder="1" applyAlignment="1">
      <alignment horizontal="center" vertical="center" textRotation="90"/>
    </xf>
    <xf numFmtId="0" fontId="3" fillId="13" borderId="38" xfId="0" applyFont="1" applyFill="1" applyBorder="1" applyAlignment="1">
      <alignment horizontal="center" vertical="center" textRotation="90"/>
    </xf>
    <xf numFmtId="0" fontId="3" fillId="9" borderId="36" xfId="0" applyFont="1" applyFill="1" applyBorder="1" applyAlignment="1">
      <alignment horizontal="center" vertical="center" textRotation="90"/>
    </xf>
    <xf numFmtId="0" fontId="3" fillId="9" borderId="37" xfId="0" applyFont="1" applyFill="1" applyBorder="1" applyAlignment="1">
      <alignment horizontal="center" vertical="center" textRotation="90"/>
    </xf>
    <xf numFmtId="0" fontId="3" fillId="9" borderId="38" xfId="0" applyFont="1" applyFill="1" applyBorder="1" applyAlignment="1">
      <alignment horizontal="center" vertical="center" textRotation="90"/>
    </xf>
    <xf numFmtId="0" fontId="3" fillId="9" borderId="52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2" fillId="12" borderId="30" xfId="0" applyFont="1" applyFill="1" applyBorder="1" applyAlignment="1">
      <alignment horizontal="center" vertical="center"/>
    </xf>
    <xf numFmtId="0" fontId="2" fillId="12" borderId="34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5" fontId="3" fillId="0" borderId="28" xfId="1" applyNumberFormat="1" applyFont="1" applyBorder="1" applyAlignment="1">
      <alignment horizontal="center" vertical="center"/>
    </xf>
    <xf numFmtId="164" fontId="3" fillId="28" borderId="61" xfId="0" applyNumberFormat="1" applyFont="1" applyFill="1" applyBorder="1" applyAlignment="1">
      <alignment horizontal="center" vertical="center"/>
    </xf>
    <xf numFmtId="164" fontId="3" fillId="28" borderId="2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28" borderId="6" xfId="0" applyNumberFormat="1" applyFont="1" applyFill="1" applyBorder="1" applyAlignment="1">
      <alignment horizontal="center" vertical="center"/>
    </xf>
    <xf numFmtId="0" fontId="2" fillId="15" borderId="36" xfId="0" applyFont="1" applyFill="1" applyBorder="1" applyAlignment="1">
      <alignment horizontal="center" vertical="center" textRotation="90"/>
    </xf>
    <xf numFmtId="0" fontId="2" fillId="15" borderId="37" xfId="0" applyFont="1" applyFill="1" applyBorder="1" applyAlignment="1">
      <alignment horizontal="center" vertical="center" textRotation="90"/>
    </xf>
    <xf numFmtId="0" fontId="2" fillId="15" borderId="38" xfId="0" applyFont="1" applyFill="1" applyBorder="1" applyAlignment="1">
      <alignment horizontal="center" vertical="center" textRotation="90"/>
    </xf>
    <xf numFmtId="0" fontId="3" fillId="15" borderId="52" xfId="0" applyFont="1" applyFill="1" applyBorder="1" applyAlignment="1">
      <alignment horizontal="center" vertical="center"/>
    </xf>
    <xf numFmtId="0" fontId="3" fillId="15" borderId="38" xfId="0" applyFont="1" applyFill="1" applyBorder="1" applyAlignment="1">
      <alignment horizontal="center" vertical="center"/>
    </xf>
    <xf numFmtId="0" fontId="2" fillId="16" borderId="36" xfId="0" applyFont="1" applyFill="1" applyBorder="1" applyAlignment="1">
      <alignment horizontal="center" vertical="center" textRotation="90"/>
    </xf>
    <xf numFmtId="0" fontId="2" fillId="16" borderId="37" xfId="0" applyFont="1" applyFill="1" applyBorder="1" applyAlignment="1">
      <alignment horizontal="center" vertical="center" textRotation="90"/>
    </xf>
    <xf numFmtId="0" fontId="2" fillId="16" borderId="38" xfId="0" applyFont="1" applyFill="1" applyBorder="1" applyAlignment="1">
      <alignment horizontal="center" vertical="center" textRotation="90"/>
    </xf>
    <xf numFmtId="0" fontId="3" fillId="15" borderId="42" xfId="0" applyFont="1" applyFill="1" applyBorder="1" applyAlignment="1">
      <alignment horizontal="center" vertical="center"/>
    </xf>
    <xf numFmtId="164" fontId="3" fillId="28" borderId="59" xfId="0" applyNumberFormat="1" applyFont="1" applyFill="1" applyBorder="1" applyAlignment="1">
      <alignment horizontal="center" vertical="center"/>
    </xf>
    <xf numFmtId="164" fontId="3" fillId="28" borderId="44" xfId="0" applyNumberFormat="1" applyFont="1" applyFill="1" applyBorder="1" applyAlignment="1">
      <alignment horizontal="center" vertical="center"/>
    </xf>
    <xf numFmtId="0" fontId="3" fillId="15" borderId="41" xfId="0" applyFont="1" applyFill="1" applyBorder="1" applyAlignment="1">
      <alignment horizontal="center" vertical="center"/>
    </xf>
    <xf numFmtId="0" fontId="3" fillId="15" borderId="53" xfId="0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168" fontId="2" fillId="14" borderId="7" xfId="0" applyNumberFormat="1" applyFont="1" applyFill="1" applyBorder="1" applyAlignment="1">
      <alignment horizontal="center"/>
    </xf>
    <xf numFmtId="168" fontId="2" fillId="14" borderId="12" xfId="0" applyNumberFormat="1" applyFont="1" applyFill="1" applyBorder="1" applyAlignment="1">
      <alignment horizontal="center"/>
    </xf>
    <xf numFmtId="168" fontId="2" fillId="14" borderId="8" xfId="0" applyNumberFormat="1" applyFont="1" applyFill="1" applyBorder="1" applyAlignment="1">
      <alignment horizontal="center"/>
    </xf>
    <xf numFmtId="0" fontId="2" fillId="14" borderId="40" xfId="0" applyFont="1" applyFill="1" applyBorder="1" applyAlignment="1">
      <alignment horizontal="center"/>
    </xf>
    <xf numFmtId="0" fontId="2" fillId="14" borderId="32" xfId="0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 vertical="center"/>
    </xf>
    <xf numFmtId="14" fontId="2" fillId="4" borderId="12" xfId="0" applyNumberFormat="1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2" fillId="27" borderId="55" xfId="0" applyFont="1" applyFill="1" applyBorder="1" applyAlignment="1">
      <alignment horizontal="center" vertical="center"/>
    </xf>
    <xf numFmtId="0" fontId="2" fillId="27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0" fillId="19" borderId="40" xfId="0" applyFont="1" applyFill="1" applyBorder="1" applyAlignment="1">
      <alignment horizontal="center"/>
    </xf>
    <xf numFmtId="0" fontId="10" fillId="19" borderId="32" xfId="0" applyFont="1" applyFill="1" applyBorder="1" applyAlignment="1">
      <alignment horizontal="center"/>
    </xf>
    <xf numFmtId="0" fontId="10" fillId="19" borderId="33" xfId="0" applyFont="1" applyFill="1" applyBorder="1" applyAlignment="1">
      <alignment horizontal="center"/>
    </xf>
    <xf numFmtId="0" fontId="3" fillId="13" borderId="48" xfId="0" applyFont="1" applyFill="1" applyBorder="1" applyAlignment="1">
      <alignment horizontal="center" vertical="center" textRotation="90"/>
    </xf>
    <xf numFmtId="0" fontId="3" fillId="13" borderId="49" xfId="0" applyFont="1" applyFill="1" applyBorder="1" applyAlignment="1">
      <alignment horizontal="center" vertical="center" textRotation="90"/>
    </xf>
    <xf numFmtId="0" fontId="3" fillId="13" borderId="48" xfId="0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/>
    </xf>
    <xf numFmtId="0" fontId="3" fillId="13" borderId="50" xfId="0" applyFont="1" applyFill="1" applyBorder="1" applyAlignment="1">
      <alignment horizontal="center" vertical="center" textRotation="90"/>
    </xf>
    <xf numFmtId="0" fontId="3" fillId="13" borderId="50" xfId="0" applyFont="1" applyFill="1" applyBorder="1" applyAlignment="1">
      <alignment horizontal="center" vertical="center"/>
    </xf>
    <xf numFmtId="170" fontId="3" fillId="13" borderId="48" xfId="0" applyNumberFormat="1" applyFont="1" applyFill="1" applyBorder="1" applyAlignment="1">
      <alignment horizontal="center" vertical="center"/>
    </xf>
    <xf numFmtId="170" fontId="3" fillId="13" borderId="49" xfId="0" applyNumberFormat="1" applyFont="1" applyFill="1" applyBorder="1" applyAlignment="1">
      <alignment horizontal="center" vertical="center"/>
    </xf>
    <xf numFmtId="169" fontId="3" fillId="13" borderId="48" xfId="0" applyNumberFormat="1" applyFont="1" applyFill="1" applyBorder="1" applyAlignment="1">
      <alignment horizontal="center" vertical="center"/>
    </xf>
    <xf numFmtId="169" fontId="3" fillId="13" borderId="49" xfId="0" applyNumberFormat="1" applyFont="1" applyFill="1" applyBorder="1" applyAlignment="1">
      <alignment horizontal="center" vertical="center"/>
    </xf>
    <xf numFmtId="164" fontId="3" fillId="28" borderId="1" xfId="0" applyNumberFormat="1" applyFont="1" applyFill="1" applyBorder="1" applyAlignment="1">
      <alignment horizontal="center" vertical="center"/>
    </xf>
    <xf numFmtId="0" fontId="3" fillId="28" borderId="22" xfId="0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/>
    </xf>
    <xf numFmtId="164" fontId="3" fillId="28" borderId="2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6">
    <dxf>
      <font>
        <color rgb="FF9C0006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9966"/>
      <color rgb="FF339933"/>
      <color rgb="FF99CC00"/>
      <color rgb="FF008080"/>
      <color rgb="FF00CC66"/>
      <color rgb="FF33CCCC"/>
      <color rgb="FF0099CC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</xdr:col>
      <xdr:colOff>1323974</xdr:colOff>
      <xdr:row>3</xdr:row>
      <xdr:rowOff>17942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161925"/>
          <a:ext cx="1323975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1</xdr:row>
      <xdr:rowOff>0</xdr:rowOff>
    </xdr:from>
    <xdr:to>
      <xdr:col>2</xdr:col>
      <xdr:colOff>190499</xdr:colOff>
      <xdr:row>3</xdr:row>
      <xdr:rowOff>8417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4" y="152400"/>
          <a:ext cx="1438275" cy="408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738188</xdr:colOff>
      <xdr:row>0</xdr:row>
      <xdr:rowOff>142876</xdr:rowOff>
    </xdr:from>
    <xdr:to>
      <xdr:col>1</xdr:col>
      <xdr:colOff>1195494</xdr:colOff>
      <xdr:row>2</xdr:row>
      <xdr:rowOff>241780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8188" y="142876"/>
          <a:ext cx="1219306" cy="4084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8</xdr:row>
      <xdr:rowOff>0</xdr:rowOff>
    </xdr:from>
    <xdr:to>
      <xdr:col>2</xdr:col>
      <xdr:colOff>133349</xdr:colOff>
      <xdr:row>10</xdr:row>
      <xdr:rowOff>3126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609600"/>
          <a:ext cx="1343025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0"/>
  <sheetViews>
    <sheetView showGridLines="0" tabSelected="1" zoomScale="110" zoomScaleNormal="110" workbookViewId="0">
      <selection activeCell="B4" sqref="B4"/>
    </sheetView>
  </sheetViews>
  <sheetFormatPr baseColWidth="10" defaultColWidth="11.44140625" defaultRowHeight="12" x14ac:dyDescent="0.3"/>
  <cols>
    <col min="1" max="1" width="11.44140625" style="3"/>
    <col min="2" max="2" width="25.5546875" style="3" customWidth="1"/>
    <col min="3" max="3" width="19.109375" style="3" bestFit="1" customWidth="1"/>
    <col min="4" max="4" width="22.88671875" style="3" bestFit="1" customWidth="1"/>
    <col min="5" max="5" width="19" style="3" bestFit="1" customWidth="1"/>
    <col min="6" max="6" width="15.5546875" style="3" bestFit="1" customWidth="1"/>
    <col min="7" max="7" width="18" style="3" bestFit="1" customWidth="1"/>
    <col min="8" max="8" width="12.44140625" style="3" bestFit="1" customWidth="1"/>
    <col min="9" max="9" width="10.5546875" style="3" bestFit="1" customWidth="1"/>
    <col min="10" max="10" width="12" style="3" bestFit="1" customWidth="1"/>
    <col min="11" max="16384" width="11.44140625" style="3"/>
  </cols>
  <sheetData>
    <row r="1" spans="2:10" ht="12.6" thickBot="1" x14ac:dyDescent="0.35"/>
    <row r="2" spans="2:10" ht="15" customHeight="1" x14ac:dyDescent="0.3">
      <c r="B2" s="226" t="s">
        <v>0</v>
      </c>
      <c r="C2" s="227"/>
      <c r="D2" s="227"/>
      <c r="E2" s="227"/>
      <c r="F2" s="227"/>
      <c r="G2" s="227"/>
      <c r="H2" s="227"/>
      <c r="I2" s="227"/>
      <c r="J2" s="228"/>
    </row>
    <row r="3" spans="2:10" ht="15.75" customHeight="1" thickBot="1" x14ac:dyDescent="0.35">
      <c r="B3" s="229">
        <v>45789</v>
      </c>
      <c r="C3" s="230"/>
      <c r="D3" s="230"/>
      <c r="E3" s="230"/>
      <c r="F3" s="230"/>
      <c r="G3" s="230"/>
      <c r="H3" s="230"/>
      <c r="I3" s="230"/>
      <c r="J3" s="231"/>
    </row>
    <row r="4" spans="2:10" ht="12.6" thickBot="1" x14ac:dyDescent="0.35"/>
    <row r="5" spans="2:10" ht="12.6" thickBot="1" x14ac:dyDescent="0.35">
      <c r="B5" s="35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36" t="s">
        <v>8</v>
      </c>
      <c r="J5" s="183" t="s">
        <v>9</v>
      </c>
    </row>
    <row r="6" spans="2:10" x14ac:dyDescent="0.3">
      <c r="B6" s="234" t="s">
        <v>10</v>
      </c>
      <c r="C6" s="238" t="s">
        <v>11</v>
      </c>
      <c r="D6" s="43" t="s">
        <v>12</v>
      </c>
      <c r="E6" s="39">
        <f>'CUOTA ARTESANAL'!L6</f>
        <v>11</v>
      </c>
      <c r="F6" s="42">
        <f>'CUOTA ARTESANAL'!M6</f>
        <v>0</v>
      </c>
      <c r="G6" s="42">
        <f>E6+F6</f>
        <v>11</v>
      </c>
      <c r="H6" s="42">
        <f>'CUOTA ARTESANAL'!O6</f>
        <v>0</v>
      </c>
      <c r="I6" s="42">
        <f>G6-H6</f>
        <v>11</v>
      </c>
      <c r="J6" s="194">
        <f>H6/G6</f>
        <v>0</v>
      </c>
    </row>
    <row r="7" spans="2:10" x14ac:dyDescent="0.3">
      <c r="B7" s="234"/>
      <c r="C7" s="239"/>
      <c r="D7" s="44" t="s">
        <v>13</v>
      </c>
      <c r="E7" s="37">
        <f>SUM('CUOTA ARTESANAL'!L8:L17)</f>
        <v>520</v>
      </c>
      <c r="F7" s="11">
        <f>SUM('CUOTA ARTESANAL'!M8:M17)</f>
        <v>-73.319999999999993</v>
      </c>
      <c r="G7" s="11">
        <f t="shared" ref="G7:G13" si="0">E7+F7</f>
        <v>446.68</v>
      </c>
      <c r="H7" s="11">
        <f>SUM('CUOTA ARTESANAL'!O8:O17)</f>
        <v>134.47799999999998</v>
      </c>
      <c r="I7" s="11">
        <f t="shared" ref="I7:I13" si="1">G7-H7</f>
        <v>312.202</v>
      </c>
      <c r="J7" s="185">
        <f>H7/G7</f>
        <v>0.30106116235336255</v>
      </c>
    </row>
    <row r="8" spans="2:10" x14ac:dyDescent="0.3">
      <c r="B8" s="234"/>
      <c r="C8" s="239"/>
      <c r="D8" s="44" t="s">
        <v>14</v>
      </c>
      <c r="E8" s="37">
        <v>15</v>
      </c>
      <c r="F8" s="11">
        <f>'CUOTA ARTESANAL'!M18</f>
        <v>0</v>
      </c>
      <c r="G8" s="11">
        <f t="shared" si="0"/>
        <v>15</v>
      </c>
      <c r="H8" s="11">
        <f>'CUOTA ARTESANAL'!O18</f>
        <v>0</v>
      </c>
      <c r="I8" s="11">
        <f t="shared" si="1"/>
        <v>15</v>
      </c>
      <c r="J8" s="185">
        <f t="shared" ref="J8" si="2">H8/G8</f>
        <v>0</v>
      </c>
    </row>
    <row r="9" spans="2:10" ht="12.6" thickBot="1" x14ac:dyDescent="0.35">
      <c r="B9" s="234"/>
      <c r="C9" s="240"/>
      <c r="D9" s="45" t="s">
        <v>15</v>
      </c>
      <c r="E9" s="40">
        <f>SUM(E6:E8)</f>
        <v>546</v>
      </c>
      <c r="F9" s="41">
        <f>SUM(F6:F8)</f>
        <v>-73.319999999999993</v>
      </c>
      <c r="G9" s="41">
        <f t="shared" si="0"/>
        <v>472.68</v>
      </c>
      <c r="H9" s="41">
        <f>SUM(H6:H8)</f>
        <v>134.47799999999998</v>
      </c>
      <c r="I9" s="41">
        <f t="shared" si="1"/>
        <v>338.202</v>
      </c>
      <c r="J9" s="186">
        <f t="shared" ref="J9:J13" si="3">H9/G9</f>
        <v>0.28450114242193447</v>
      </c>
    </row>
    <row r="10" spans="2:10" x14ac:dyDescent="0.3">
      <c r="B10" s="234"/>
      <c r="C10" s="238" t="s">
        <v>16</v>
      </c>
      <c r="D10" s="43" t="s">
        <v>17</v>
      </c>
      <c r="E10" s="39">
        <f>SUM('CUOTA LTP'!K6:K29)</f>
        <v>55.000029999999995</v>
      </c>
      <c r="F10" s="42">
        <f>SUM('CUOTA LTP'!L6:L27)</f>
        <v>0</v>
      </c>
      <c r="G10" s="42">
        <f t="shared" si="0"/>
        <v>55.000029999999995</v>
      </c>
      <c r="H10" s="42">
        <f>SUM('CUOTA LTP'!N6:N27)</f>
        <v>0</v>
      </c>
      <c r="I10" s="42">
        <f t="shared" si="1"/>
        <v>55.000029999999995</v>
      </c>
      <c r="J10" s="194">
        <f t="shared" si="3"/>
        <v>0</v>
      </c>
    </row>
    <row r="11" spans="2:10" x14ac:dyDescent="0.3">
      <c r="B11" s="234"/>
      <c r="C11" s="239"/>
      <c r="D11" s="44" t="s">
        <v>18</v>
      </c>
      <c r="E11" s="37">
        <f>SUM('CUOTA LTP'!K30:K53)</f>
        <v>1053.9998699999999</v>
      </c>
      <c r="F11" s="11">
        <f>SUM('CUOTA LTP'!L30:L51)</f>
        <v>73.319999999999993</v>
      </c>
      <c r="G11" s="11">
        <f t="shared" si="0"/>
        <v>1127.3198699999998</v>
      </c>
      <c r="H11" s="11">
        <f>SUM('CUOTA LTP'!N30:N51)</f>
        <v>447.53100000000001</v>
      </c>
      <c r="I11" s="11">
        <f t="shared" si="1"/>
        <v>679.78886999999986</v>
      </c>
      <c r="J11" s="185">
        <f t="shared" si="3"/>
        <v>0.39698670440360473</v>
      </c>
    </row>
    <row r="12" spans="2:10" ht="12.6" thickBot="1" x14ac:dyDescent="0.35">
      <c r="B12" s="234"/>
      <c r="C12" s="240"/>
      <c r="D12" s="45" t="s">
        <v>19</v>
      </c>
      <c r="E12" s="40">
        <f>SUM(E10:E11)</f>
        <v>1108.9998999999998</v>
      </c>
      <c r="F12" s="41">
        <f>SUM(F10:F11)</f>
        <v>73.319999999999993</v>
      </c>
      <c r="G12" s="41">
        <f t="shared" si="0"/>
        <v>1182.3198999999997</v>
      </c>
      <c r="H12" s="41">
        <f>SUM(H10:H11)</f>
        <v>447.53100000000001</v>
      </c>
      <c r="I12" s="41">
        <f t="shared" si="1"/>
        <v>734.78889999999978</v>
      </c>
      <c r="J12" s="186">
        <f t="shared" si="3"/>
        <v>0.37851938379790451</v>
      </c>
    </row>
    <row r="13" spans="2:10" ht="14.4" customHeight="1" thickBot="1" x14ac:dyDescent="0.35">
      <c r="B13" s="234"/>
      <c r="C13" s="244" t="s">
        <v>20</v>
      </c>
      <c r="D13" s="245"/>
      <c r="E13" s="182">
        <v>28</v>
      </c>
      <c r="F13" s="32">
        <v>0</v>
      </c>
      <c r="G13" s="32">
        <f t="shared" si="0"/>
        <v>28</v>
      </c>
      <c r="H13" s="32">
        <f>SUM('PESCA DE INVESTIGACION'!F9:F11)</f>
        <v>0</v>
      </c>
      <c r="I13" s="32">
        <f t="shared" si="1"/>
        <v>28</v>
      </c>
      <c r="J13" s="184">
        <f t="shared" si="3"/>
        <v>0</v>
      </c>
    </row>
    <row r="14" spans="2:10" ht="14.4" customHeight="1" thickBot="1" x14ac:dyDescent="0.35">
      <c r="B14" s="234"/>
      <c r="C14" s="246" t="s">
        <v>21</v>
      </c>
      <c r="D14" s="247"/>
      <c r="E14" s="195">
        <v>0</v>
      </c>
      <c r="F14" s="192">
        <v>0</v>
      </c>
      <c r="G14" s="192">
        <f>E14+F14</f>
        <v>0</v>
      </c>
      <c r="H14" s="192">
        <v>0</v>
      </c>
      <c r="I14" s="11">
        <f>G14-H14</f>
        <v>0</v>
      </c>
      <c r="J14" s="185" t="e">
        <f>H14/G14</f>
        <v>#DIV/0!</v>
      </c>
    </row>
    <row r="15" spans="2:10" ht="12.6" thickBot="1" x14ac:dyDescent="0.35">
      <c r="B15" s="235"/>
      <c r="C15" s="242" t="s">
        <v>22</v>
      </c>
      <c r="D15" s="243"/>
      <c r="E15" s="51">
        <f>SUM(E9+E12+E13+E14)</f>
        <v>1682.9998999999998</v>
      </c>
      <c r="F15" s="51">
        <f>SUM(F9+F12+F13+F14)</f>
        <v>0</v>
      </c>
      <c r="G15" s="51">
        <f>E15+F15</f>
        <v>1682.9998999999998</v>
      </c>
      <c r="H15" s="51">
        <f>SUM(H9+H12+H13+H14)</f>
        <v>582.00900000000001</v>
      </c>
      <c r="I15" s="51">
        <f>G15-H15</f>
        <v>1100.9908999999998</v>
      </c>
      <c r="J15" s="187">
        <f>H15/G15</f>
        <v>0.34581641983460609</v>
      </c>
    </row>
    <row r="16" spans="2:10" ht="12.6" thickBot="1" x14ac:dyDescent="0.35"/>
    <row r="17" spans="2:10" ht="12.6" thickBot="1" x14ac:dyDescent="0.35">
      <c r="B17" s="26" t="s">
        <v>23</v>
      </c>
      <c r="C17" s="25" t="s">
        <v>24</v>
      </c>
    </row>
    <row r="19" spans="2:10" ht="12.6" thickBot="1" x14ac:dyDescent="0.35"/>
    <row r="20" spans="2:10" ht="15" customHeight="1" x14ac:dyDescent="0.3">
      <c r="B20" s="226" t="s">
        <v>25</v>
      </c>
      <c r="C20" s="227"/>
      <c r="D20" s="227"/>
      <c r="E20" s="227"/>
      <c r="F20" s="227"/>
      <c r="G20" s="227"/>
      <c r="H20" s="227"/>
      <c r="I20" s="227"/>
      <c r="J20" s="228"/>
    </row>
    <row r="21" spans="2:10" ht="15.75" customHeight="1" thickBot="1" x14ac:dyDescent="0.35">
      <c r="B21" s="229">
        <f>B3</f>
        <v>45789</v>
      </c>
      <c r="C21" s="230"/>
      <c r="D21" s="230"/>
      <c r="E21" s="230"/>
      <c r="F21" s="230"/>
      <c r="G21" s="230"/>
      <c r="H21" s="230"/>
      <c r="I21" s="230"/>
      <c r="J21" s="231"/>
    </row>
    <row r="22" spans="2:10" ht="12.6" thickBot="1" x14ac:dyDescent="0.35"/>
    <row r="23" spans="2:10" ht="12.6" thickBot="1" x14ac:dyDescent="0.35">
      <c r="B23" s="35" t="s">
        <v>1</v>
      </c>
      <c r="C23" s="36" t="s">
        <v>2</v>
      </c>
      <c r="D23" s="36" t="s">
        <v>3</v>
      </c>
      <c r="E23" s="36" t="s">
        <v>4</v>
      </c>
      <c r="F23" s="36" t="s">
        <v>5</v>
      </c>
      <c r="G23" s="36" t="s">
        <v>6</v>
      </c>
      <c r="H23" s="36" t="s">
        <v>7</v>
      </c>
      <c r="I23" s="36" t="s">
        <v>8</v>
      </c>
      <c r="J23" s="183" t="s">
        <v>9</v>
      </c>
    </row>
    <row r="24" spans="2:10" x14ac:dyDescent="0.3">
      <c r="B24" s="232" t="s">
        <v>26</v>
      </c>
      <c r="C24" s="241" t="s">
        <v>27</v>
      </c>
      <c r="D24" s="188" t="s">
        <v>28</v>
      </c>
      <c r="E24" s="182">
        <f>SUM('CUOTA LICITADA'!F13:F48)</f>
        <v>835.96310309999978</v>
      </c>
      <c r="F24" s="32">
        <f>SUM('CUOTA LICITADA'!G13:G48)</f>
        <v>-27.48</v>
      </c>
      <c r="G24" s="32">
        <f>E24+F24</f>
        <v>808.48310309999977</v>
      </c>
      <c r="H24" s="32">
        <f>SUM('CUOTA LICITADA'!O13:O42)</f>
        <v>174.499</v>
      </c>
      <c r="I24" s="32">
        <f>G24-H24</f>
        <v>633.98410309999974</v>
      </c>
      <c r="J24" s="181">
        <f>H24/G24</f>
        <v>0.2158350611545391</v>
      </c>
    </row>
    <row r="25" spans="2:10" x14ac:dyDescent="0.3">
      <c r="B25" s="232"/>
      <c r="C25" s="241"/>
      <c r="D25" s="46" t="s">
        <v>29</v>
      </c>
      <c r="E25" s="37">
        <f>SUM('CUOTA LICITADA'!F51:F86)</f>
        <v>1022.1382920000003</v>
      </c>
      <c r="F25" s="37">
        <f>SUM('CUOTA LICITADA'!G51:G86)</f>
        <v>-33.6</v>
      </c>
      <c r="G25" s="11">
        <f>E25+F25</f>
        <v>988.5382920000003</v>
      </c>
      <c r="H25" s="11">
        <f>SUM('CUOTA LICITADA'!O51:O80)</f>
        <v>72.718999999999994</v>
      </c>
      <c r="I25" s="11">
        <f>G25-H25</f>
        <v>915.81929200000036</v>
      </c>
      <c r="J25" s="33">
        <f>H25/G25</f>
        <v>7.3562147858608165E-2</v>
      </c>
    </row>
    <row r="26" spans="2:10" x14ac:dyDescent="0.3">
      <c r="B26" s="232"/>
      <c r="C26" s="241"/>
      <c r="D26" s="46" t="s">
        <v>30</v>
      </c>
      <c r="E26" s="37">
        <v>30</v>
      </c>
      <c r="F26" s="11">
        <v>0</v>
      </c>
      <c r="G26" s="11">
        <f>E26+F26</f>
        <v>30</v>
      </c>
      <c r="H26" s="413">
        <v>0.33500000000000002</v>
      </c>
      <c r="I26" s="11">
        <f t="shared" ref="I26:I28" si="4">G26-H26</f>
        <v>29.664999999999999</v>
      </c>
      <c r="J26" s="33">
        <f t="shared" ref="J26:J27" si="5">H26/G26</f>
        <v>1.1166666666666667E-2</v>
      </c>
    </row>
    <row r="27" spans="2:10" ht="12.6" thickBot="1" x14ac:dyDescent="0.35">
      <c r="B27" s="232"/>
      <c r="C27" s="241"/>
      <c r="D27" s="47" t="s">
        <v>31</v>
      </c>
      <c r="E27" s="38">
        <v>41</v>
      </c>
      <c r="F27" s="31">
        <v>0</v>
      </c>
      <c r="G27" s="31">
        <f t="shared" ref="G27:G28" si="6">E27+F27</f>
        <v>41</v>
      </c>
      <c r="H27" s="31">
        <v>0</v>
      </c>
      <c r="I27" s="31">
        <f t="shared" si="4"/>
        <v>41</v>
      </c>
      <c r="J27" s="34">
        <f t="shared" si="5"/>
        <v>0</v>
      </c>
    </row>
    <row r="28" spans="2:10" ht="12.6" thickBot="1" x14ac:dyDescent="0.35">
      <c r="B28" s="233"/>
      <c r="C28" s="236" t="s">
        <v>22</v>
      </c>
      <c r="D28" s="237"/>
      <c r="E28" s="48">
        <f>SUM(E24:E27)</f>
        <v>1929.1013951</v>
      </c>
      <c r="F28" s="49">
        <f>SUM(F24:F27)</f>
        <v>-61.08</v>
      </c>
      <c r="G28" s="49">
        <f t="shared" si="6"/>
        <v>1868.0213951000001</v>
      </c>
      <c r="H28" s="49">
        <f>SUM(H24:H27)</f>
        <v>247.553</v>
      </c>
      <c r="I28" s="49">
        <f t="shared" si="4"/>
        <v>1620.4683951000002</v>
      </c>
      <c r="J28" s="50">
        <f>H28/G28</f>
        <v>0.13252150143962771</v>
      </c>
    </row>
    <row r="29" spans="2:10" ht="12.6" thickBot="1" x14ac:dyDescent="0.35"/>
    <row r="30" spans="2:10" ht="12.6" thickBot="1" x14ac:dyDescent="0.35">
      <c r="B30" s="26" t="s">
        <v>23</v>
      </c>
      <c r="C30" s="25" t="s">
        <v>32</v>
      </c>
    </row>
  </sheetData>
  <mergeCells count="13">
    <mergeCell ref="B2:J2"/>
    <mergeCell ref="B3:J3"/>
    <mergeCell ref="B20:J20"/>
    <mergeCell ref="B21:J21"/>
    <mergeCell ref="B24:B28"/>
    <mergeCell ref="B6:B15"/>
    <mergeCell ref="C28:D28"/>
    <mergeCell ref="C6:C9"/>
    <mergeCell ref="C24:C27"/>
    <mergeCell ref="C15:D15"/>
    <mergeCell ref="C10:C12"/>
    <mergeCell ref="C13:D13"/>
    <mergeCell ref="C14:D14"/>
  </mergeCells>
  <pageMargins left="0.7" right="0.7" top="0.75" bottom="0.75" header="0.3" footer="0.3"/>
  <pageSetup paperSize="9" orientation="portrait" r:id="rId1"/>
  <ignoredErrors>
    <ignoredError sqref="G9 G12 G15 G28" formula="1"/>
    <ignoredError sqref="J1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30"/>
  <sheetViews>
    <sheetView showGridLines="0" zoomScaleNormal="100" workbookViewId="0">
      <selection activeCell="H16" sqref="H16"/>
    </sheetView>
  </sheetViews>
  <sheetFormatPr baseColWidth="10" defaultColWidth="11.44140625" defaultRowHeight="12" x14ac:dyDescent="0.3"/>
  <cols>
    <col min="1" max="1" width="11.44140625" style="3"/>
    <col min="2" max="2" width="20.33203125" style="3" bestFit="1" customWidth="1"/>
    <col min="3" max="3" width="14.33203125" style="3" customWidth="1"/>
    <col min="4" max="4" width="8.33203125" style="3" bestFit="1" customWidth="1"/>
    <col min="5" max="5" width="19" style="3" bestFit="1" customWidth="1"/>
    <col min="6" max="6" width="15.5546875" style="3" bestFit="1" customWidth="1"/>
    <col min="7" max="7" width="18" style="3" bestFit="1" customWidth="1"/>
    <col min="8" max="8" width="12.44140625" style="3" bestFit="1" customWidth="1"/>
    <col min="9" max="9" width="10.5546875" style="3" bestFit="1" customWidth="1"/>
    <col min="10" max="10" width="12" style="3" bestFit="1" customWidth="1"/>
    <col min="11" max="11" width="11.109375" style="3" bestFit="1" customWidth="1"/>
    <col min="12" max="12" width="19" style="3" bestFit="1" customWidth="1"/>
    <col min="13" max="13" width="15.5546875" style="3" bestFit="1" customWidth="1"/>
    <col min="14" max="14" width="18" style="3" bestFit="1" customWidth="1"/>
    <col min="15" max="15" width="12.44140625" style="3" bestFit="1" customWidth="1"/>
    <col min="16" max="16" width="10.5546875" style="3" bestFit="1" customWidth="1"/>
    <col min="17" max="17" width="10.44140625" style="3" bestFit="1" customWidth="1"/>
    <col min="18" max="16384" width="11.44140625" style="3"/>
  </cols>
  <sheetData>
    <row r="2" spans="2:17" ht="19.5" customHeight="1" x14ac:dyDescent="0.3">
      <c r="B2" s="253" t="s">
        <v>33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5"/>
    </row>
    <row r="3" spans="2:17" x14ac:dyDescent="0.3">
      <c r="B3" s="256">
        <f>'RESUMEN '!B3</f>
        <v>45789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8"/>
    </row>
    <row r="4" spans="2:17" ht="12.6" thickBot="1" x14ac:dyDescent="0.35"/>
    <row r="5" spans="2:17" ht="12.6" thickBot="1" x14ac:dyDescent="0.35">
      <c r="B5" s="56" t="s">
        <v>34</v>
      </c>
      <c r="C5" s="57" t="s">
        <v>35</v>
      </c>
      <c r="D5" s="58" t="s">
        <v>36</v>
      </c>
      <c r="E5" s="59" t="s">
        <v>4</v>
      </c>
      <c r="F5" s="59" t="s">
        <v>5</v>
      </c>
      <c r="G5" s="59" t="s">
        <v>6</v>
      </c>
      <c r="H5" s="59" t="s">
        <v>7</v>
      </c>
      <c r="I5" s="59" t="s">
        <v>8</v>
      </c>
      <c r="J5" s="60" t="s">
        <v>9</v>
      </c>
      <c r="K5" s="59" t="s">
        <v>37</v>
      </c>
      <c r="L5" s="59" t="s">
        <v>4</v>
      </c>
      <c r="M5" s="59" t="s">
        <v>5</v>
      </c>
      <c r="N5" s="59" t="s">
        <v>6</v>
      </c>
      <c r="O5" s="59" t="s">
        <v>7</v>
      </c>
      <c r="P5" s="59" t="s">
        <v>8</v>
      </c>
      <c r="Q5" s="57" t="s">
        <v>38</v>
      </c>
    </row>
    <row r="6" spans="2:17" x14ac:dyDescent="0.3">
      <c r="B6" s="238" t="s">
        <v>39</v>
      </c>
      <c r="C6" s="238" t="s">
        <v>34</v>
      </c>
      <c r="D6" s="54" t="s">
        <v>40</v>
      </c>
      <c r="E6" s="32">
        <v>10</v>
      </c>
      <c r="F6" s="32"/>
      <c r="G6" s="32">
        <f>E6+F6</f>
        <v>10</v>
      </c>
      <c r="H6" s="32"/>
      <c r="I6" s="32">
        <f>G6-H6</f>
        <v>10</v>
      </c>
      <c r="J6" s="30">
        <f>H6/G6</f>
        <v>0</v>
      </c>
      <c r="K6" s="55" t="s">
        <v>41</v>
      </c>
      <c r="L6" s="252">
        <f>E6+E7</f>
        <v>11</v>
      </c>
      <c r="M6" s="252">
        <f>F6+F7</f>
        <v>0</v>
      </c>
      <c r="N6" s="252">
        <f>L6+M6</f>
        <v>11</v>
      </c>
      <c r="O6" s="252">
        <f>H6+H7</f>
        <v>0</v>
      </c>
      <c r="P6" s="252">
        <f>N6-O6</f>
        <v>11</v>
      </c>
      <c r="Q6" s="260">
        <f>O6/N6</f>
        <v>0</v>
      </c>
    </row>
    <row r="7" spans="2:17" ht="12.6" thickBot="1" x14ac:dyDescent="0.35">
      <c r="B7" s="240"/>
      <c r="C7" s="240"/>
      <c r="D7" s="53" t="s">
        <v>42</v>
      </c>
      <c r="E7" s="11">
        <v>1</v>
      </c>
      <c r="F7" s="11"/>
      <c r="G7" s="11">
        <f>E7+F7+I6</f>
        <v>11</v>
      </c>
      <c r="H7" s="11"/>
      <c r="I7" s="11">
        <f>G7-H7</f>
        <v>11</v>
      </c>
      <c r="J7" s="12">
        <f>H7/G7</f>
        <v>0</v>
      </c>
      <c r="K7" s="27" t="s">
        <v>41</v>
      </c>
      <c r="L7" s="251"/>
      <c r="M7" s="251"/>
      <c r="N7" s="251"/>
      <c r="O7" s="251"/>
      <c r="P7" s="251"/>
      <c r="Q7" s="249"/>
    </row>
    <row r="8" spans="2:17" x14ac:dyDescent="0.3">
      <c r="B8" s="238" t="s">
        <v>43</v>
      </c>
      <c r="C8" s="238" t="s">
        <v>44</v>
      </c>
      <c r="D8" s="53" t="s">
        <v>40</v>
      </c>
      <c r="E8" s="11">
        <v>131.976</v>
      </c>
      <c r="F8" s="11">
        <v>-73.319999999999993</v>
      </c>
      <c r="G8" s="11">
        <f t="shared" ref="G8" si="0">E8+F8</f>
        <v>58.656000000000006</v>
      </c>
      <c r="H8" s="413">
        <v>52.790999999999997</v>
      </c>
      <c r="I8" s="11">
        <f t="shared" ref="I8:I17" si="1">G8-H8</f>
        <v>5.8650000000000091</v>
      </c>
      <c r="J8" s="12">
        <f t="shared" ref="J8:J17" si="2">H8/G8</f>
        <v>0.90001022913256945</v>
      </c>
      <c r="K8" s="27" t="s">
        <v>41</v>
      </c>
      <c r="L8" s="250">
        <f t="shared" ref="L8" si="3">E8+E9</f>
        <v>146.63999999999999</v>
      </c>
      <c r="M8" s="250">
        <f t="shared" ref="M8" si="4">F8+F9</f>
        <v>-73.319999999999993</v>
      </c>
      <c r="N8" s="250">
        <f t="shared" ref="N8" si="5">L8+M8</f>
        <v>73.319999999999993</v>
      </c>
      <c r="O8" s="250">
        <f t="shared" ref="O8" si="6">H8+H9</f>
        <v>52.790999999999997</v>
      </c>
      <c r="P8" s="250">
        <f t="shared" ref="P8" si="7">N8-O8</f>
        <v>20.528999999999996</v>
      </c>
      <c r="Q8" s="248">
        <f t="shared" ref="Q8" si="8">O8/N8</f>
        <v>0.72000818330605565</v>
      </c>
    </row>
    <row r="9" spans="2:17" ht="12.6" thickBot="1" x14ac:dyDescent="0.35">
      <c r="B9" s="239"/>
      <c r="C9" s="240"/>
      <c r="D9" s="53" t="s">
        <v>42</v>
      </c>
      <c r="E9" s="11">
        <v>14.664</v>
      </c>
      <c r="F9" s="11"/>
      <c r="G9" s="11">
        <f t="shared" ref="G9" si="9">E9+F9+I8</f>
        <v>20.529000000000011</v>
      </c>
      <c r="H9" s="11"/>
      <c r="I9" s="11">
        <f t="shared" si="1"/>
        <v>20.529000000000011</v>
      </c>
      <c r="J9" s="12">
        <f t="shared" si="2"/>
        <v>0</v>
      </c>
      <c r="K9" s="27" t="s">
        <v>41</v>
      </c>
      <c r="L9" s="251"/>
      <c r="M9" s="251"/>
      <c r="N9" s="251"/>
      <c r="O9" s="251"/>
      <c r="P9" s="251"/>
      <c r="Q9" s="249"/>
    </row>
    <row r="10" spans="2:17" x14ac:dyDescent="0.3">
      <c r="B10" s="239"/>
      <c r="C10" s="238" t="s">
        <v>45</v>
      </c>
      <c r="D10" s="53" t="s">
        <v>40</v>
      </c>
      <c r="E10" s="11">
        <v>123.084</v>
      </c>
      <c r="F10" s="11"/>
      <c r="G10" s="11">
        <f t="shared" ref="G10" si="10">E10+F10</f>
        <v>123.084</v>
      </c>
      <c r="H10" s="11"/>
      <c r="I10" s="11">
        <f t="shared" si="1"/>
        <v>123.084</v>
      </c>
      <c r="J10" s="12">
        <f t="shared" si="2"/>
        <v>0</v>
      </c>
      <c r="K10" s="27" t="s">
        <v>41</v>
      </c>
      <c r="L10" s="250">
        <f t="shared" ref="L10" si="11">E10+E11</f>
        <v>136.76</v>
      </c>
      <c r="M10" s="250">
        <f t="shared" ref="M10" si="12">F10+F11</f>
        <v>0</v>
      </c>
      <c r="N10" s="250">
        <f t="shared" ref="N10" si="13">L10+M10</f>
        <v>136.76</v>
      </c>
      <c r="O10" s="250">
        <f t="shared" ref="O10" si="14">H10+H11</f>
        <v>0</v>
      </c>
      <c r="P10" s="250">
        <f t="shared" ref="P10" si="15">N10-O10</f>
        <v>136.76</v>
      </c>
      <c r="Q10" s="248">
        <f t="shared" ref="Q10" si="16">O10/N10</f>
        <v>0</v>
      </c>
    </row>
    <row r="11" spans="2:17" ht="12.6" thickBot="1" x14ac:dyDescent="0.35">
      <c r="B11" s="239"/>
      <c r="C11" s="240"/>
      <c r="D11" s="53" t="s">
        <v>42</v>
      </c>
      <c r="E11" s="11">
        <v>13.676</v>
      </c>
      <c r="F11" s="11"/>
      <c r="G11" s="11">
        <f t="shared" ref="G11" si="17">E11+F11+I10</f>
        <v>136.76</v>
      </c>
      <c r="H11" s="11"/>
      <c r="I11" s="11">
        <f t="shared" si="1"/>
        <v>136.76</v>
      </c>
      <c r="J11" s="12">
        <f>H11/G11</f>
        <v>0</v>
      </c>
      <c r="K11" s="27" t="s">
        <v>41</v>
      </c>
      <c r="L11" s="251"/>
      <c r="M11" s="251"/>
      <c r="N11" s="251"/>
      <c r="O11" s="251"/>
      <c r="P11" s="251"/>
      <c r="Q11" s="249"/>
    </row>
    <row r="12" spans="2:17" x14ac:dyDescent="0.3">
      <c r="B12" s="239"/>
      <c r="C12" s="238" t="s">
        <v>46</v>
      </c>
      <c r="D12" s="53" t="s">
        <v>40</v>
      </c>
      <c r="E12" s="11">
        <v>95.004000000000005</v>
      </c>
      <c r="F12" s="11"/>
      <c r="G12" s="11">
        <f t="shared" ref="G12" si="18">E12+F12</f>
        <v>95.004000000000005</v>
      </c>
      <c r="H12" s="413">
        <v>78.789000000000001</v>
      </c>
      <c r="I12" s="11">
        <f t="shared" si="1"/>
        <v>16.215000000000003</v>
      </c>
      <c r="J12" s="12">
        <f t="shared" si="2"/>
        <v>0.82932297587469994</v>
      </c>
      <c r="K12" s="27" t="s">
        <v>41</v>
      </c>
      <c r="L12" s="250">
        <f t="shared" ref="L12" si="19">E12+E13</f>
        <v>105.56</v>
      </c>
      <c r="M12" s="250">
        <f t="shared" ref="M12" si="20">F12+F13</f>
        <v>0</v>
      </c>
      <c r="N12" s="250">
        <f t="shared" ref="N12" si="21">L12+M12</f>
        <v>105.56</v>
      </c>
      <c r="O12" s="250">
        <f t="shared" ref="O12" si="22">H12+H13</f>
        <v>78.789000000000001</v>
      </c>
      <c r="P12" s="250">
        <f t="shared" ref="P12" si="23">N12-O12</f>
        <v>26.771000000000001</v>
      </c>
      <c r="Q12" s="248">
        <f t="shared" ref="Q12" si="24">O12/N12</f>
        <v>0.74639067828723005</v>
      </c>
    </row>
    <row r="13" spans="2:17" ht="12.6" thickBot="1" x14ac:dyDescent="0.35">
      <c r="B13" s="239"/>
      <c r="C13" s="240"/>
      <c r="D13" s="53" t="s">
        <v>42</v>
      </c>
      <c r="E13" s="11">
        <v>10.555999999999999</v>
      </c>
      <c r="F13" s="11"/>
      <c r="G13" s="11">
        <f t="shared" ref="G13" si="25">E13+F13+I12</f>
        <v>26.771000000000001</v>
      </c>
      <c r="H13" s="11"/>
      <c r="I13" s="11">
        <f t="shared" si="1"/>
        <v>26.771000000000001</v>
      </c>
      <c r="J13" s="12">
        <f t="shared" si="2"/>
        <v>0</v>
      </c>
      <c r="K13" s="27" t="s">
        <v>41</v>
      </c>
      <c r="L13" s="251"/>
      <c r="M13" s="251"/>
      <c r="N13" s="251"/>
      <c r="O13" s="251"/>
      <c r="P13" s="251"/>
      <c r="Q13" s="249"/>
    </row>
    <row r="14" spans="2:17" x14ac:dyDescent="0.3">
      <c r="B14" s="239"/>
      <c r="C14" s="238" t="s">
        <v>47</v>
      </c>
      <c r="D14" s="53" t="s">
        <v>40</v>
      </c>
      <c r="E14" s="11">
        <v>89.855999999999995</v>
      </c>
      <c r="F14" s="11"/>
      <c r="G14" s="11">
        <f t="shared" ref="G14" si="26">E14+F14</f>
        <v>89.855999999999995</v>
      </c>
      <c r="H14" s="11"/>
      <c r="I14" s="11">
        <f t="shared" si="1"/>
        <v>89.855999999999995</v>
      </c>
      <c r="J14" s="12">
        <f t="shared" si="2"/>
        <v>0</v>
      </c>
      <c r="K14" s="67" t="s">
        <v>41</v>
      </c>
      <c r="L14" s="250">
        <f t="shared" ref="L14" si="27">E14+E15</f>
        <v>99.839999999999989</v>
      </c>
      <c r="M14" s="250">
        <f t="shared" ref="M14" si="28">F14+F15</f>
        <v>0</v>
      </c>
      <c r="N14" s="250">
        <f t="shared" ref="N14" si="29">L14+M14</f>
        <v>99.839999999999989</v>
      </c>
      <c r="O14" s="250">
        <f t="shared" ref="O14" si="30">H14+H15</f>
        <v>0</v>
      </c>
      <c r="P14" s="250">
        <f t="shared" ref="P14" si="31">N14-O14</f>
        <v>99.839999999999989</v>
      </c>
      <c r="Q14" s="248">
        <f t="shared" ref="Q14" si="32">O14/N14</f>
        <v>0</v>
      </c>
    </row>
    <row r="15" spans="2:17" ht="12.6" thickBot="1" x14ac:dyDescent="0.35">
      <c r="B15" s="239"/>
      <c r="C15" s="240"/>
      <c r="D15" s="53" t="s">
        <v>42</v>
      </c>
      <c r="E15" s="11">
        <v>9.984</v>
      </c>
      <c r="F15" s="11"/>
      <c r="G15" s="11">
        <f t="shared" ref="G15" si="33">E15+F15+I14</f>
        <v>99.839999999999989</v>
      </c>
      <c r="H15" s="11"/>
      <c r="I15" s="11">
        <f t="shared" si="1"/>
        <v>99.839999999999989</v>
      </c>
      <c r="J15" s="12">
        <f t="shared" si="2"/>
        <v>0</v>
      </c>
      <c r="K15" s="67" t="s">
        <v>41</v>
      </c>
      <c r="L15" s="251"/>
      <c r="M15" s="251"/>
      <c r="N15" s="251"/>
      <c r="O15" s="251"/>
      <c r="P15" s="251"/>
      <c r="Q15" s="249"/>
    </row>
    <row r="16" spans="2:17" x14ac:dyDescent="0.3">
      <c r="B16" s="239"/>
      <c r="C16" s="238" t="s">
        <v>48</v>
      </c>
      <c r="D16" s="53" t="s">
        <v>40</v>
      </c>
      <c r="E16" s="11">
        <v>28.08</v>
      </c>
      <c r="F16" s="11"/>
      <c r="G16" s="11">
        <f t="shared" ref="G16" si="34">E16+F16</f>
        <v>28.08</v>
      </c>
      <c r="H16" s="413">
        <v>2.8980000000000001</v>
      </c>
      <c r="I16" s="11">
        <f t="shared" si="1"/>
        <v>25.181999999999999</v>
      </c>
      <c r="J16" s="12">
        <f t="shared" si="2"/>
        <v>0.10320512820512821</v>
      </c>
      <c r="K16" s="27" t="s">
        <v>41</v>
      </c>
      <c r="L16" s="250">
        <f t="shared" ref="L16" si="35">E16+E17</f>
        <v>31.2</v>
      </c>
      <c r="M16" s="250">
        <f t="shared" ref="M16" si="36">F16+F17</f>
        <v>0</v>
      </c>
      <c r="N16" s="250">
        <f t="shared" ref="N16" si="37">L16+M16</f>
        <v>31.2</v>
      </c>
      <c r="O16" s="250">
        <f t="shared" ref="O16" si="38">H16+H17</f>
        <v>2.8980000000000001</v>
      </c>
      <c r="P16" s="250">
        <f t="shared" ref="P16" si="39">N16-O16</f>
        <v>28.302</v>
      </c>
      <c r="Q16" s="248">
        <f t="shared" ref="Q16" si="40">O16/N16</f>
        <v>9.2884615384615385E-2</v>
      </c>
    </row>
    <row r="17" spans="2:17" ht="12.6" thickBot="1" x14ac:dyDescent="0.35">
      <c r="B17" s="240"/>
      <c r="C17" s="240"/>
      <c r="D17" s="53" t="s">
        <v>42</v>
      </c>
      <c r="E17" s="11">
        <v>3.12</v>
      </c>
      <c r="F17" s="11"/>
      <c r="G17" s="11">
        <f t="shared" ref="G17" si="41">E17+F17+I16</f>
        <v>28.302</v>
      </c>
      <c r="H17" s="11"/>
      <c r="I17" s="11">
        <f t="shared" si="1"/>
        <v>28.302</v>
      </c>
      <c r="J17" s="12">
        <f t="shared" si="2"/>
        <v>0</v>
      </c>
      <c r="K17" s="27" t="s">
        <v>41</v>
      </c>
      <c r="L17" s="251"/>
      <c r="M17" s="251"/>
      <c r="N17" s="251"/>
      <c r="O17" s="251"/>
      <c r="P17" s="251"/>
      <c r="Q17" s="249"/>
    </row>
    <row r="18" spans="2:17" ht="12.6" thickBot="1" x14ac:dyDescent="0.35">
      <c r="B18" s="62" t="s">
        <v>14</v>
      </c>
      <c r="C18" s="61" t="s">
        <v>49</v>
      </c>
      <c r="D18" s="53" t="s">
        <v>50</v>
      </c>
      <c r="E18" s="11">
        <v>15</v>
      </c>
      <c r="F18" s="11"/>
      <c r="G18" s="11">
        <f>E18+F18</f>
        <v>15</v>
      </c>
      <c r="H18" s="11"/>
      <c r="I18" s="11">
        <f>G18-H18</f>
        <v>15</v>
      </c>
      <c r="J18" s="12">
        <f>H18/G18</f>
        <v>0</v>
      </c>
      <c r="K18" s="27" t="s">
        <v>41</v>
      </c>
      <c r="L18" s="68">
        <f>E18</f>
        <v>15</v>
      </c>
      <c r="M18" s="68">
        <f t="shared" ref="M18:Q18" si="42">F18</f>
        <v>0</v>
      </c>
      <c r="N18" s="68">
        <f t="shared" si="42"/>
        <v>15</v>
      </c>
      <c r="O18" s="68">
        <f t="shared" si="42"/>
        <v>0</v>
      </c>
      <c r="P18" s="68">
        <f t="shared" si="42"/>
        <v>15</v>
      </c>
      <c r="Q18" s="68">
        <f t="shared" si="42"/>
        <v>0</v>
      </c>
    </row>
    <row r="19" spans="2:17" ht="12.6" thickBot="1" x14ac:dyDescent="0.35">
      <c r="B19" s="242" t="s">
        <v>22</v>
      </c>
      <c r="C19" s="259"/>
      <c r="D19" s="52" t="s">
        <v>50</v>
      </c>
      <c r="E19" s="63">
        <f>SUM(E6:E18)</f>
        <v>546</v>
      </c>
      <c r="F19" s="63">
        <f>SUM(F6:F18)</f>
        <v>-73.319999999999993</v>
      </c>
      <c r="G19" s="63">
        <f>E19+F19</f>
        <v>472.68</v>
      </c>
      <c r="H19" s="63">
        <f>SUM(H6:H18)</f>
        <v>134.47799999999998</v>
      </c>
      <c r="I19" s="63">
        <f>G19-H19</f>
        <v>338.202</v>
      </c>
      <c r="J19" s="64">
        <f>H19/G19</f>
        <v>0.28450114242193447</v>
      </c>
      <c r="K19" s="65" t="s">
        <v>41</v>
      </c>
      <c r="L19" s="63">
        <f>SUM(L6:L18)</f>
        <v>546</v>
      </c>
      <c r="M19" s="63">
        <f>SUM(M6:M18)</f>
        <v>-73.319999999999993</v>
      </c>
      <c r="N19" s="63">
        <f>L19+M19</f>
        <v>472.68</v>
      </c>
      <c r="O19" s="63">
        <f>SUM(O6:O18)</f>
        <v>134.47799999999998</v>
      </c>
      <c r="P19" s="63">
        <f>N19-O19</f>
        <v>338.202</v>
      </c>
      <c r="Q19" s="64">
        <f>O19/N19</f>
        <v>0.28450114242193447</v>
      </c>
    </row>
    <row r="30" spans="2:17" x14ac:dyDescent="0.3">
      <c r="H30" s="95"/>
    </row>
  </sheetData>
  <mergeCells count="47">
    <mergeCell ref="B2:Q2"/>
    <mergeCell ref="B3:Q3"/>
    <mergeCell ref="B19:C19"/>
    <mergeCell ref="C14:C15"/>
    <mergeCell ref="C16:C17"/>
    <mergeCell ref="B6:B7"/>
    <mergeCell ref="B8:B17"/>
    <mergeCell ref="C6:C7"/>
    <mergeCell ref="C8:C9"/>
    <mergeCell ref="C10:C11"/>
    <mergeCell ref="C12:C13"/>
    <mergeCell ref="Q6:Q7"/>
    <mergeCell ref="L8:L9"/>
    <mergeCell ref="M8:M9"/>
    <mergeCell ref="N8:N9"/>
    <mergeCell ref="O8:O9"/>
    <mergeCell ref="P8:P9"/>
    <mergeCell ref="Q8:Q9"/>
    <mergeCell ref="L6:L7"/>
    <mergeCell ref="M6:M7"/>
    <mergeCell ref="N6:N7"/>
    <mergeCell ref="O6:O7"/>
    <mergeCell ref="P6:P7"/>
    <mergeCell ref="Q10:Q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4:Q15"/>
    <mergeCell ref="L16:L17"/>
    <mergeCell ref="M16:M17"/>
    <mergeCell ref="N16:N17"/>
    <mergeCell ref="O16:O17"/>
    <mergeCell ref="P16:P17"/>
    <mergeCell ref="Q16:Q17"/>
    <mergeCell ref="L14:L15"/>
    <mergeCell ref="M14:M15"/>
    <mergeCell ref="N14:N15"/>
    <mergeCell ref="O14:O15"/>
    <mergeCell ref="P14:P15"/>
  </mergeCells>
  <conditionalFormatting sqref="J6:J18">
    <cfRule type="cellIs" dxfId="5" priority="1" operator="greaterThan">
      <formula>95%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M124"/>
  <sheetViews>
    <sheetView showGridLines="0" topLeftCell="C1" zoomScale="90" zoomScaleNormal="90" workbookViewId="0">
      <selection activeCell="H40" sqref="H40"/>
    </sheetView>
  </sheetViews>
  <sheetFormatPr baseColWidth="10" defaultColWidth="11.44140625" defaultRowHeight="12" x14ac:dyDescent="0.3"/>
  <cols>
    <col min="1" max="1" width="11.44140625" style="3"/>
    <col min="2" max="2" width="20.88671875" style="3" bestFit="1" customWidth="1"/>
    <col min="3" max="3" width="33" style="3" bestFit="1" customWidth="1"/>
    <col min="4" max="4" width="13.109375" style="3" customWidth="1"/>
    <col min="5" max="5" width="19" style="3" bestFit="1" customWidth="1"/>
    <col min="6" max="6" width="15.5546875" style="3" bestFit="1" customWidth="1"/>
    <col min="7" max="7" width="18" style="3" bestFit="1" customWidth="1"/>
    <col min="8" max="8" width="16.6640625" style="3" customWidth="1"/>
    <col min="9" max="9" width="10.5546875" style="3" bestFit="1" customWidth="1"/>
    <col min="10" max="10" width="12" style="3" bestFit="1" customWidth="1"/>
    <col min="11" max="11" width="19" style="3" bestFit="1" customWidth="1"/>
    <col min="12" max="12" width="15.5546875" style="3" bestFit="1" customWidth="1"/>
    <col min="13" max="13" width="18" style="3" bestFit="1" customWidth="1"/>
    <col min="14" max="14" width="18.6640625" style="3" customWidth="1"/>
    <col min="15" max="15" width="10.5546875" style="3" bestFit="1" customWidth="1"/>
    <col min="16" max="16" width="18" style="3" customWidth="1"/>
    <col min="17" max="16384" width="11.44140625" style="3"/>
  </cols>
  <sheetData>
    <row r="1" spans="2:16" ht="12.6" thickBot="1" x14ac:dyDescent="0.35"/>
    <row r="2" spans="2:16" x14ac:dyDescent="0.3">
      <c r="B2" s="267" t="s">
        <v>51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9"/>
    </row>
    <row r="3" spans="2:16" ht="19.5" customHeight="1" thickBot="1" x14ac:dyDescent="0.35">
      <c r="B3" s="270">
        <f>'RESUMEN '!B3</f>
        <v>45789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2"/>
    </row>
    <row r="4" spans="2:16" ht="12.6" thickBot="1" x14ac:dyDescent="0.35"/>
    <row r="5" spans="2:16" ht="12.6" thickBot="1" x14ac:dyDescent="0.35">
      <c r="B5" s="211" t="s">
        <v>1</v>
      </c>
      <c r="C5" s="209" t="s">
        <v>52</v>
      </c>
      <c r="D5" s="209" t="s">
        <v>36</v>
      </c>
      <c r="E5" s="207" t="s">
        <v>4</v>
      </c>
      <c r="F5" s="197" t="s">
        <v>5</v>
      </c>
      <c r="G5" s="197" t="s">
        <v>6</v>
      </c>
      <c r="H5" s="197" t="s">
        <v>7</v>
      </c>
      <c r="I5" s="197" t="s">
        <v>8</v>
      </c>
      <c r="J5" s="70" t="s">
        <v>9</v>
      </c>
      <c r="K5" s="197" t="s">
        <v>4</v>
      </c>
      <c r="L5" s="197" t="s">
        <v>5</v>
      </c>
      <c r="M5" s="197" t="s">
        <v>6</v>
      </c>
      <c r="N5" s="197" t="s">
        <v>7</v>
      </c>
      <c r="O5" s="197" t="s">
        <v>8</v>
      </c>
      <c r="P5" s="71" t="s">
        <v>38</v>
      </c>
    </row>
    <row r="6" spans="2:16" ht="12" customHeight="1" x14ac:dyDescent="0.3">
      <c r="B6" s="345" t="s">
        <v>53</v>
      </c>
      <c r="C6" s="274" t="s">
        <v>54</v>
      </c>
      <c r="D6" s="212" t="s">
        <v>40</v>
      </c>
      <c r="E6" s="39">
        <v>18.411519999999999</v>
      </c>
      <c r="F6" s="72"/>
      <c r="G6" s="42">
        <f>E6+F6</f>
        <v>18.411519999999999</v>
      </c>
      <c r="H6" s="72"/>
      <c r="I6" s="42">
        <f>G6-H6</f>
        <v>18.411519999999999</v>
      </c>
      <c r="J6" s="73">
        <f>H6/G6</f>
        <v>0</v>
      </c>
      <c r="K6" s="264">
        <f>E6+E7</f>
        <v>20.252669999999998</v>
      </c>
      <c r="L6" s="264">
        <f>F6+F7</f>
        <v>0</v>
      </c>
      <c r="M6" s="264">
        <f>K6+L6</f>
        <v>20.252669999999998</v>
      </c>
      <c r="N6" s="264">
        <f>H6+H7</f>
        <v>0</v>
      </c>
      <c r="O6" s="264">
        <f>M6-N6</f>
        <v>20.252669999999998</v>
      </c>
      <c r="P6" s="265">
        <f>N6/M6</f>
        <v>0</v>
      </c>
    </row>
    <row r="7" spans="2:16" ht="15" customHeight="1" x14ac:dyDescent="0.3">
      <c r="B7" s="346"/>
      <c r="C7" s="275"/>
      <c r="D7" s="97" t="s">
        <v>42</v>
      </c>
      <c r="E7" s="37">
        <v>1.8411500000000001</v>
      </c>
      <c r="F7" s="4"/>
      <c r="G7" s="11">
        <f>E7+F7+I6</f>
        <v>20.252669999999998</v>
      </c>
      <c r="H7" s="4"/>
      <c r="I7" s="11">
        <f>G7-H7</f>
        <v>20.252669999999998</v>
      </c>
      <c r="J7" s="12">
        <f>H7/G7</f>
        <v>0</v>
      </c>
      <c r="K7" s="262"/>
      <c r="L7" s="262"/>
      <c r="M7" s="262"/>
      <c r="N7" s="262"/>
      <c r="O7" s="262"/>
      <c r="P7" s="263"/>
    </row>
    <row r="8" spans="2:16" ht="15" customHeight="1" x14ac:dyDescent="0.3">
      <c r="B8" s="347"/>
      <c r="C8" s="266" t="s">
        <v>55</v>
      </c>
      <c r="D8" s="97" t="s">
        <v>40</v>
      </c>
      <c r="E8" s="223">
        <v>3.3288600000000002</v>
      </c>
      <c r="F8" s="4"/>
      <c r="G8" s="11">
        <f t="shared" ref="G8" si="0">E8+F8</f>
        <v>3.3288600000000002</v>
      </c>
      <c r="H8" s="4"/>
      <c r="I8" s="11">
        <f t="shared" ref="I8:I47" si="1">G8-H8</f>
        <v>3.3288600000000002</v>
      </c>
      <c r="J8" s="12">
        <f t="shared" ref="J8:J47" si="2">H8/G8</f>
        <v>0</v>
      </c>
      <c r="K8" s="262">
        <f t="shared" ref="K8" si="3">E8+E9</f>
        <v>3.6617500000000001</v>
      </c>
      <c r="L8" s="262">
        <f t="shared" ref="L8" si="4">F8+F9</f>
        <v>0</v>
      </c>
      <c r="M8" s="262">
        <f t="shared" ref="M8" si="5">K8+L8</f>
        <v>3.6617500000000001</v>
      </c>
      <c r="N8" s="262">
        <f t="shared" ref="N8" si="6">H8+H9</f>
        <v>0</v>
      </c>
      <c r="O8" s="262">
        <f t="shared" ref="O8" si="7">M8-N8</f>
        <v>3.6617500000000001</v>
      </c>
      <c r="P8" s="263">
        <f t="shared" ref="P8" si="8">N8/M8</f>
        <v>0</v>
      </c>
    </row>
    <row r="9" spans="2:16" ht="15" customHeight="1" x14ac:dyDescent="0.3">
      <c r="B9" s="347"/>
      <c r="C9" s="266"/>
      <c r="D9" s="97" t="s">
        <v>42</v>
      </c>
      <c r="E9" s="224">
        <v>0.33289000000000002</v>
      </c>
      <c r="F9" s="4"/>
      <c r="G9" s="11">
        <f t="shared" ref="G9" si="9">E9+F9+I8</f>
        <v>3.6617500000000001</v>
      </c>
      <c r="H9" s="4"/>
      <c r="I9" s="11">
        <f t="shared" si="1"/>
        <v>3.6617500000000001</v>
      </c>
      <c r="J9" s="12">
        <f t="shared" si="2"/>
        <v>0</v>
      </c>
      <c r="K9" s="262"/>
      <c r="L9" s="262"/>
      <c r="M9" s="262"/>
      <c r="N9" s="262"/>
      <c r="O9" s="262"/>
      <c r="P9" s="263"/>
    </row>
    <row r="10" spans="2:16" ht="15" customHeight="1" x14ac:dyDescent="0.3">
      <c r="B10" s="347"/>
      <c r="C10" s="266" t="s">
        <v>56</v>
      </c>
      <c r="D10" s="97" t="s">
        <v>40</v>
      </c>
      <c r="E10" s="224">
        <v>1.5E-3</v>
      </c>
      <c r="F10" s="4"/>
      <c r="G10" s="11">
        <f t="shared" ref="G10" si="10">E10+F10</f>
        <v>1.5E-3</v>
      </c>
      <c r="H10" s="4"/>
      <c r="I10" s="11">
        <f t="shared" si="1"/>
        <v>1.5E-3</v>
      </c>
      <c r="J10" s="12">
        <f t="shared" si="2"/>
        <v>0</v>
      </c>
      <c r="K10" s="262">
        <f t="shared" ref="K10" si="11">E10+E11</f>
        <v>1.65E-3</v>
      </c>
      <c r="L10" s="262">
        <f t="shared" ref="L10" si="12">F10+F11</f>
        <v>0</v>
      </c>
      <c r="M10" s="262">
        <f t="shared" ref="M10" si="13">K10+L10</f>
        <v>1.65E-3</v>
      </c>
      <c r="N10" s="262">
        <f t="shared" ref="N10" si="14">H10+H11</f>
        <v>0</v>
      </c>
      <c r="O10" s="262">
        <f t="shared" ref="O10" si="15">M10-N10</f>
        <v>1.65E-3</v>
      </c>
      <c r="P10" s="263">
        <f t="shared" ref="P10" si="16">N10/M10</f>
        <v>0</v>
      </c>
    </row>
    <row r="11" spans="2:16" ht="15" customHeight="1" x14ac:dyDescent="0.3">
      <c r="B11" s="347"/>
      <c r="C11" s="266"/>
      <c r="D11" s="97" t="s">
        <v>42</v>
      </c>
      <c r="E11" s="224">
        <v>1.4999999999999999E-4</v>
      </c>
      <c r="F11" s="4"/>
      <c r="G11" s="11">
        <f t="shared" ref="G11" si="17">E11+F11+I10</f>
        <v>1.65E-3</v>
      </c>
      <c r="H11" s="4"/>
      <c r="I11" s="11">
        <f t="shared" si="1"/>
        <v>1.65E-3</v>
      </c>
      <c r="J11" s="12">
        <f t="shared" si="2"/>
        <v>0</v>
      </c>
      <c r="K11" s="262"/>
      <c r="L11" s="262"/>
      <c r="M11" s="262"/>
      <c r="N11" s="262"/>
      <c r="O11" s="262"/>
      <c r="P11" s="263"/>
    </row>
    <row r="12" spans="2:16" ht="15" customHeight="1" x14ac:dyDescent="0.3">
      <c r="B12" s="347"/>
      <c r="C12" s="266" t="s">
        <v>57</v>
      </c>
      <c r="D12" s="97" t="s">
        <v>40</v>
      </c>
      <c r="E12" s="224">
        <v>19.14631</v>
      </c>
      <c r="F12" s="11"/>
      <c r="G12" s="11">
        <f t="shared" ref="G12" si="18">E12+F12</f>
        <v>19.14631</v>
      </c>
      <c r="H12" s="4"/>
      <c r="I12" s="11">
        <f t="shared" si="1"/>
        <v>19.14631</v>
      </c>
      <c r="J12" s="12">
        <f t="shared" si="2"/>
        <v>0</v>
      </c>
      <c r="K12" s="262">
        <f t="shared" ref="K12" si="19">E12+E13</f>
        <v>21.060939999999999</v>
      </c>
      <c r="L12" s="262">
        <f t="shared" ref="L12" si="20">F12+F13</f>
        <v>0</v>
      </c>
      <c r="M12" s="262">
        <f t="shared" ref="M12" si="21">K12+L12</f>
        <v>21.060939999999999</v>
      </c>
      <c r="N12" s="262">
        <f t="shared" ref="N12" si="22">H12+H13</f>
        <v>0</v>
      </c>
      <c r="O12" s="262">
        <f t="shared" ref="O12" si="23">M12-N12</f>
        <v>21.060939999999999</v>
      </c>
      <c r="P12" s="263">
        <f t="shared" ref="P12" si="24">N12/M12</f>
        <v>0</v>
      </c>
    </row>
    <row r="13" spans="2:16" ht="15" customHeight="1" x14ac:dyDescent="0.3">
      <c r="B13" s="347"/>
      <c r="C13" s="266"/>
      <c r="D13" s="97" t="s">
        <v>42</v>
      </c>
      <c r="E13" s="224">
        <v>1.9146300000000001</v>
      </c>
      <c r="F13" s="4"/>
      <c r="G13" s="11">
        <f t="shared" ref="G13" si="25">E13+F13+I12</f>
        <v>21.060939999999999</v>
      </c>
      <c r="H13" s="4"/>
      <c r="I13" s="11">
        <f t="shared" si="1"/>
        <v>21.060939999999999</v>
      </c>
      <c r="J13" s="12">
        <f t="shared" si="2"/>
        <v>0</v>
      </c>
      <c r="K13" s="262"/>
      <c r="L13" s="262"/>
      <c r="M13" s="262"/>
      <c r="N13" s="262"/>
      <c r="O13" s="262"/>
      <c r="P13" s="263"/>
    </row>
    <row r="14" spans="2:16" ht="15" customHeight="1" x14ac:dyDescent="0.3">
      <c r="B14" s="347"/>
      <c r="C14" s="266" t="s">
        <v>58</v>
      </c>
      <c r="D14" s="97" t="s">
        <v>40</v>
      </c>
      <c r="E14" s="224">
        <v>8.6599999999999993E-3</v>
      </c>
      <c r="F14" s="4"/>
      <c r="G14" s="11">
        <f t="shared" ref="G14" si="26">E14+F14</f>
        <v>8.6599999999999993E-3</v>
      </c>
      <c r="H14" s="4"/>
      <c r="I14" s="11">
        <f t="shared" si="1"/>
        <v>8.6599999999999993E-3</v>
      </c>
      <c r="J14" s="12">
        <f t="shared" si="2"/>
        <v>0</v>
      </c>
      <c r="K14" s="262">
        <f t="shared" ref="K14" si="27">E14+E15</f>
        <v>9.5299999999999985E-3</v>
      </c>
      <c r="L14" s="262">
        <f t="shared" ref="L14" si="28">F14+F15</f>
        <v>0</v>
      </c>
      <c r="M14" s="262">
        <f t="shared" ref="M14" si="29">K14+L14</f>
        <v>9.5299999999999985E-3</v>
      </c>
      <c r="N14" s="262">
        <f t="shared" ref="N14" si="30">H14+H15</f>
        <v>0</v>
      </c>
      <c r="O14" s="262">
        <f t="shared" ref="O14" si="31">M14-N14</f>
        <v>9.5299999999999985E-3</v>
      </c>
      <c r="P14" s="263">
        <f t="shared" ref="P14" si="32">N14/M14</f>
        <v>0</v>
      </c>
    </row>
    <row r="15" spans="2:16" ht="15" customHeight="1" x14ac:dyDescent="0.3">
      <c r="B15" s="347"/>
      <c r="C15" s="266"/>
      <c r="D15" s="97" t="s">
        <v>42</v>
      </c>
      <c r="E15" s="224">
        <v>8.7000000000000001E-4</v>
      </c>
      <c r="F15" s="4"/>
      <c r="G15" s="11">
        <f t="shared" ref="G15" si="33">E15+F15+I14</f>
        <v>9.5299999999999985E-3</v>
      </c>
      <c r="H15" s="4"/>
      <c r="I15" s="11">
        <f t="shared" si="1"/>
        <v>9.5299999999999985E-3</v>
      </c>
      <c r="J15" s="12">
        <f t="shared" si="2"/>
        <v>0</v>
      </c>
      <c r="K15" s="262"/>
      <c r="L15" s="262"/>
      <c r="M15" s="262"/>
      <c r="N15" s="262"/>
      <c r="O15" s="262"/>
      <c r="P15" s="263"/>
    </row>
    <row r="16" spans="2:16" ht="15" customHeight="1" x14ac:dyDescent="0.3">
      <c r="B16" s="347"/>
      <c r="C16" s="266" t="s">
        <v>59</v>
      </c>
      <c r="D16" s="97" t="s">
        <v>40</v>
      </c>
      <c r="E16" s="224">
        <v>5.29162</v>
      </c>
      <c r="F16" s="4"/>
      <c r="G16" s="11">
        <f t="shared" ref="G16" si="34">E16+F16</f>
        <v>5.29162</v>
      </c>
      <c r="H16" s="4"/>
      <c r="I16" s="11">
        <f t="shared" si="1"/>
        <v>5.29162</v>
      </c>
      <c r="J16" s="12">
        <f t="shared" si="2"/>
        <v>0</v>
      </c>
      <c r="K16" s="262">
        <f t="shared" ref="K16" si="35">E16+E17</f>
        <v>5.8207800000000001</v>
      </c>
      <c r="L16" s="262">
        <f t="shared" ref="L16" si="36">F16+F17</f>
        <v>0</v>
      </c>
      <c r="M16" s="262">
        <f t="shared" ref="M16" si="37">K16+L16</f>
        <v>5.8207800000000001</v>
      </c>
      <c r="N16" s="262">
        <f t="shared" ref="N16" si="38">H16+H17</f>
        <v>0</v>
      </c>
      <c r="O16" s="262">
        <f t="shared" ref="O16" si="39">M16-N16</f>
        <v>5.8207800000000001</v>
      </c>
      <c r="P16" s="263">
        <f t="shared" ref="P16" si="40">N16/M16</f>
        <v>0</v>
      </c>
    </row>
    <row r="17" spans="2:16" ht="15" customHeight="1" x14ac:dyDescent="0.3">
      <c r="B17" s="347"/>
      <c r="C17" s="266"/>
      <c r="D17" s="97" t="s">
        <v>42</v>
      </c>
      <c r="E17" s="225">
        <v>0.52915999999999996</v>
      </c>
      <c r="F17" s="4"/>
      <c r="G17" s="11">
        <f t="shared" ref="G17" si="41">E17+F17+I16</f>
        <v>5.8207800000000001</v>
      </c>
      <c r="H17" s="4"/>
      <c r="I17" s="11">
        <f t="shared" si="1"/>
        <v>5.8207800000000001</v>
      </c>
      <c r="J17" s="12">
        <f t="shared" si="2"/>
        <v>0</v>
      </c>
      <c r="K17" s="262"/>
      <c r="L17" s="262"/>
      <c r="M17" s="262"/>
      <c r="N17" s="262"/>
      <c r="O17" s="262"/>
      <c r="P17" s="263"/>
    </row>
    <row r="18" spans="2:16" ht="15" customHeight="1" x14ac:dyDescent="0.3">
      <c r="B18" s="347"/>
      <c r="C18" s="266" t="s">
        <v>60</v>
      </c>
      <c r="D18" s="97" t="s">
        <v>40</v>
      </c>
      <c r="E18" s="225">
        <v>5.0099999999999997E-3</v>
      </c>
      <c r="F18" s="4"/>
      <c r="G18" s="11">
        <f t="shared" ref="G18" si="42">E18+F18</f>
        <v>5.0099999999999997E-3</v>
      </c>
      <c r="H18" s="4"/>
      <c r="I18" s="11">
        <f t="shared" si="1"/>
        <v>5.0099999999999997E-3</v>
      </c>
      <c r="J18" s="12">
        <f t="shared" si="2"/>
        <v>0</v>
      </c>
      <c r="K18" s="262">
        <f t="shared" ref="K18" si="43">E18+E19</f>
        <v>5.5099999999999993E-3</v>
      </c>
      <c r="L18" s="262">
        <f t="shared" ref="L18" si="44">F18+F19</f>
        <v>0</v>
      </c>
      <c r="M18" s="262">
        <f t="shared" ref="M18" si="45">K18+L18</f>
        <v>5.5099999999999993E-3</v>
      </c>
      <c r="N18" s="262">
        <f t="shared" ref="N18" si="46">H18+H19</f>
        <v>0</v>
      </c>
      <c r="O18" s="262">
        <f t="shared" ref="O18" si="47">M18-N18</f>
        <v>5.5099999999999993E-3</v>
      </c>
      <c r="P18" s="263">
        <f t="shared" ref="P18" si="48">N18/M18</f>
        <v>0</v>
      </c>
    </row>
    <row r="19" spans="2:16" ht="15" customHeight="1" x14ac:dyDescent="0.3">
      <c r="B19" s="347"/>
      <c r="C19" s="266"/>
      <c r="D19" s="97" t="s">
        <v>42</v>
      </c>
      <c r="E19" s="225">
        <v>5.0000000000000001E-4</v>
      </c>
      <c r="F19" s="4"/>
      <c r="G19" s="11">
        <f t="shared" ref="G19" si="49">E19+F19+I18</f>
        <v>5.5099999999999993E-3</v>
      </c>
      <c r="H19" s="4"/>
      <c r="I19" s="11">
        <f t="shared" si="1"/>
        <v>5.5099999999999993E-3</v>
      </c>
      <c r="J19" s="12">
        <f t="shared" si="2"/>
        <v>0</v>
      </c>
      <c r="K19" s="262"/>
      <c r="L19" s="262"/>
      <c r="M19" s="262"/>
      <c r="N19" s="262"/>
      <c r="O19" s="262"/>
      <c r="P19" s="263"/>
    </row>
    <row r="20" spans="2:16" ht="15" customHeight="1" x14ac:dyDescent="0.3">
      <c r="B20" s="347"/>
      <c r="C20" s="266" t="s">
        <v>61</v>
      </c>
      <c r="D20" s="97" t="s">
        <v>40</v>
      </c>
      <c r="E20" s="225">
        <v>1.01E-3</v>
      </c>
      <c r="F20" s="4"/>
      <c r="G20" s="11">
        <f t="shared" ref="G20" si="50">E20+F20</f>
        <v>1.01E-3</v>
      </c>
      <c r="H20" s="4"/>
      <c r="I20" s="11">
        <f t="shared" si="1"/>
        <v>1.01E-3</v>
      </c>
      <c r="J20" s="12">
        <f t="shared" si="2"/>
        <v>0</v>
      </c>
      <c r="K20" s="262">
        <f t="shared" ref="K20" si="51">E20+E21</f>
        <v>1.1100000000000001E-3</v>
      </c>
      <c r="L20" s="262">
        <f t="shared" ref="L20" si="52">F20+F21</f>
        <v>0</v>
      </c>
      <c r="M20" s="262">
        <f t="shared" ref="M20" si="53">K20+L20</f>
        <v>1.1100000000000001E-3</v>
      </c>
      <c r="N20" s="262">
        <f t="shared" ref="N20" si="54">H20+H21</f>
        <v>0</v>
      </c>
      <c r="O20" s="262">
        <f t="shared" ref="O20" si="55">M20-N20</f>
        <v>1.1100000000000001E-3</v>
      </c>
      <c r="P20" s="263">
        <f t="shared" ref="P20" si="56">N20/M20</f>
        <v>0</v>
      </c>
    </row>
    <row r="21" spans="2:16" ht="15" customHeight="1" x14ac:dyDescent="0.3">
      <c r="B21" s="347"/>
      <c r="C21" s="266"/>
      <c r="D21" s="97" t="s">
        <v>42</v>
      </c>
      <c r="E21" s="225">
        <v>1E-4</v>
      </c>
      <c r="F21" s="4"/>
      <c r="G21" s="11">
        <f t="shared" ref="G21" si="57">E21+F21+I20</f>
        <v>1.1100000000000001E-3</v>
      </c>
      <c r="H21" s="4"/>
      <c r="I21" s="11">
        <f t="shared" si="1"/>
        <v>1.1100000000000001E-3</v>
      </c>
      <c r="J21" s="12">
        <f t="shared" si="2"/>
        <v>0</v>
      </c>
      <c r="K21" s="262"/>
      <c r="L21" s="262"/>
      <c r="M21" s="262"/>
      <c r="N21" s="262"/>
      <c r="O21" s="262"/>
      <c r="P21" s="263"/>
    </row>
    <row r="22" spans="2:16" ht="15" customHeight="1" x14ac:dyDescent="0.3">
      <c r="B22" s="347"/>
      <c r="C22" s="266" t="s">
        <v>62</v>
      </c>
      <c r="D22" s="97" t="s">
        <v>40</v>
      </c>
      <c r="E22" s="225">
        <v>3.7620300000000002</v>
      </c>
      <c r="F22" s="4"/>
      <c r="G22" s="11">
        <f t="shared" ref="G22" si="58">E22+F22</f>
        <v>3.7620300000000002</v>
      </c>
      <c r="H22" s="4"/>
      <c r="I22" s="11">
        <f t="shared" si="1"/>
        <v>3.7620300000000002</v>
      </c>
      <c r="J22" s="12">
        <f t="shared" si="2"/>
        <v>0</v>
      </c>
      <c r="K22" s="262">
        <f t="shared" ref="K22" si="59">E22+E23</f>
        <v>4.1382300000000001</v>
      </c>
      <c r="L22" s="262">
        <f t="shared" ref="L22" si="60">F22+F23</f>
        <v>0</v>
      </c>
      <c r="M22" s="262">
        <f t="shared" ref="M22" si="61">K22+L22</f>
        <v>4.1382300000000001</v>
      </c>
      <c r="N22" s="262">
        <f t="shared" ref="N22" si="62">H22+H23</f>
        <v>0</v>
      </c>
      <c r="O22" s="262">
        <f t="shared" ref="O22" si="63">M22-N22</f>
        <v>4.1382300000000001</v>
      </c>
      <c r="P22" s="263">
        <f t="shared" ref="P22" si="64">N22/M22</f>
        <v>0</v>
      </c>
    </row>
    <row r="23" spans="2:16" ht="15" customHeight="1" x14ac:dyDescent="0.3">
      <c r="B23" s="347"/>
      <c r="C23" s="266"/>
      <c r="D23" s="97" t="s">
        <v>42</v>
      </c>
      <c r="E23" s="225">
        <v>0.37619999999999998</v>
      </c>
      <c r="F23" s="4"/>
      <c r="G23" s="11">
        <f t="shared" ref="G23" si="65">E23+F23+I22</f>
        <v>4.1382300000000001</v>
      </c>
      <c r="H23" s="4"/>
      <c r="I23" s="11">
        <f t="shared" si="1"/>
        <v>4.1382300000000001</v>
      </c>
      <c r="J23" s="12">
        <f t="shared" si="2"/>
        <v>0</v>
      </c>
      <c r="K23" s="262"/>
      <c r="L23" s="262"/>
      <c r="M23" s="262"/>
      <c r="N23" s="262"/>
      <c r="O23" s="262"/>
      <c r="P23" s="263"/>
    </row>
    <row r="24" spans="2:16" ht="15" customHeight="1" x14ac:dyDescent="0.3">
      <c r="B24" s="347"/>
      <c r="C24" s="266" t="s">
        <v>63</v>
      </c>
      <c r="D24" s="97" t="s">
        <v>40</v>
      </c>
      <c r="E24" s="225">
        <v>0.02</v>
      </c>
      <c r="F24" s="4"/>
      <c r="G24" s="11">
        <f t="shared" ref="G24" si="66">E24+F24</f>
        <v>0.02</v>
      </c>
      <c r="H24" s="4"/>
      <c r="I24" s="11">
        <f t="shared" ref="I24:I25" si="67">G24-H24</f>
        <v>0.02</v>
      </c>
      <c r="J24" s="12">
        <f t="shared" ref="J24:J25" si="68">H24/G24</f>
        <v>0</v>
      </c>
      <c r="K24" s="262">
        <f t="shared" ref="K24" si="69">E24+E25</f>
        <v>2.1999999999999999E-2</v>
      </c>
      <c r="L24" s="262">
        <f t="shared" ref="L24" si="70">F24+F25</f>
        <v>0</v>
      </c>
      <c r="M24" s="262">
        <f t="shared" ref="M24" si="71">K24+L24</f>
        <v>2.1999999999999999E-2</v>
      </c>
      <c r="N24" s="262">
        <f t="shared" ref="N24" si="72">H24+H25</f>
        <v>0</v>
      </c>
      <c r="O24" s="262">
        <f t="shared" ref="O24" si="73">M24-N24</f>
        <v>2.1999999999999999E-2</v>
      </c>
      <c r="P24" s="263">
        <f>N24/M24</f>
        <v>0</v>
      </c>
    </row>
    <row r="25" spans="2:16" ht="15" customHeight="1" x14ac:dyDescent="0.3">
      <c r="B25" s="347"/>
      <c r="C25" s="266"/>
      <c r="D25" s="97" t="s">
        <v>42</v>
      </c>
      <c r="E25" s="225">
        <v>2E-3</v>
      </c>
      <c r="F25" s="4"/>
      <c r="G25" s="11">
        <f t="shared" ref="G25" si="74">E25+F25+I24</f>
        <v>2.1999999999999999E-2</v>
      </c>
      <c r="H25" s="4"/>
      <c r="I25" s="11">
        <f t="shared" si="67"/>
        <v>2.1999999999999999E-2</v>
      </c>
      <c r="J25" s="12">
        <f t="shared" si="68"/>
        <v>0</v>
      </c>
      <c r="K25" s="262"/>
      <c r="L25" s="262"/>
      <c r="M25" s="262"/>
      <c r="N25" s="262"/>
      <c r="O25" s="262"/>
      <c r="P25" s="263"/>
    </row>
    <row r="26" spans="2:16" ht="15" customHeight="1" x14ac:dyDescent="0.3">
      <c r="B26" s="347"/>
      <c r="C26" s="266" t="s">
        <v>64</v>
      </c>
      <c r="D26" s="97" t="s">
        <v>40</v>
      </c>
      <c r="E26" s="224">
        <v>2.051E-2</v>
      </c>
      <c r="F26" s="4"/>
      <c r="G26" s="11">
        <f t="shared" ref="G26" si="75">E26+F26</f>
        <v>2.051E-2</v>
      </c>
      <c r="H26" s="4"/>
      <c r="I26" s="11">
        <f t="shared" si="1"/>
        <v>2.051E-2</v>
      </c>
      <c r="J26" s="12">
        <f t="shared" si="2"/>
        <v>0</v>
      </c>
      <c r="K26" s="262">
        <f>E26+E27</f>
        <v>2.256E-2</v>
      </c>
      <c r="L26" s="262">
        <f>F26+F27</f>
        <v>0</v>
      </c>
      <c r="M26" s="262">
        <f t="shared" ref="M26" si="76">K26+L26</f>
        <v>2.256E-2</v>
      </c>
      <c r="N26" s="262">
        <f>H26+H27</f>
        <v>0</v>
      </c>
      <c r="O26" s="262">
        <f t="shared" ref="O26" si="77">M26-N26</f>
        <v>2.256E-2</v>
      </c>
      <c r="P26" s="263">
        <f t="shared" ref="P26" si="78">N26/M26</f>
        <v>0</v>
      </c>
    </row>
    <row r="27" spans="2:16" ht="15.75" customHeight="1" x14ac:dyDescent="0.3">
      <c r="B27" s="347"/>
      <c r="C27" s="266"/>
      <c r="D27" s="97" t="s">
        <v>42</v>
      </c>
      <c r="E27" s="224">
        <v>2.0500000000000002E-3</v>
      </c>
      <c r="F27" s="4"/>
      <c r="G27" s="11">
        <f>E27+F27+I26</f>
        <v>2.256E-2</v>
      </c>
      <c r="H27" s="4"/>
      <c r="I27" s="11">
        <f t="shared" si="1"/>
        <v>2.256E-2</v>
      </c>
      <c r="J27" s="12">
        <f t="shared" si="2"/>
        <v>0</v>
      </c>
      <c r="K27" s="262"/>
      <c r="L27" s="262"/>
      <c r="M27" s="262"/>
      <c r="N27" s="262"/>
      <c r="O27" s="262"/>
      <c r="P27" s="263"/>
    </row>
    <row r="28" spans="2:16" ht="15" customHeight="1" x14ac:dyDescent="0.3">
      <c r="B28" s="347"/>
      <c r="C28" s="275" t="s">
        <v>65</v>
      </c>
      <c r="D28" s="97" t="s">
        <v>40</v>
      </c>
      <c r="E28" s="225">
        <v>3.0000000000000001E-3</v>
      </c>
      <c r="F28" s="4"/>
      <c r="G28" s="11">
        <f t="shared" ref="G28" si="79">E28+F28</f>
        <v>3.0000000000000001E-3</v>
      </c>
      <c r="H28" s="4"/>
      <c r="I28" s="11">
        <f t="shared" ref="I28:I29" si="80">G28-H28</f>
        <v>3.0000000000000001E-3</v>
      </c>
      <c r="J28" s="12">
        <f t="shared" ref="J28:J29" si="81">H28/G28</f>
        <v>0</v>
      </c>
      <c r="K28" s="262">
        <f>E28+E29</f>
        <v>3.3E-3</v>
      </c>
      <c r="L28" s="262">
        <f>F28+F29</f>
        <v>0</v>
      </c>
      <c r="M28" s="262">
        <f t="shared" ref="M28" si="82">K28+L28</f>
        <v>3.3E-3</v>
      </c>
      <c r="N28" s="262">
        <f>H28+H29</f>
        <v>0</v>
      </c>
      <c r="O28" s="262">
        <f t="shared" ref="O28" si="83">M28-N28</f>
        <v>3.3E-3</v>
      </c>
      <c r="P28" s="263">
        <f t="shared" ref="P28" si="84">N28/M28</f>
        <v>0</v>
      </c>
    </row>
    <row r="29" spans="2:16" ht="15.75" customHeight="1" thickBot="1" x14ac:dyDescent="0.35">
      <c r="B29" s="348"/>
      <c r="C29" s="340"/>
      <c r="D29" s="98" t="s">
        <v>42</v>
      </c>
      <c r="E29" s="225">
        <v>2.9999999999999997E-4</v>
      </c>
      <c r="F29" s="210"/>
      <c r="G29" s="11">
        <f>E29+F29+I28</f>
        <v>3.3E-3</v>
      </c>
      <c r="H29" s="4"/>
      <c r="I29" s="11">
        <f t="shared" si="80"/>
        <v>3.3E-3</v>
      </c>
      <c r="J29" s="12">
        <f t="shared" si="81"/>
        <v>0</v>
      </c>
      <c r="K29" s="262"/>
      <c r="L29" s="262"/>
      <c r="M29" s="262"/>
      <c r="N29" s="262"/>
      <c r="O29" s="262"/>
      <c r="P29" s="263"/>
    </row>
    <row r="30" spans="2:16" ht="12" customHeight="1" x14ac:dyDescent="0.3">
      <c r="B30" s="349" t="s">
        <v>66</v>
      </c>
      <c r="C30" s="273" t="s">
        <v>54</v>
      </c>
      <c r="D30" s="75" t="s">
        <v>40</v>
      </c>
      <c r="E30" s="39">
        <v>349.45055000000002</v>
      </c>
      <c r="F30" s="79"/>
      <c r="G30" s="42">
        <f t="shared" ref="G30" si="85">E30+F30</f>
        <v>349.45055000000002</v>
      </c>
      <c r="H30" s="414">
        <v>344.20800000000003</v>
      </c>
      <c r="I30" s="42">
        <f>G30-H30</f>
        <v>5.2425499999999943</v>
      </c>
      <c r="J30" s="73">
        <f>H30/G30</f>
        <v>0.98499773430031801</v>
      </c>
      <c r="K30" s="264">
        <f t="shared" ref="K30" si="86">E30+E31</f>
        <v>388.11473000000001</v>
      </c>
      <c r="L30" s="264">
        <f t="shared" ref="L30" si="87">F30+F31</f>
        <v>0</v>
      </c>
      <c r="M30" s="264">
        <f t="shared" ref="M30" si="88">K30+L30</f>
        <v>388.11473000000001</v>
      </c>
      <c r="N30" s="264">
        <f>H30+H31</f>
        <v>344.20800000000003</v>
      </c>
      <c r="O30" s="264">
        <f t="shared" ref="O30" si="89">M30-N30</f>
        <v>43.906729999999982</v>
      </c>
      <c r="P30" s="265">
        <f t="shared" ref="P30" si="90">N30/M30</f>
        <v>0.88687177629151059</v>
      </c>
    </row>
    <row r="31" spans="2:16" x14ac:dyDescent="0.3">
      <c r="B31" s="350"/>
      <c r="C31" s="261"/>
      <c r="D31" s="94" t="s">
        <v>42</v>
      </c>
      <c r="E31" s="38">
        <v>38.664180000000002</v>
      </c>
      <c r="F31" s="69"/>
      <c r="G31" s="11">
        <f t="shared" ref="G31" si="91">E31+F31+I30</f>
        <v>43.906729999999996</v>
      </c>
      <c r="H31" s="4"/>
      <c r="I31" s="11">
        <f>G31-H31</f>
        <v>43.906729999999996</v>
      </c>
      <c r="J31" s="12">
        <f>H31/G31</f>
        <v>0</v>
      </c>
      <c r="K31" s="262"/>
      <c r="L31" s="262"/>
      <c r="M31" s="262"/>
      <c r="N31" s="262"/>
      <c r="O31" s="262"/>
      <c r="P31" s="263"/>
    </row>
    <row r="32" spans="2:16" ht="13.8" x14ac:dyDescent="0.3">
      <c r="B32" s="350"/>
      <c r="C32" s="261" t="s">
        <v>55</v>
      </c>
      <c r="D32" s="94" t="s">
        <v>40</v>
      </c>
      <c r="E32" s="224">
        <v>63.181669999999997</v>
      </c>
      <c r="F32" s="69"/>
      <c r="G32" s="11">
        <f t="shared" ref="G32" si="92">E32+F32</f>
        <v>63.181669999999997</v>
      </c>
      <c r="H32" s="4"/>
      <c r="I32" s="11">
        <f t="shared" si="1"/>
        <v>63.181669999999997</v>
      </c>
      <c r="J32" s="12">
        <f t="shared" si="2"/>
        <v>0</v>
      </c>
      <c r="K32" s="262">
        <f t="shared" ref="K32" si="93">E32+E33</f>
        <v>70.172269999999997</v>
      </c>
      <c r="L32" s="262">
        <f t="shared" ref="L32" si="94">F32+F33</f>
        <v>0</v>
      </c>
      <c r="M32" s="262">
        <f t="shared" ref="M32" si="95">K32+L32</f>
        <v>70.172269999999997</v>
      </c>
      <c r="N32" s="262">
        <f t="shared" ref="N32" si="96">H32+H33</f>
        <v>0</v>
      </c>
      <c r="O32" s="262">
        <f t="shared" ref="O32" si="97">M32-N32</f>
        <v>70.172269999999997</v>
      </c>
      <c r="P32" s="263">
        <f t="shared" ref="P32" si="98">N32/M32</f>
        <v>0</v>
      </c>
    </row>
    <row r="33" spans="2:16" ht="13.8" x14ac:dyDescent="0.3">
      <c r="B33" s="350"/>
      <c r="C33" s="261"/>
      <c r="D33" s="94" t="s">
        <v>42</v>
      </c>
      <c r="E33" s="224">
        <v>6.9905999999999997</v>
      </c>
      <c r="F33" s="69"/>
      <c r="G33" s="11">
        <f t="shared" ref="G33" si="99">E33+F33+I32</f>
        <v>70.172269999999997</v>
      </c>
      <c r="H33" s="4"/>
      <c r="I33" s="11">
        <f t="shared" si="1"/>
        <v>70.172269999999997</v>
      </c>
      <c r="J33" s="12">
        <f t="shared" si="2"/>
        <v>0</v>
      </c>
      <c r="K33" s="262"/>
      <c r="L33" s="262"/>
      <c r="M33" s="262"/>
      <c r="N33" s="262"/>
      <c r="O33" s="262"/>
      <c r="P33" s="263"/>
    </row>
    <row r="34" spans="2:16" ht="13.8" x14ac:dyDescent="0.3">
      <c r="B34" s="350"/>
      <c r="C34" s="261" t="s">
        <v>56</v>
      </c>
      <c r="D34" s="94" t="s">
        <v>40</v>
      </c>
      <c r="E34" s="224">
        <v>2.8469999999999999E-2</v>
      </c>
      <c r="F34" s="69"/>
      <c r="G34" s="11">
        <f t="shared" ref="G34" si="100">E34+F34</f>
        <v>2.8469999999999999E-2</v>
      </c>
      <c r="H34" s="4"/>
      <c r="I34" s="11">
        <f t="shared" si="1"/>
        <v>2.8469999999999999E-2</v>
      </c>
      <c r="J34" s="12">
        <f t="shared" si="2"/>
        <v>0</v>
      </c>
      <c r="K34" s="262">
        <f t="shared" ref="K34" si="101">E34+E35</f>
        <v>3.1619999999999995E-2</v>
      </c>
      <c r="L34" s="262">
        <f t="shared" ref="L34" si="102">F34+F35</f>
        <v>0</v>
      </c>
      <c r="M34" s="262">
        <f t="shared" ref="M34" si="103">K34+L34</f>
        <v>3.1619999999999995E-2</v>
      </c>
      <c r="N34" s="262">
        <f t="shared" ref="N34" si="104">H34+H35</f>
        <v>0</v>
      </c>
      <c r="O34" s="262">
        <f t="shared" ref="O34" si="105">M34-N34</f>
        <v>3.1619999999999995E-2</v>
      </c>
      <c r="P34" s="263">
        <f t="shared" ref="P34" si="106">N34/M34</f>
        <v>0</v>
      </c>
    </row>
    <row r="35" spans="2:16" ht="13.8" x14ac:dyDescent="0.3">
      <c r="B35" s="350"/>
      <c r="C35" s="261"/>
      <c r="D35" s="94" t="s">
        <v>42</v>
      </c>
      <c r="E35" s="224">
        <v>3.15E-3</v>
      </c>
      <c r="F35" s="69"/>
      <c r="G35" s="11">
        <f t="shared" ref="G35" si="107">E35+F35+I34</f>
        <v>3.1619999999999995E-2</v>
      </c>
      <c r="H35" s="4"/>
      <c r="I35" s="11">
        <f t="shared" si="1"/>
        <v>3.1619999999999995E-2</v>
      </c>
      <c r="J35" s="12">
        <f t="shared" si="2"/>
        <v>0</v>
      </c>
      <c r="K35" s="262"/>
      <c r="L35" s="262"/>
      <c r="M35" s="262"/>
      <c r="N35" s="262"/>
      <c r="O35" s="262"/>
      <c r="P35" s="263"/>
    </row>
    <row r="36" spans="2:16" ht="13.8" x14ac:dyDescent="0.3">
      <c r="B36" s="350"/>
      <c r="C36" s="261" t="s">
        <v>57</v>
      </c>
      <c r="D36" s="94" t="s">
        <v>40</v>
      </c>
      <c r="E36" s="224">
        <v>363.39695999999998</v>
      </c>
      <c r="F36" s="66">
        <v>73.319999999999993</v>
      </c>
      <c r="G36" s="11">
        <f t="shared" ref="G36" si="108">E36+F36</f>
        <v>436.71695999999997</v>
      </c>
      <c r="H36" s="415">
        <v>0.251</v>
      </c>
      <c r="I36" s="11">
        <f t="shared" si="1"/>
        <v>436.46596</v>
      </c>
      <c r="J36" s="12">
        <f t="shared" si="2"/>
        <v>5.7474296395541868E-4</v>
      </c>
      <c r="K36" s="262">
        <f t="shared" ref="K36" si="109">E36+E37</f>
        <v>403.60420999999997</v>
      </c>
      <c r="L36" s="262">
        <f t="shared" ref="L36" si="110">F36+F37</f>
        <v>73.319999999999993</v>
      </c>
      <c r="M36" s="262">
        <f t="shared" ref="M36" si="111">K36+L36</f>
        <v>476.92420999999996</v>
      </c>
      <c r="N36" s="262">
        <f t="shared" ref="N36" si="112">H36+H37</f>
        <v>0.251</v>
      </c>
      <c r="O36" s="262">
        <f t="shared" ref="O36" si="113">M36-N36</f>
        <v>476.67320999999998</v>
      </c>
      <c r="P36" s="263">
        <f t="shared" ref="P36" si="114">N36/M36</f>
        <v>5.2628907221967196E-4</v>
      </c>
    </row>
    <row r="37" spans="2:16" ht="13.8" x14ac:dyDescent="0.3">
      <c r="B37" s="350"/>
      <c r="C37" s="261"/>
      <c r="D37" s="94" t="s">
        <v>42</v>
      </c>
      <c r="E37" s="224">
        <v>40.207250000000002</v>
      </c>
      <c r="F37" s="69"/>
      <c r="G37" s="11">
        <f t="shared" ref="G37" si="115">E37+F37+I36</f>
        <v>476.67320999999998</v>
      </c>
      <c r="H37" s="4"/>
      <c r="I37" s="11">
        <f t="shared" si="1"/>
        <v>476.67320999999998</v>
      </c>
      <c r="J37" s="12">
        <f t="shared" si="2"/>
        <v>0</v>
      </c>
      <c r="K37" s="262"/>
      <c r="L37" s="262"/>
      <c r="M37" s="262"/>
      <c r="N37" s="262"/>
      <c r="O37" s="262"/>
      <c r="P37" s="263"/>
    </row>
    <row r="38" spans="2:16" ht="13.8" x14ac:dyDescent="0.3">
      <c r="B38" s="350"/>
      <c r="C38" s="261" t="s">
        <v>58</v>
      </c>
      <c r="D38" s="94" t="s">
        <v>40</v>
      </c>
      <c r="E38" s="224">
        <v>0.16427</v>
      </c>
      <c r="F38" s="69"/>
      <c r="G38" s="11">
        <f t="shared" ref="G38" si="116">E38+F38</f>
        <v>0.16427</v>
      </c>
      <c r="H38" s="4"/>
      <c r="I38" s="11">
        <f t="shared" si="1"/>
        <v>0.16427</v>
      </c>
      <c r="J38" s="12">
        <f t="shared" si="2"/>
        <v>0</v>
      </c>
      <c r="K38" s="262">
        <f t="shared" ref="K38" si="117">E38+E39</f>
        <v>0.18245</v>
      </c>
      <c r="L38" s="262">
        <f t="shared" ref="L38" si="118">F38+F39</f>
        <v>0</v>
      </c>
      <c r="M38" s="262">
        <f t="shared" ref="M38" si="119">K38+L38</f>
        <v>0.18245</v>
      </c>
      <c r="N38" s="262">
        <f t="shared" ref="N38" si="120">H38+H39</f>
        <v>0</v>
      </c>
      <c r="O38" s="262">
        <f t="shared" ref="O38" si="121">M38-N38</f>
        <v>0.18245</v>
      </c>
      <c r="P38" s="263">
        <f t="shared" ref="P38" si="122">N38/M38</f>
        <v>0</v>
      </c>
    </row>
    <row r="39" spans="2:16" ht="13.8" x14ac:dyDescent="0.3">
      <c r="B39" s="350"/>
      <c r="C39" s="261"/>
      <c r="D39" s="94" t="s">
        <v>42</v>
      </c>
      <c r="E39" s="224">
        <v>1.8180000000000002E-2</v>
      </c>
      <c r="F39" s="69"/>
      <c r="G39" s="11">
        <f t="shared" ref="G39" si="123">E39+F39+I38</f>
        <v>0.18245</v>
      </c>
      <c r="H39" s="4"/>
      <c r="I39" s="11">
        <f t="shared" si="1"/>
        <v>0.18245</v>
      </c>
      <c r="J39" s="12">
        <f t="shared" si="2"/>
        <v>0</v>
      </c>
      <c r="K39" s="262"/>
      <c r="L39" s="262"/>
      <c r="M39" s="262"/>
      <c r="N39" s="262"/>
      <c r="O39" s="262"/>
      <c r="P39" s="263"/>
    </row>
    <row r="40" spans="2:16" ht="13.8" x14ac:dyDescent="0.3">
      <c r="B40" s="350"/>
      <c r="C40" s="261" t="s">
        <v>59</v>
      </c>
      <c r="D40" s="94" t="s">
        <v>40</v>
      </c>
      <c r="E40" s="224">
        <v>100.43485</v>
      </c>
      <c r="F40" s="69"/>
      <c r="G40" s="11">
        <f t="shared" ref="G40" si="124">E40+F40</f>
        <v>100.43485</v>
      </c>
      <c r="H40" s="415">
        <v>103.072</v>
      </c>
      <c r="I40" s="11">
        <f t="shared" si="1"/>
        <v>-2.6371500000000054</v>
      </c>
      <c r="J40" s="12">
        <f t="shared" si="2"/>
        <v>1.0262573200437897</v>
      </c>
      <c r="K40" s="262">
        <f t="shared" ref="K40" si="125">E40+E41</f>
        <v>111.54724</v>
      </c>
      <c r="L40" s="262">
        <f t="shared" ref="L40" si="126">F40+F41</f>
        <v>0</v>
      </c>
      <c r="M40" s="262">
        <f t="shared" ref="M40" si="127">K40+L40</f>
        <v>111.54724</v>
      </c>
      <c r="N40" s="262">
        <f t="shared" ref="N40" si="128">H40+H41</f>
        <v>103.072</v>
      </c>
      <c r="O40" s="262">
        <f t="shared" ref="O40" si="129">M40-N40</f>
        <v>8.4752399999999994</v>
      </c>
      <c r="P40" s="263">
        <f t="shared" ref="P40" si="130">N40/M40</f>
        <v>0.92402106945900231</v>
      </c>
    </row>
    <row r="41" spans="2:16" ht="13.8" x14ac:dyDescent="0.3">
      <c r="B41" s="350"/>
      <c r="C41" s="261"/>
      <c r="D41" s="94" t="s">
        <v>42</v>
      </c>
      <c r="E41" s="225">
        <v>11.11239</v>
      </c>
      <c r="F41" s="69"/>
      <c r="G41" s="11">
        <f t="shared" ref="G41" si="131">E41+F41+I40</f>
        <v>8.4752399999999941</v>
      </c>
      <c r="H41" s="4"/>
      <c r="I41" s="11">
        <f t="shared" si="1"/>
        <v>8.4752399999999941</v>
      </c>
      <c r="J41" s="12">
        <f t="shared" si="2"/>
        <v>0</v>
      </c>
      <c r="K41" s="262"/>
      <c r="L41" s="262"/>
      <c r="M41" s="262"/>
      <c r="N41" s="262"/>
      <c r="O41" s="262"/>
      <c r="P41" s="263"/>
    </row>
    <row r="42" spans="2:16" ht="13.8" x14ac:dyDescent="0.3">
      <c r="B42" s="350"/>
      <c r="C42" s="261" t="s">
        <v>60</v>
      </c>
      <c r="D42" s="94" t="s">
        <v>40</v>
      </c>
      <c r="E42" s="225">
        <v>9.4990000000000005E-2</v>
      </c>
      <c r="F42" s="69"/>
      <c r="G42" s="11">
        <f t="shared" ref="G42" si="132">E42+F42</f>
        <v>9.4990000000000005E-2</v>
      </c>
      <c r="H42" s="4"/>
      <c r="I42" s="11">
        <f t="shared" si="1"/>
        <v>9.4990000000000005E-2</v>
      </c>
      <c r="J42" s="12">
        <f t="shared" si="2"/>
        <v>0</v>
      </c>
      <c r="K42" s="262">
        <f t="shared" ref="K42" si="133">E42+E43</f>
        <v>0.10550000000000001</v>
      </c>
      <c r="L42" s="262">
        <f t="shared" ref="L42" si="134">F42+F43</f>
        <v>0</v>
      </c>
      <c r="M42" s="262">
        <f t="shared" ref="M42" si="135">K42+L42</f>
        <v>0.10550000000000001</v>
      </c>
      <c r="N42" s="262">
        <f t="shared" ref="N42" si="136">H42+H43</f>
        <v>0</v>
      </c>
      <c r="O42" s="262">
        <f t="shared" ref="O42" si="137">M42-N42</f>
        <v>0.10550000000000001</v>
      </c>
      <c r="P42" s="263">
        <f t="shared" ref="P42" si="138">N42/M42</f>
        <v>0</v>
      </c>
    </row>
    <row r="43" spans="2:16" ht="13.8" x14ac:dyDescent="0.3">
      <c r="B43" s="350"/>
      <c r="C43" s="261"/>
      <c r="D43" s="94" t="s">
        <v>42</v>
      </c>
      <c r="E43" s="225">
        <v>1.051E-2</v>
      </c>
      <c r="F43" s="69"/>
      <c r="G43" s="11">
        <f t="shared" ref="G43" si="139">E43+F43+I42</f>
        <v>0.10550000000000001</v>
      </c>
      <c r="H43" s="4"/>
      <c r="I43" s="11">
        <f t="shared" si="1"/>
        <v>0.10550000000000001</v>
      </c>
      <c r="J43" s="12">
        <f t="shared" si="2"/>
        <v>0</v>
      </c>
      <c r="K43" s="262"/>
      <c r="L43" s="262"/>
      <c r="M43" s="262"/>
      <c r="N43" s="262"/>
      <c r="O43" s="262"/>
      <c r="P43" s="263"/>
    </row>
    <row r="44" spans="2:16" ht="13.8" x14ac:dyDescent="0.3">
      <c r="B44" s="350"/>
      <c r="C44" s="261" t="s">
        <v>61</v>
      </c>
      <c r="D44" s="94" t="s">
        <v>40</v>
      </c>
      <c r="E44" s="225">
        <v>1.907E-2</v>
      </c>
      <c r="F44" s="69"/>
      <c r="G44" s="11">
        <f t="shared" ref="G44" si="140">E44+F44</f>
        <v>1.907E-2</v>
      </c>
      <c r="H44" s="4"/>
      <c r="I44" s="11">
        <f t="shared" si="1"/>
        <v>1.907E-2</v>
      </c>
      <c r="J44" s="12">
        <f t="shared" si="2"/>
        <v>0</v>
      </c>
      <c r="K44" s="262">
        <f t="shared" ref="K44" si="141">E44+E45</f>
        <v>2.1180000000000001E-2</v>
      </c>
      <c r="L44" s="262">
        <f t="shared" ref="L44" si="142">F44+F45</f>
        <v>0</v>
      </c>
      <c r="M44" s="262">
        <f t="shared" ref="M44" si="143">K44+L44</f>
        <v>2.1180000000000001E-2</v>
      </c>
      <c r="N44" s="262">
        <f t="shared" ref="N44" si="144">H44+H45</f>
        <v>0</v>
      </c>
      <c r="O44" s="262">
        <f t="shared" ref="O44" si="145">M44-N44</f>
        <v>2.1180000000000001E-2</v>
      </c>
      <c r="P44" s="263">
        <f t="shared" ref="P44" si="146">N44/M44</f>
        <v>0</v>
      </c>
    </row>
    <row r="45" spans="2:16" ht="13.8" x14ac:dyDescent="0.3">
      <c r="B45" s="350"/>
      <c r="C45" s="261"/>
      <c r="D45" s="94" t="s">
        <v>42</v>
      </c>
      <c r="E45" s="225">
        <v>2.1099999999999999E-3</v>
      </c>
      <c r="F45" s="69"/>
      <c r="G45" s="11">
        <f t="shared" ref="G45" si="147">E45+F45+I44</f>
        <v>2.1180000000000001E-2</v>
      </c>
      <c r="H45" s="4"/>
      <c r="I45" s="11">
        <f t="shared" si="1"/>
        <v>2.1180000000000001E-2</v>
      </c>
      <c r="J45" s="12">
        <f t="shared" si="2"/>
        <v>0</v>
      </c>
      <c r="K45" s="262"/>
      <c r="L45" s="262"/>
      <c r="M45" s="262"/>
      <c r="N45" s="262"/>
      <c r="O45" s="262"/>
      <c r="P45" s="263"/>
    </row>
    <row r="46" spans="2:16" ht="13.8" x14ac:dyDescent="0.3">
      <c r="B46" s="350"/>
      <c r="C46" s="261" t="s">
        <v>62</v>
      </c>
      <c r="D46" s="94" t="s">
        <v>40</v>
      </c>
      <c r="E46" s="225">
        <v>71.403329999999997</v>
      </c>
      <c r="F46" s="69"/>
      <c r="G46" s="11">
        <f t="shared" ref="G46" si="148">E46+F46</f>
        <v>71.403329999999997</v>
      </c>
      <c r="H46" s="4"/>
      <c r="I46" s="11">
        <f t="shared" si="1"/>
        <v>71.403329999999997</v>
      </c>
      <c r="J46" s="12">
        <f t="shared" si="2"/>
        <v>0</v>
      </c>
      <c r="K46" s="262">
        <f t="shared" ref="K46" si="149">E46+E47</f>
        <v>79.30359</v>
      </c>
      <c r="L46" s="262">
        <f t="shared" ref="L46" si="150">F46+F47</f>
        <v>0</v>
      </c>
      <c r="M46" s="262">
        <f t="shared" ref="M46" si="151">K46+L46</f>
        <v>79.30359</v>
      </c>
      <c r="N46" s="262">
        <f t="shared" ref="N46" si="152">H46+H47</f>
        <v>0</v>
      </c>
      <c r="O46" s="262">
        <f t="shared" ref="O46" si="153">M46-N46</f>
        <v>79.30359</v>
      </c>
      <c r="P46" s="263">
        <f t="shared" ref="P46" si="154">N46/M46</f>
        <v>0</v>
      </c>
    </row>
    <row r="47" spans="2:16" ht="13.8" x14ac:dyDescent="0.3">
      <c r="B47" s="350"/>
      <c r="C47" s="261"/>
      <c r="D47" s="94" t="s">
        <v>42</v>
      </c>
      <c r="E47" s="225">
        <v>7.9002600000000003</v>
      </c>
      <c r="F47" s="69"/>
      <c r="G47" s="11">
        <f t="shared" ref="G47" si="155">E47+F47+I46</f>
        <v>79.30359</v>
      </c>
      <c r="H47" s="4"/>
      <c r="I47" s="11">
        <f t="shared" si="1"/>
        <v>79.30359</v>
      </c>
      <c r="J47" s="12">
        <f t="shared" si="2"/>
        <v>0</v>
      </c>
      <c r="K47" s="262"/>
      <c r="L47" s="262"/>
      <c r="M47" s="262"/>
      <c r="N47" s="262"/>
      <c r="O47" s="262"/>
      <c r="P47" s="263"/>
    </row>
    <row r="48" spans="2:16" ht="13.8" x14ac:dyDescent="0.3">
      <c r="B48" s="350"/>
      <c r="C48" s="261" t="s">
        <v>67</v>
      </c>
      <c r="D48" s="94" t="s">
        <v>40</v>
      </c>
      <c r="E48" s="225">
        <v>0.37959999999999999</v>
      </c>
      <c r="F48" s="69"/>
      <c r="G48" s="11">
        <f t="shared" ref="G48" si="156">E48+F48</f>
        <v>0.37959999999999999</v>
      </c>
      <c r="H48" s="4"/>
      <c r="I48" s="11">
        <f t="shared" ref="I48:I49" si="157">G48-H48</f>
        <v>0.37959999999999999</v>
      </c>
      <c r="J48" s="12">
        <f t="shared" ref="J48:J51" si="158">H48/G48</f>
        <v>0</v>
      </c>
      <c r="K48" s="262">
        <f t="shared" ref="K48" si="159">E48+E49</f>
        <v>0.42159999999999997</v>
      </c>
      <c r="L48" s="262">
        <f t="shared" ref="L48" si="160">F48+F49</f>
        <v>0</v>
      </c>
      <c r="M48" s="262">
        <f t="shared" ref="M48" si="161">K48+L48</f>
        <v>0.42159999999999997</v>
      </c>
      <c r="N48" s="262">
        <f t="shared" ref="N48" si="162">H48+H49</f>
        <v>0</v>
      </c>
      <c r="O48" s="262">
        <f t="shared" ref="O48" si="163">M48-N48</f>
        <v>0.42159999999999997</v>
      </c>
      <c r="P48" s="263">
        <f t="shared" ref="P48" si="164">N48/M48</f>
        <v>0</v>
      </c>
    </row>
    <row r="49" spans="2:39" ht="13.8" x14ac:dyDescent="0.3">
      <c r="B49" s="350"/>
      <c r="C49" s="261"/>
      <c r="D49" s="94" t="s">
        <v>42</v>
      </c>
      <c r="E49" s="225">
        <v>4.2000000000000003E-2</v>
      </c>
      <c r="F49" s="69"/>
      <c r="G49" s="11">
        <f t="shared" ref="G49" si="165">E49+F49+I48</f>
        <v>0.42159999999999997</v>
      </c>
      <c r="H49" s="4"/>
      <c r="I49" s="11">
        <f t="shared" si="157"/>
        <v>0.42159999999999997</v>
      </c>
      <c r="J49" s="12">
        <f t="shared" si="158"/>
        <v>0</v>
      </c>
      <c r="K49" s="262"/>
      <c r="L49" s="262"/>
      <c r="M49" s="262"/>
      <c r="N49" s="262"/>
      <c r="O49" s="262"/>
      <c r="P49" s="263"/>
    </row>
    <row r="50" spans="2:39" ht="13.8" x14ac:dyDescent="0.3">
      <c r="B50" s="350"/>
      <c r="C50" s="261" t="s">
        <v>64</v>
      </c>
      <c r="D50" s="94" t="s">
        <v>40</v>
      </c>
      <c r="E50" s="224">
        <v>0.38918000000000003</v>
      </c>
      <c r="F50" s="69"/>
      <c r="G50" s="11">
        <f t="shared" ref="G50" si="166">E50+F50</f>
        <v>0.38918000000000003</v>
      </c>
      <c r="H50" s="4"/>
      <c r="I50" s="11">
        <f t="shared" ref="I50:I51" si="167">G50-H50</f>
        <v>0.38918000000000003</v>
      </c>
      <c r="J50" s="12">
        <f t="shared" si="158"/>
        <v>0</v>
      </c>
      <c r="K50" s="262">
        <f t="shared" ref="K50" si="168">E50+E51</f>
        <v>0.43224000000000001</v>
      </c>
      <c r="L50" s="262">
        <f t="shared" ref="L50" si="169">F50+F51</f>
        <v>0</v>
      </c>
      <c r="M50" s="262">
        <f t="shared" ref="M50" si="170">K50+L50</f>
        <v>0.43224000000000001</v>
      </c>
      <c r="N50" s="262">
        <f t="shared" ref="N50" si="171">H50+H51</f>
        <v>0</v>
      </c>
      <c r="O50" s="262">
        <f t="shared" ref="O50" si="172">M50-N50</f>
        <v>0.43224000000000001</v>
      </c>
      <c r="P50" s="263">
        <f t="shared" ref="P50" si="173">N50/M50</f>
        <v>0</v>
      </c>
    </row>
    <row r="51" spans="2:39" ht="13.8" x14ac:dyDescent="0.3">
      <c r="B51" s="350"/>
      <c r="C51" s="261"/>
      <c r="D51" s="94" t="s">
        <v>42</v>
      </c>
      <c r="E51" s="224">
        <v>4.3060000000000001E-2</v>
      </c>
      <c r="F51" s="69"/>
      <c r="G51" s="11">
        <f t="shared" ref="G51" si="174">E51+F51+I50</f>
        <v>0.43224000000000001</v>
      </c>
      <c r="H51" s="4"/>
      <c r="I51" s="11">
        <f t="shared" si="167"/>
        <v>0.43224000000000001</v>
      </c>
      <c r="J51" s="12">
        <f t="shared" si="158"/>
        <v>0</v>
      </c>
      <c r="K51" s="262"/>
      <c r="L51" s="262"/>
      <c r="M51" s="262"/>
      <c r="N51" s="262"/>
      <c r="O51" s="262"/>
      <c r="P51" s="263"/>
    </row>
    <row r="52" spans="2:39" ht="13.8" x14ac:dyDescent="0.3">
      <c r="B52" s="350"/>
      <c r="C52" s="352" t="s">
        <v>65</v>
      </c>
      <c r="D52" s="94" t="s">
        <v>40</v>
      </c>
      <c r="E52" s="225">
        <v>5.6939999999999998E-2</v>
      </c>
      <c r="F52" s="69"/>
      <c r="G52" s="11">
        <f t="shared" ref="G52" si="175">E52+F52</f>
        <v>5.6939999999999998E-2</v>
      </c>
      <c r="H52" s="4"/>
      <c r="I52" s="11">
        <f t="shared" ref="I52:I53" si="176">G52-H52</f>
        <v>5.6939999999999998E-2</v>
      </c>
      <c r="J52" s="12">
        <f t="shared" ref="J52:J53" si="177">H52/G52</f>
        <v>0</v>
      </c>
      <c r="K52" s="262">
        <f t="shared" ref="K52" si="178">E52+E53</f>
        <v>6.3239999999999991E-2</v>
      </c>
      <c r="L52" s="262">
        <f t="shared" ref="L52" si="179">F52+F53</f>
        <v>0</v>
      </c>
      <c r="M52" s="262">
        <f t="shared" ref="M52" si="180">K52+L52</f>
        <v>6.3239999999999991E-2</v>
      </c>
      <c r="N52" s="262">
        <f t="shared" ref="N52" si="181">H52+H53</f>
        <v>0</v>
      </c>
      <c r="O52" s="262">
        <f t="shared" ref="O52" si="182">M52-N52</f>
        <v>6.3239999999999991E-2</v>
      </c>
      <c r="P52" s="263">
        <f t="shared" ref="P52" si="183">N52/M52</f>
        <v>0</v>
      </c>
    </row>
    <row r="53" spans="2:39" ht="15.75" customHeight="1" thickBot="1" x14ac:dyDescent="0.35">
      <c r="B53" s="351"/>
      <c r="C53" s="353"/>
      <c r="D53" s="94" t="s">
        <v>42</v>
      </c>
      <c r="E53" s="225">
        <v>6.3E-3</v>
      </c>
      <c r="F53" s="206"/>
      <c r="G53" s="11">
        <f t="shared" ref="G53" si="184">E53+F53+I52</f>
        <v>6.3239999999999991E-2</v>
      </c>
      <c r="H53" s="4"/>
      <c r="I53" s="11">
        <f t="shared" si="176"/>
        <v>6.3239999999999991E-2</v>
      </c>
      <c r="J53" s="12">
        <f t="shared" si="177"/>
        <v>0</v>
      </c>
      <c r="K53" s="262"/>
      <c r="L53" s="262"/>
      <c r="M53" s="262"/>
      <c r="N53" s="262"/>
      <c r="O53" s="262"/>
      <c r="P53" s="263"/>
    </row>
    <row r="54" spans="2:39" ht="15.75" customHeight="1" thickBot="1" x14ac:dyDescent="0.35">
      <c r="B54" s="354" t="s">
        <v>22</v>
      </c>
      <c r="C54" s="355"/>
      <c r="D54" s="356"/>
      <c r="E54" s="208">
        <f>SUM(E6:E53)</f>
        <v>1108.9998999999998</v>
      </c>
      <c r="F54" s="76">
        <f>SUM(F6:F53)</f>
        <v>73.319999999999993</v>
      </c>
      <c r="G54" s="76">
        <f>E54+F54</f>
        <v>1182.3198999999997</v>
      </c>
      <c r="H54" s="76">
        <f>SUM(H6:H53)</f>
        <v>447.53100000000001</v>
      </c>
      <c r="I54" s="76">
        <f>G54-H54</f>
        <v>734.78889999999978</v>
      </c>
      <c r="J54" s="77">
        <f>H54/G54</f>
        <v>0.37851938379790451</v>
      </c>
      <c r="K54" s="76">
        <f>SUM(K6:K53)</f>
        <v>1108.9998999999998</v>
      </c>
      <c r="L54" s="76">
        <f>SUM(L6:L53)</f>
        <v>73.319999999999993</v>
      </c>
      <c r="M54" s="76">
        <f>K54+L54</f>
        <v>1182.3198999999997</v>
      </c>
      <c r="N54" s="76">
        <f>SUM(N6:N53)</f>
        <v>447.53100000000001</v>
      </c>
      <c r="O54" s="76">
        <f>M54-N54</f>
        <v>734.78889999999978</v>
      </c>
      <c r="P54" s="78">
        <f>N54/M54</f>
        <v>0.37851938379790451</v>
      </c>
    </row>
    <row r="59" spans="2:39" x14ac:dyDescent="0.25">
      <c r="B59" s="2"/>
      <c r="C59" s="2"/>
      <c r="D59" s="2"/>
      <c r="E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2:39" x14ac:dyDescent="0.25"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2:39" ht="14.4" hidden="1" thickBot="1" x14ac:dyDescent="0.35">
      <c r="B61" s="2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  <c r="O61" s="2"/>
      <c r="P61" s="100"/>
      <c r="Q61" s="101"/>
      <c r="R61" s="101"/>
      <c r="S61" s="101"/>
      <c r="T61" s="101"/>
      <c r="U61" s="101"/>
      <c r="V61" s="101"/>
      <c r="W61" s="101"/>
      <c r="X61" s="102"/>
      <c r="Y61" s="2"/>
      <c r="Z61" s="2"/>
      <c r="AA61" s="2"/>
      <c r="AB61" s="2"/>
      <c r="AC61" s="2"/>
    </row>
    <row r="62" spans="2:39" ht="16.2" hidden="1" thickBot="1" x14ac:dyDescent="0.35">
      <c r="B62" s="101"/>
      <c r="C62" s="276" t="s">
        <v>68</v>
      </c>
      <c r="D62" s="277"/>
      <c r="E62" s="103" t="s">
        <v>40</v>
      </c>
      <c r="F62" s="103" t="s">
        <v>42</v>
      </c>
      <c r="G62" s="282" t="s">
        <v>69</v>
      </c>
      <c r="H62" s="285">
        <v>48</v>
      </c>
      <c r="I62" s="288" t="s">
        <v>70</v>
      </c>
      <c r="J62" s="289"/>
      <c r="K62" s="103" t="s">
        <v>40</v>
      </c>
      <c r="L62" s="103" t="s">
        <v>42</v>
      </c>
      <c r="M62" s="282" t="s">
        <v>69</v>
      </c>
      <c r="N62" s="294">
        <v>903</v>
      </c>
      <c r="O62" s="101"/>
      <c r="P62" s="297" t="s">
        <v>68</v>
      </c>
      <c r="Q62" s="298"/>
      <c r="R62" s="104" t="s">
        <v>71</v>
      </c>
      <c r="S62" s="105" t="s">
        <v>71</v>
      </c>
      <c r="T62" s="152" t="s">
        <v>71</v>
      </c>
      <c r="U62" s="160" t="s">
        <v>72</v>
      </c>
      <c r="V62" s="106" t="s">
        <v>72</v>
      </c>
      <c r="W62" s="106" t="s">
        <v>72</v>
      </c>
      <c r="X62" s="106" t="s">
        <v>72</v>
      </c>
      <c r="Y62" s="106" t="s">
        <v>72</v>
      </c>
      <c r="Z62" s="106" t="s">
        <v>72</v>
      </c>
      <c r="AA62" s="106" t="s">
        <v>72</v>
      </c>
      <c r="AB62" s="106" t="s">
        <v>72</v>
      </c>
      <c r="AC62" s="106" t="s">
        <v>72</v>
      </c>
      <c r="AD62" s="106" t="s">
        <v>72</v>
      </c>
      <c r="AE62" s="106" t="s">
        <v>72</v>
      </c>
      <c r="AF62" s="107" t="s">
        <v>72</v>
      </c>
      <c r="AG62" s="299" t="s">
        <v>73</v>
      </c>
      <c r="AH62" s="300"/>
      <c r="AI62" s="101"/>
      <c r="AJ62" s="2"/>
      <c r="AK62" s="2"/>
      <c r="AL62" s="2"/>
      <c r="AM62" s="2"/>
    </row>
    <row r="63" spans="2:39" ht="13.5" hidden="1" customHeight="1" thickBot="1" x14ac:dyDescent="0.35">
      <c r="B63" s="101"/>
      <c r="C63" s="278"/>
      <c r="D63" s="279"/>
      <c r="E63" s="301">
        <v>43</v>
      </c>
      <c r="F63" s="301">
        <v>5</v>
      </c>
      <c r="G63" s="283"/>
      <c r="H63" s="286"/>
      <c r="I63" s="290"/>
      <c r="J63" s="291"/>
      <c r="K63" s="301">
        <v>813</v>
      </c>
      <c r="L63" s="301">
        <v>90</v>
      </c>
      <c r="M63" s="283"/>
      <c r="N63" s="295"/>
      <c r="O63" s="108"/>
      <c r="P63" s="274" t="s">
        <v>54</v>
      </c>
      <c r="Q63" s="99" t="s">
        <v>40</v>
      </c>
      <c r="R63" s="153">
        <v>14.29665</v>
      </c>
      <c r="S63" s="72"/>
      <c r="T63" s="154"/>
      <c r="U63" s="143">
        <v>0.41925000000000001</v>
      </c>
      <c r="V63" s="109">
        <v>0.41925000000000001</v>
      </c>
      <c r="W63" s="109">
        <v>8.5999999999999993E-2</v>
      </c>
      <c r="X63" s="109">
        <v>0.61275000000000002</v>
      </c>
      <c r="Y63" s="110"/>
      <c r="Z63" s="110"/>
      <c r="AA63" s="110"/>
      <c r="AB63" s="110"/>
      <c r="AC63" s="110"/>
      <c r="AD63" s="110"/>
      <c r="AE63" s="110"/>
      <c r="AF63" s="156"/>
      <c r="AG63" s="303">
        <f>SUM(R63:AF63)</f>
        <v>15.8339</v>
      </c>
      <c r="AH63" s="304"/>
      <c r="AI63" s="2"/>
      <c r="AJ63" s="101"/>
      <c r="AK63" s="101"/>
      <c r="AL63" s="111"/>
      <c r="AM63" s="2"/>
    </row>
    <row r="64" spans="2:39" ht="13.5" hidden="1" customHeight="1" thickBot="1" x14ac:dyDescent="0.35">
      <c r="B64" s="101"/>
      <c r="C64" s="280"/>
      <c r="D64" s="281"/>
      <c r="E64" s="302"/>
      <c r="F64" s="302"/>
      <c r="G64" s="284"/>
      <c r="H64" s="287"/>
      <c r="I64" s="292"/>
      <c r="J64" s="293"/>
      <c r="K64" s="302"/>
      <c r="L64" s="302"/>
      <c r="M64" s="284"/>
      <c r="N64" s="296"/>
      <c r="O64" s="112"/>
      <c r="P64" s="266"/>
      <c r="Q64" s="97" t="s">
        <v>42</v>
      </c>
      <c r="R64" s="147">
        <v>1.6624000000000001</v>
      </c>
      <c r="S64" s="113"/>
      <c r="T64" s="155"/>
      <c r="U64" s="126">
        <v>4.8750000000000002E-2</v>
      </c>
      <c r="V64" s="139">
        <v>4.8750000000000002E-2</v>
      </c>
      <c r="W64" s="139">
        <v>0.01</v>
      </c>
      <c r="X64" s="139">
        <v>7.1249999999999994E-2</v>
      </c>
      <c r="Y64" s="114"/>
      <c r="Z64" s="114"/>
      <c r="AA64" s="114"/>
      <c r="AB64" s="114"/>
      <c r="AC64" s="114"/>
      <c r="AD64" s="114"/>
      <c r="AE64" s="114"/>
      <c r="AF64" s="128"/>
      <c r="AG64" s="305">
        <f t="shared" ref="AG64:AG88" si="185">SUM(R64:AF64)</f>
        <v>1.8411500000000003</v>
      </c>
      <c r="AH64" s="306"/>
      <c r="AI64" s="2"/>
      <c r="AJ64" s="323" t="s">
        <v>74</v>
      </c>
      <c r="AK64" s="115" t="s">
        <v>75</v>
      </c>
      <c r="AL64" s="116"/>
      <c r="AM64" s="2"/>
    </row>
    <row r="65" spans="2:39" ht="28.2" hidden="1" thickBot="1" x14ac:dyDescent="0.35">
      <c r="B65" s="117"/>
      <c r="C65" s="118" t="s">
        <v>76</v>
      </c>
      <c r="D65" s="119" t="s">
        <v>77</v>
      </c>
      <c r="E65" s="119" t="s">
        <v>78</v>
      </c>
      <c r="F65" s="120" t="s">
        <v>79</v>
      </c>
      <c r="G65" s="120" t="s">
        <v>80</v>
      </c>
      <c r="H65" s="121" t="s">
        <v>81</v>
      </c>
      <c r="I65" s="122" t="s">
        <v>76</v>
      </c>
      <c r="J65" s="119" t="s">
        <v>77</v>
      </c>
      <c r="K65" s="119" t="s">
        <v>78</v>
      </c>
      <c r="L65" s="120" t="s">
        <v>79</v>
      </c>
      <c r="M65" s="120" t="s">
        <v>80</v>
      </c>
      <c r="N65" s="121" t="s">
        <v>81</v>
      </c>
      <c r="O65" s="101"/>
      <c r="P65" s="266" t="s">
        <v>55</v>
      </c>
      <c r="Q65" s="97" t="s">
        <v>40</v>
      </c>
      <c r="R65" s="143">
        <v>0.25212000000000001</v>
      </c>
      <c r="S65" s="110">
        <v>2.3333499999999998</v>
      </c>
      <c r="T65" s="156"/>
      <c r="U65" s="126">
        <v>0.27734999999999999</v>
      </c>
      <c r="V65" s="139"/>
      <c r="W65" s="139"/>
      <c r="X65" s="139"/>
      <c r="Y65" s="114"/>
      <c r="Z65" s="114"/>
      <c r="AA65" s="114"/>
      <c r="AB65" s="114"/>
      <c r="AC65" s="114"/>
      <c r="AD65" s="114"/>
      <c r="AE65" s="114"/>
      <c r="AF65" s="128"/>
      <c r="AG65" s="305">
        <f t="shared" si="185"/>
        <v>2.8628200000000001</v>
      </c>
      <c r="AH65" s="306"/>
      <c r="AI65" s="2"/>
      <c r="AJ65" s="324"/>
      <c r="AK65" s="123" t="s">
        <v>82</v>
      </c>
      <c r="AL65" s="124"/>
      <c r="AM65" s="2"/>
    </row>
    <row r="66" spans="2:39" ht="28.2" hidden="1" thickBot="1" x14ac:dyDescent="0.35">
      <c r="B66" s="125">
        <v>1</v>
      </c>
      <c r="C66" s="143">
        <v>15.95905</v>
      </c>
      <c r="D66" s="150">
        <f>E66*$H$62</f>
        <v>15.959054399999999</v>
      </c>
      <c r="E66" s="148">
        <v>0.33248030000000001</v>
      </c>
      <c r="F66" s="4">
        <v>0.108</v>
      </c>
      <c r="G66" s="149">
        <f>H66*$H$62</f>
        <v>0.10799999999999998</v>
      </c>
      <c r="H66" s="145">
        <v>2.2499999999999998E-3</v>
      </c>
      <c r="I66" s="144">
        <v>300.22971000000001</v>
      </c>
      <c r="J66" s="144">
        <f>$N$62*K66</f>
        <v>300.22971089999999</v>
      </c>
      <c r="K66" s="148">
        <v>0.33248030000000001</v>
      </c>
      <c r="L66" s="144">
        <v>2.0317500000000002</v>
      </c>
      <c r="M66" s="144">
        <f>$N$62*N66</f>
        <v>2.0317499999999997</v>
      </c>
      <c r="N66" s="145">
        <v>2.2499999999999998E-3</v>
      </c>
      <c r="O66" s="101"/>
      <c r="P66" s="266"/>
      <c r="Q66" s="97" t="s">
        <v>42</v>
      </c>
      <c r="R66" s="126">
        <v>2.9319999999999999E-2</v>
      </c>
      <c r="S66" s="114">
        <v>0.27132000000000001</v>
      </c>
      <c r="T66" s="128"/>
      <c r="U66" s="126">
        <v>3.2250000000000001E-2</v>
      </c>
      <c r="V66" s="139"/>
      <c r="W66" s="139"/>
      <c r="X66" s="139"/>
      <c r="Y66" s="114"/>
      <c r="Z66" s="114"/>
      <c r="AA66" s="114"/>
      <c r="AB66" s="114"/>
      <c r="AC66" s="114"/>
      <c r="AD66" s="114"/>
      <c r="AE66" s="114"/>
      <c r="AF66" s="128"/>
      <c r="AG66" s="305">
        <f t="shared" si="185"/>
        <v>0.33289000000000002</v>
      </c>
      <c r="AH66" s="306"/>
      <c r="AI66" s="101"/>
      <c r="AJ66" s="325"/>
      <c r="AK66" s="129" t="s">
        <v>83</v>
      </c>
      <c r="AL66" s="130">
        <f>SUM(AL64+AL65)</f>
        <v>0</v>
      </c>
      <c r="AM66" s="2"/>
    </row>
    <row r="67" spans="2:39" ht="12.75" hidden="1" customHeight="1" x14ac:dyDescent="0.3">
      <c r="B67" s="125">
        <v>2</v>
      </c>
      <c r="C67" s="143">
        <v>1.4400000000000001E-3</v>
      </c>
      <c r="D67" s="150">
        <f t="shared" ref="D67:D80" si="186">E67*$H$62</f>
        <v>1.4400000000000001E-3</v>
      </c>
      <c r="E67" s="148">
        <v>3.0000000000000001E-5</v>
      </c>
      <c r="F67" s="4">
        <v>3.5999999999999997E-2</v>
      </c>
      <c r="G67" s="149">
        <f t="shared" ref="G67:G90" si="187">H67*$H$62</f>
        <v>3.6000000000000004E-2</v>
      </c>
      <c r="H67" s="145">
        <v>7.5000000000000002E-4</v>
      </c>
      <c r="I67" s="144">
        <v>2.7089999999999999E-2</v>
      </c>
      <c r="J67" s="144">
        <f t="shared" ref="J67:J80" si="188">$N$62*K67</f>
        <v>2.7089999999999999E-2</v>
      </c>
      <c r="K67" s="148">
        <v>3.0000000000000001E-5</v>
      </c>
      <c r="L67" s="144">
        <v>0.67725000000000002</v>
      </c>
      <c r="M67" s="144">
        <f t="shared" ref="M67:M90" si="189">$N$62*N67</f>
        <v>0.67725000000000002</v>
      </c>
      <c r="N67" s="145">
        <v>7.5000000000000002E-4</v>
      </c>
      <c r="O67" s="101"/>
      <c r="P67" s="266" t="s">
        <v>56</v>
      </c>
      <c r="Q67" s="97" t="s">
        <v>40</v>
      </c>
      <c r="R67" s="163">
        <v>1.2899999999999999E-3</v>
      </c>
      <c r="S67" s="114"/>
      <c r="T67" s="128"/>
      <c r="U67" s="126"/>
      <c r="V67" s="139"/>
      <c r="W67" s="139"/>
      <c r="X67" s="139"/>
      <c r="Y67" s="114"/>
      <c r="Z67" s="114"/>
      <c r="AA67" s="114"/>
      <c r="AB67" s="114"/>
      <c r="AC67" s="114"/>
      <c r="AD67" s="114"/>
      <c r="AE67" s="114"/>
      <c r="AF67" s="128"/>
      <c r="AG67" s="326">
        <f t="shared" si="185"/>
        <v>1.2899999999999999E-3</v>
      </c>
      <c r="AH67" s="327"/>
      <c r="AI67" s="101"/>
      <c r="AJ67" s="2"/>
      <c r="AK67" s="2"/>
      <c r="AL67" s="2"/>
      <c r="AM67" s="2"/>
    </row>
    <row r="68" spans="2:39" ht="13.8" hidden="1" x14ac:dyDescent="0.3">
      <c r="B68" s="125">
        <v>3</v>
      </c>
      <c r="C68" s="143">
        <v>16.618860000000002</v>
      </c>
      <c r="D68" s="150">
        <f t="shared" si="186"/>
        <v>16.618857599999998</v>
      </c>
      <c r="E68" s="148">
        <v>0.34622619999999998</v>
      </c>
      <c r="F68" s="4">
        <v>0.18</v>
      </c>
      <c r="G68" s="149">
        <f t="shared" si="187"/>
        <v>0.18</v>
      </c>
      <c r="H68" s="145">
        <v>3.7499999999999999E-3</v>
      </c>
      <c r="I68" s="144">
        <v>312.64226000000002</v>
      </c>
      <c r="J68" s="144">
        <f t="shared" si="188"/>
        <v>312.64225859999999</v>
      </c>
      <c r="K68" s="148">
        <v>0.34622619999999998</v>
      </c>
      <c r="L68" s="144">
        <v>3.38625</v>
      </c>
      <c r="M68" s="144">
        <f t="shared" si="189"/>
        <v>3.38625</v>
      </c>
      <c r="N68" s="145">
        <v>3.7499999999999999E-3</v>
      </c>
      <c r="O68" s="101"/>
      <c r="P68" s="266"/>
      <c r="Q68" s="97" t="s">
        <v>42</v>
      </c>
      <c r="R68" s="163">
        <v>1.4999999999999999E-4</v>
      </c>
      <c r="S68" s="114"/>
      <c r="T68" s="128"/>
      <c r="U68" s="126"/>
      <c r="V68" s="139"/>
      <c r="W68" s="139"/>
      <c r="X68" s="139"/>
      <c r="Y68" s="114"/>
      <c r="Z68" s="114"/>
      <c r="AA68" s="114"/>
      <c r="AB68" s="114"/>
      <c r="AC68" s="114"/>
      <c r="AD68" s="114"/>
      <c r="AE68" s="114"/>
      <c r="AF68" s="128"/>
      <c r="AG68" s="326">
        <f t="shared" si="185"/>
        <v>1.4999999999999999E-4</v>
      </c>
      <c r="AH68" s="327"/>
      <c r="AI68" s="101"/>
      <c r="AJ68" s="2"/>
      <c r="AK68" s="2"/>
      <c r="AL68" s="2"/>
      <c r="AM68" s="2"/>
    </row>
    <row r="69" spans="2:39" ht="12.75" hidden="1" customHeight="1" x14ac:dyDescent="0.3">
      <c r="B69" s="125">
        <v>4</v>
      </c>
      <c r="C69" s="143">
        <v>8.3099999999999997E-3</v>
      </c>
      <c r="D69" s="150">
        <f t="shared" si="186"/>
        <v>8.3087999999999999E-3</v>
      </c>
      <c r="E69" s="148">
        <v>1.7310000000000001E-4</v>
      </c>
      <c r="F69" s="4">
        <v>0.18</v>
      </c>
      <c r="G69" s="149">
        <f t="shared" si="187"/>
        <v>0.18</v>
      </c>
      <c r="H69" s="145">
        <v>3.7499999999999999E-3</v>
      </c>
      <c r="I69" s="144">
        <v>0.15631</v>
      </c>
      <c r="J69" s="144">
        <f t="shared" si="188"/>
        <v>0.15630930000000001</v>
      </c>
      <c r="K69" s="148">
        <v>1.7310000000000001E-4</v>
      </c>
      <c r="L69" s="144">
        <v>3.38625</v>
      </c>
      <c r="M69" s="144">
        <f t="shared" si="189"/>
        <v>3.38625</v>
      </c>
      <c r="N69" s="145">
        <v>3.7499999999999999E-3</v>
      </c>
      <c r="O69" s="101"/>
      <c r="P69" s="266" t="s">
        <v>57</v>
      </c>
      <c r="Q69" s="97" t="s">
        <v>40</v>
      </c>
      <c r="R69" s="126">
        <v>14.887729999999999</v>
      </c>
      <c r="S69" s="114"/>
      <c r="T69" s="128"/>
      <c r="U69" s="126">
        <v>0.33324999999999999</v>
      </c>
      <c r="V69" s="139">
        <v>1.1180000000000001E-2</v>
      </c>
      <c r="W69" s="139">
        <v>0.13716999999999999</v>
      </c>
      <c r="X69" s="139">
        <v>0.48375000000000001</v>
      </c>
      <c r="Y69" s="114">
        <v>0.61275000000000002</v>
      </c>
      <c r="Z69" s="114"/>
      <c r="AA69" s="114"/>
      <c r="AB69" s="114"/>
      <c r="AC69" s="114"/>
      <c r="AD69" s="114"/>
      <c r="AE69" s="114"/>
      <c r="AF69" s="128"/>
      <c r="AG69" s="305">
        <f t="shared" si="185"/>
        <v>16.465829999999997</v>
      </c>
      <c r="AH69" s="306"/>
      <c r="AI69" s="101"/>
      <c r="AJ69" s="2"/>
      <c r="AK69" s="2"/>
      <c r="AL69" s="2"/>
      <c r="AM69" s="2"/>
    </row>
    <row r="70" spans="2:39" ht="13.8" hidden="1" x14ac:dyDescent="0.3">
      <c r="B70" s="125">
        <v>5</v>
      </c>
      <c r="C70" s="143">
        <v>2.1057899999999998</v>
      </c>
      <c r="D70" s="150">
        <f t="shared" si="186"/>
        <v>2.1057888</v>
      </c>
      <c r="E70" s="148">
        <v>4.3870600000000003E-2</v>
      </c>
      <c r="F70" s="4">
        <v>0.252</v>
      </c>
      <c r="G70" s="149">
        <f t="shared" si="187"/>
        <v>0.252</v>
      </c>
      <c r="H70" s="145">
        <v>5.2500000000000003E-3</v>
      </c>
      <c r="I70" s="144">
        <v>39.61515</v>
      </c>
      <c r="J70" s="144">
        <f t="shared" si="188"/>
        <v>39.6151518</v>
      </c>
      <c r="K70" s="148">
        <v>4.3870600000000003E-2</v>
      </c>
      <c r="L70" s="144">
        <v>4.7407500000000002</v>
      </c>
      <c r="M70" s="144">
        <f t="shared" si="189"/>
        <v>4.7407500000000002</v>
      </c>
      <c r="N70" s="145">
        <v>5.2500000000000003E-3</v>
      </c>
      <c r="O70" s="101"/>
      <c r="P70" s="266"/>
      <c r="Q70" s="97" t="s">
        <v>42</v>
      </c>
      <c r="R70" s="126">
        <v>1.7311300000000001</v>
      </c>
      <c r="S70" s="114"/>
      <c r="T70" s="128"/>
      <c r="U70" s="126">
        <v>3.875E-2</v>
      </c>
      <c r="V70" s="139">
        <v>1.2999999999999999E-3</v>
      </c>
      <c r="W70" s="139">
        <v>1.5949999999999999E-2</v>
      </c>
      <c r="X70" s="139">
        <v>5.6250000000000001E-2</v>
      </c>
      <c r="Y70" s="114">
        <v>7.1249999999999994E-2</v>
      </c>
      <c r="Z70" s="114"/>
      <c r="AA70" s="114"/>
      <c r="AB70" s="114"/>
      <c r="AC70" s="114"/>
      <c r="AD70" s="114"/>
      <c r="AE70" s="114"/>
      <c r="AF70" s="128"/>
      <c r="AG70" s="305">
        <f t="shared" si="185"/>
        <v>1.9146300000000001</v>
      </c>
      <c r="AH70" s="306"/>
      <c r="AI70" s="101"/>
      <c r="AJ70" s="2"/>
      <c r="AK70" s="2"/>
      <c r="AL70" s="2"/>
      <c r="AM70" s="2"/>
    </row>
    <row r="71" spans="2:39" ht="12.75" hidden="1" customHeight="1" x14ac:dyDescent="0.3">
      <c r="B71" s="125">
        <v>6</v>
      </c>
      <c r="C71" s="143">
        <v>4.7999999999999996E-3</v>
      </c>
      <c r="D71" s="150">
        <f t="shared" si="186"/>
        <v>4.8047999999999997E-3</v>
      </c>
      <c r="E71" s="148">
        <v>1.0009999999999999E-4</v>
      </c>
      <c r="F71" s="4">
        <v>0.252</v>
      </c>
      <c r="G71" s="149">
        <f t="shared" si="187"/>
        <v>0.252</v>
      </c>
      <c r="H71" s="145">
        <v>5.2500000000000003E-3</v>
      </c>
      <c r="I71" s="144">
        <v>9.0389999999999998E-2</v>
      </c>
      <c r="J71" s="144">
        <f t="shared" si="188"/>
        <v>9.0390299999999993E-2</v>
      </c>
      <c r="K71" s="148">
        <v>1.0009999999999999E-4</v>
      </c>
      <c r="L71" s="144">
        <v>4.7407500000000002</v>
      </c>
      <c r="M71" s="144">
        <f t="shared" si="189"/>
        <v>4.7407500000000002</v>
      </c>
      <c r="N71" s="145">
        <v>5.2500000000000003E-3</v>
      </c>
      <c r="O71" s="101"/>
      <c r="P71" s="266" t="s">
        <v>58</v>
      </c>
      <c r="Q71" s="97" t="s">
        <v>40</v>
      </c>
      <c r="R71" s="163">
        <v>7.4400000000000004E-3</v>
      </c>
      <c r="S71" s="114"/>
      <c r="T71" s="128"/>
      <c r="U71" s="126"/>
      <c r="V71" s="139"/>
      <c r="W71" s="139"/>
      <c r="X71" s="139"/>
      <c r="Y71" s="114"/>
      <c r="Z71" s="114"/>
      <c r="AA71" s="114"/>
      <c r="AB71" s="114"/>
      <c r="AC71" s="114"/>
      <c r="AD71" s="114"/>
      <c r="AE71" s="114"/>
      <c r="AF71" s="128"/>
      <c r="AG71" s="326">
        <f t="shared" si="185"/>
        <v>7.4400000000000004E-3</v>
      </c>
      <c r="AH71" s="327"/>
      <c r="AI71" s="101"/>
      <c r="AJ71" s="101"/>
      <c r="AK71" s="101"/>
      <c r="AL71" s="101"/>
      <c r="AM71" s="101"/>
    </row>
    <row r="72" spans="2:39" ht="13.8" hidden="1" x14ac:dyDescent="0.3">
      <c r="B72" s="125">
        <v>7</v>
      </c>
      <c r="C72" s="143">
        <v>0.28143000000000001</v>
      </c>
      <c r="D72" s="150">
        <f t="shared" si="186"/>
        <v>0.28143360000000001</v>
      </c>
      <c r="E72" s="148">
        <v>5.8631999999999998E-3</v>
      </c>
      <c r="F72" s="4">
        <v>0.32400000000000001</v>
      </c>
      <c r="G72" s="149">
        <f t="shared" si="187"/>
        <v>0.32400000000000001</v>
      </c>
      <c r="H72" s="145">
        <v>6.7499999999999999E-3</v>
      </c>
      <c r="I72" s="144">
        <v>5.2944699999999996</v>
      </c>
      <c r="J72" s="144">
        <f t="shared" si="188"/>
        <v>5.2944696000000002</v>
      </c>
      <c r="K72" s="148">
        <v>5.8631999999999998E-3</v>
      </c>
      <c r="L72" s="144">
        <v>6.0952500000000001</v>
      </c>
      <c r="M72" s="144">
        <f t="shared" si="189"/>
        <v>6.0952500000000001</v>
      </c>
      <c r="N72" s="145">
        <v>6.7499999999999999E-3</v>
      </c>
      <c r="O72" s="101"/>
      <c r="P72" s="266"/>
      <c r="Q72" s="97" t="s">
        <v>42</v>
      </c>
      <c r="R72" s="163">
        <v>8.7000000000000001E-4</v>
      </c>
      <c r="S72" s="114"/>
      <c r="T72" s="128"/>
      <c r="U72" s="126"/>
      <c r="V72" s="139"/>
      <c r="W72" s="139"/>
      <c r="X72" s="139"/>
      <c r="Y72" s="114"/>
      <c r="Z72" s="114"/>
      <c r="AA72" s="114"/>
      <c r="AB72" s="114"/>
      <c r="AC72" s="114"/>
      <c r="AD72" s="114"/>
      <c r="AE72" s="114"/>
      <c r="AF72" s="128"/>
      <c r="AG72" s="326">
        <f t="shared" si="185"/>
        <v>8.7000000000000001E-4</v>
      </c>
      <c r="AH72" s="327"/>
      <c r="AI72" s="101"/>
      <c r="AJ72" s="101"/>
      <c r="AK72" s="101"/>
      <c r="AL72" s="101"/>
      <c r="AM72" s="101"/>
    </row>
    <row r="73" spans="2:39" ht="13.5" hidden="1" customHeight="1" x14ac:dyDescent="0.3">
      <c r="B73" s="125">
        <v>8</v>
      </c>
      <c r="C73" s="143">
        <v>9.6000000000000002E-4</v>
      </c>
      <c r="D73" s="150">
        <f t="shared" si="186"/>
        <v>9.6480000000000003E-4</v>
      </c>
      <c r="E73" s="148">
        <v>2.0100000000000001E-5</v>
      </c>
      <c r="F73" s="144">
        <v>0.39600000000000002</v>
      </c>
      <c r="G73" s="149">
        <f t="shared" si="187"/>
        <v>0.39600000000000002</v>
      </c>
      <c r="H73" s="145">
        <v>8.2500000000000004E-3</v>
      </c>
      <c r="I73" s="146">
        <v>1.8149999999999999E-2</v>
      </c>
      <c r="J73" s="144">
        <f t="shared" si="188"/>
        <v>1.8150300000000001E-2</v>
      </c>
      <c r="K73" s="148">
        <v>2.0100000000000001E-5</v>
      </c>
      <c r="L73" s="144">
        <v>7.4497499999999999</v>
      </c>
      <c r="M73" s="144">
        <f t="shared" si="189"/>
        <v>7.4497500000000008</v>
      </c>
      <c r="N73" s="145">
        <v>8.2500000000000004E-3</v>
      </c>
      <c r="O73" s="101"/>
      <c r="P73" s="266" t="s">
        <v>59</v>
      </c>
      <c r="Q73" s="97" t="s">
        <v>40</v>
      </c>
      <c r="R73" s="126">
        <v>1.8864399999999999</v>
      </c>
      <c r="S73" s="114">
        <v>0.94599999999999995</v>
      </c>
      <c r="T73" s="128">
        <v>0.93145</v>
      </c>
      <c r="U73" s="126">
        <v>9.6750000000000003E-2</v>
      </c>
      <c r="V73" s="139">
        <v>0.11609999999999999</v>
      </c>
      <c r="W73" s="139">
        <v>0.30314999999999998</v>
      </c>
      <c r="X73" s="139"/>
      <c r="Y73" s="114"/>
      <c r="Z73" s="114"/>
      <c r="AA73" s="114"/>
      <c r="AB73" s="114"/>
      <c r="AC73" s="114"/>
      <c r="AD73" s="114"/>
      <c r="AE73" s="114"/>
      <c r="AF73" s="128"/>
      <c r="AG73" s="305">
        <f t="shared" si="185"/>
        <v>4.27989</v>
      </c>
      <c r="AH73" s="306"/>
      <c r="AI73" s="101"/>
      <c r="AJ73" s="101"/>
      <c r="AK73" s="101"/>
      <c r="AL73" s="101"/>
      <c r="AM73" s="101"/>
    </row>
    <row r="74" spans="2:39" ht="13.8" hidden="1" x14ac:dyDescent="0.3">
      <c r="B74" s="125">
        <v>9</v>
      </c>
      <c r="C74" s="143">
        <v>2.60467</v>
      </c>
      <c r="D74" s="150">
        <f t="shared" si="186"/>
        <v>2.6046671999999997</v>
      </c>
      <c r="E74" s="4">
        <v>5.4263899999999997E-2</v>
      </c>
      <c r="F74" s="144">
        <v>0.3024</v>
      </c>
      <c r="G74" s="149">
        <f t="shared" si="187"/>
        <v>0.3024</v>
      </c>
      <c r="H74" s="145">
        <v>6.3E-3</v>
      </c>
      <c r="I74" s="146">
        <v>49.000300000000003</v>
      </c>
      <c r="J74" s="144">
        <f t="shared" si="188"/>
        <v>49.000301699999994</v>
      </c>
      <c r="K74" s="4">
        <v>5.4263899999999997E-2</v>
      </c>
      <c r="L74" s="144">
        <v>5.6889000000000003</v>
      </c>
      <c r="M74" s="144">
        <f t="shared" si="189"/>
        <v>5.6889000000000003</v>
      </c>
      <c r="N74" s="145">
        <v>6.3E-3</v>
      </c>
      <c r="O74" s="101"/>
      <c r="P74" s="266"/>
      <c r="Q74" s="97" t="s">
        <v>42</v>
      </c>
      <c r="R74" s="157">
        <v>0.21934999999999999</v>
      </c>
      <c r="S74" s="141">
        <v>0.11</v>
      </c>
      <c r="T74" s="158">
        <v>0.10831</v>
      </c>
      <c r="U74" s="157">
        <v>1.125E-2</v>
      </c>
      <c r="V74" s="142">
        <v>1.35E-2</v>
      </c>
      <c r="W74" s="142">
        <v>3.5249999999999997E-2</v>
      </c>
      <c r="X74" s="142"/>
      <c r="Y74" s="141"/>
      <c r="Z74" s="141"/>
      <c r="AA74" s="141"/>
      <c r="AB74" s="141"/>
      <c r="AC74" s="141"/>
      <c r="AD74" s="141"/>
      <c r="AE74" s="141"/>
      <c r="AF74" s="158"/>
      <c r="AG74" s="338">
        <f t="shared" si="185"/>
        <v>0.49765999999999999</v>
      </c>
      <c r="AH74" s="339"/>
      <c r="AI74" s="101"/>
      <c r="AJ74" s="101"/>
      <c r="AK74" s="101"/>
      <c r="AL74" s="101"/>
      <c r="AM74" s="101"/>
    </row>
    <row r="75" spans="2:39" ht="13.8" hidden="1" x14ac:dyDescent="0.3">
      <c r="B75" s="125">
        <v>10</v>
      </c>
      <c r="C75" s="143">
        <v>2.8800000000000002E-3</v>
      </c>
      <c r="D75" s="150">
        <f t="shared" si="186"/>
        <v>2.8800000000000002E-3</v>
      </c>
      <c r="E75" s="148">
        <v>6.0000000000000002E-5</v>
      </c>
      <c r="F75" s="144">
        <v>0.12959999999999999</v>
      </c>
      <c r="G75" s="149">
        <f t="shared" si="187"/>
        <v>0.12959999999999999</v>
      </c>
      <c r="H75" s="145">
        <v>2.7000000000000001E-3</v>
      </c>
      <c r="I75" s="146">
        <v>5.4179999999999999E-2</v>
      </c>
      <c r="J75" s="144">
        <f t="shared" si="188"/>
        <v>5.4179999999999999E-2</v>
      </c>
      <c r="K75" s="148">
        <v>6.0000000000000002E-5</v>
      </c>
      <c r="L75" s="144">
        <v>2.4380999999999999</v>
      </c>
      <c r="M75" s="144">
        <f t="shared" si="189"/>
        <v>2.4380999999999999</v>
      </c>
      <c r="N75" s="145">
        <v>2.7000000000000001E-3</v>
      </c>
      <c r="O75" s="101"/>
      <c r="P75" s="266" t="s">
        <v>60</v>
      </c>
      <c r="Q75" s="97" t="s">
        <v>40</v>
      </c>
      <c r="R75" s="164">
        <v>4.3E-3</v>
      </c>
      <c r="S75" s="141"/>
      <c r="T75" s="158"/>
      <c r="U75" s="157"/>
      <c r="V75" s="142"/>
      <c r="W75" s="142"/>
      <c r="X75" s="142"/>
      <c r="Y75" s="141"/>
      <c r="Z75" s="141"/>
      <c r="AA75" s="141"/>
      <c r="AB75" s="141"/>
      <c r="AC75" s="141"/>
      <c r="AD75" s="141"/>
      <c r="AE75" s="141"/>
      <c r="AF75" s="158"/>
      <c r="AG75" s="321">
        <f t="shared" si="185"/>
        <v>4.3E-3</v>
      </c>
      <c r="AH75" s="322"/>
      <c r="AI75" s="101"/>
      <c r="AJ75" s="101"/>
      <c r="AK75" s="101"/>
      <c r="AL75" s="101"/>
      <c r="AM75" s="101"/>
    </row>
    <row r="76" spans="2:39" ht="13.8" hidden="1" x14ac:dyDescent="0.3">
      <c r="B76" s="125">
        <v>11</v>
      </c>
      <c r="C76" s="143">
        <v>1.0771500000000001</v>
      </c>
      <c r="D76" s="150">
        <f t="shared" si="186"/>
        <v>1.0771488</v>
      </c>
      <c r="E76" s="148">
        <v>2.2440600000000002E-2</v>
      </c>
      <c r="F76" s="144">
        <v>0.46800000000000003</v>
      </c>
      <c r="G76" s="149">
        <f t="shared" si="187"/>
        <v>0.46799999999999997</v>
      </c>
      <c r="H76" s="145">
        <v>9.75E-3</v>
      </c>
      <c r="I76" s="146">
        <v>20.263860000000001</v>
      </c>
      <c r="J76" s="144">
        <f t="shared" si="188"/>
        <v>20.263861800000001</v>
      </c>
      <c r="K76" s="148">
        <v>2.2440600000000002E-2</v>
      </c>
      <c r="L76" s="144">
        <v>8.8042499999999997</v>
      </c>
      <c r="M76" s="144">
        <f t="shared" si="189"/>
        <v>8.8042499999999997</v>
      </c>
      <c r="N76" s="145">
        <v>9.75E-3</v>
      </c>
      <c r="O76" s="101"/>
      <c r="P76" s="266"/>
      <c r="Q76" s="97" t="s">
        <v>42</v>
      </c>
      <c r="R76" s="164">
        <v>5.0000000000000001E-4</v>
      </c>
      <c r="S76" s="141"/>
      <c r="T76" s="158"/>
      <c r="U76" s="157"/>
      <c r="V76" s="142"/>
      <c r="W76" s="142"/>
      <c r="X76" s="142"/>
      <c r="Y76" s="141"/>
      <c r="Z76" s="141"/>
      <c r="AA76" s="141"/>
      <c r="AB76" s="141"/>
      <c r="AC76" s="141"/>
      <c r="AD76" s="141"/>
      <c r="AE76" s="141"/>
      <c r="AF76" s="158"/>
      <c r="AG76" s="321">
        <f t="shared" si="185"/>
        <v>5.0000000000000001E-4</v>
      </c>
      <c r="AH76" s="322"/>
      <c r="AI76" s="101"/>
      <c r="AJ76" s="101"/>
      <c r="AK76" s="101"/>
      <c r="AL76" s="101"/>
      <c r="AM76" s="101"/>
    </row>
    <row r="77" spans="2:39" ht="13.8" hidden="1" x14ac:dyDescent="0.3">
      <c r="B77" s="125">
        <v>12</v>
      </c>
      <c r="C77" s="126">
        <v>1.056</v>
      </c>
      <c r="D77" s="150">
        <f>E77*$H$62</f>
        <v>1.056</v>
      </c>
      <c r="E77" s="148">
        <v>2.1999999999999999E-2</v>
      </c>
      <c r="F77" s="114">
        <v>0.46800000000000003</v>
      </c>
      <c r="G77" s="149">
        <f t="shared" si="187"/>
        <v>0.46799999999999997</v>
      </c>
      <c r="H77" s="145">
        <v>9.75E-3</v>
      </c>
      <c r="I77" s="126">
        <v>19.866</v>
      </c>
      <c r="J77" s="144">
        <f t="shared" si="188"/>
        <v>19.866</v>
      </c>
      <c r="K77" s="148">
        <v>2.1999999999999999E-2</v>
      </c>
      <c r="L77" s="114">
        <v>8.8042499999999997</v>
      </c>
      <c r="M77" s="144">
        <f t="shared" si="189"/>
        <v>8.8042499999999997</v>
      </c>
      <c r="N77" s="145">
        <v>9.75E-3</v>
      </c>
      <c r="O77" s="101"/>
      <c r="P77" s="266" t="s">
        <v>61</v>
      </c>
      <c r="Q77" s="97" t="s">
        <v>40</v>
      </c>
      <c r="R77" s="164">
        <v>8.5999999999999998E-4</v>
      </c>
      <c r="S77" s="141"/>
      <c r="T77" s="158"/>
      <c r="U77" s="157"/>
      <c r="V77" s="142"/>
      <c r="W77" s="142"/>
      <c r="X77" s="142"/>
      <c r="Y77" s="141"/>
      <c r="Z77" s="141"/>
      <c r="AA77" s="141"/>
      <c r="AB77" s="141"/>
      <c r="AC77" s="141"/>
      <c r="AD77" s="141"/>
      <c r="AE77" s="141"/>
      <c r="AF77" s="158"/>
      <c r="AG77" s="321">
        <f t="shared" si="185"/>
        <v>8.5999999999999998E-4</v>
      </c>
      <c r="AH77" s="322"/>
      <c r="AI77" s="101"/>
      <c r="AJ77" s="101"/>
      <c r="AK77" s="101"/>
      <c r="AL77" s="101"/>
      <c r="AM77" s="101"/>
    </row>
    <row r="78" spans="2:39" ht="13.8" hidden="1" x14ac:dyDescent="0.3">
      <c r="B78" s="125">
        <v>13</v>
      </c>
      <c r="C78" s="126">
        <v>1.03976</v>
      </c>
      <c r="D78" s="150">
        <f t="shared" si="186"/>
        <v>1.0397615999999998</v>
      </c>
      <c r="E78" s="127">
        <v>2.1661699999999999E-2</v>
      </c>
      <c r="F78" s="114">
        <v>0.372</v>
      </c>
      <c r="G78" s="149">
        <f t="shared" si="187"/>
        <v>0.372</v>
      </c>
      <c r="H78" s="128">
        <v>7.7499999999999999E-3</v>
      </c>
      <c r="I78" s="126">
        <v>19.56052</v>
      </c>
      <c r="J78" s="144">
        <f t="shared" si="188"/>
        <v>19.5605151</v>
      </c>
      <c r="K78" s="127">
        <v>2.1661699999999999E-2</v>
      </c>
      <c r="L78" s="114">
        <v>6.9982499999999996</v>
      </c>
      <c r="M78" s="144">
        <f t="shared" si="189"/>
        <v>6.9982499999999996</v>
      </c>
      <c r="N78" s="128">
        <v>7.7499999999999999E-3</v>
      </c>
      <c r="O78" s="101"/>
      <c r="P78" s="266"/>
      <c r="Q78" s="97" t="s">
        <v>42</v>
      </c>
      <c r="R78" s="164">
        <v>1E-4</v>
      </c>
      <c r="S78" s="141"/>
      <c r="T78" s="158"/>
      <c r="U78" s="157"/>
      <c r="V78" s="142"/>
      <c r="W78" s="142"/>
      <c r="X78" s="142"/>
      <c r="Y78" s="141"/>
      <c r="Z78" s="141"/>
      <c r="AA78" s="141"/>
      <c r="AB78" s="141"/>
      <c r="AC78" s="141"/>
      <c r="AD78" s="141"/>
      <c r="AE78" s="141"/>
      <c r="AF78" s="158"/>
      <c r="AG78" s="321">
        <f t="shared" si="185"/>
        <v>1E-4</v>
      </c>
      <c r="AH78" s="322"/>
      <c r="AM78" s="101"/>
    </row>
    <row r="79" spans="2:39" ht="13.8" hidden="1" x14ac:dyDescent="0.3">
      <c r="B79" s="125">
        <v>14</v>
      </c>
      <c r="C79" s="126">
        <v>1.968E-2</v>
      </c>
      <c r="D79" s="150">
        <f t="shared" si="186"/>
        <v>1.9684799999999999E-2</v>
      </c>
      <c r="E79" s="127">
        <v>4.1009999999999999E-4</v>
      </c>
      <c r="F79" s="114">
        <v>9.6000000000000002E-2</v>
      </c>
      <c r="G79" s="149">
        <f t="shared" si="187"/>
        <v>9.6000000000000002E-2</v>
      </c>
      <c r="H79" s="128">
        <v>2E-3</v>
      </c>
      <c r="I79" s="126">
        <v>0.37031999999999998</v>
      </c>
      <c r="J79" s="144">
        <f t="shared" si="188"/>
        <v>0.37032029999999999</v>
      </c>
      <c r="K79" s="127">
        <v>4.1009999999999999E-4</v>
      </c>
      <c r="L79" s="114">
        <v>1.806</v>
      </c>
      <c r="M79" s="144">
        <f t="shared" si="189"/>
        <v>1.806</v>
      </c>
      <c r="N79" s="128">
        <v>2E-3</v>
      </c>
      <c r="O79" s="101"/>
      <c r="P79" s="266" t="s">
        <v>84</v>
      </c>
      <c r="Q79" s="97" t="s">
        <v>40</v>
      </c>
      <c r="R79" s="164">
        <v>2.5799999999999998E-3</v>
      </c>
      <c r="S79" s="141"/>
      <c r="T79" s="158"/>
      <c r="U79" s="157"/>
      <c r="V79" s="142"/>
      <c r="W79" s="142"/>
      <c r="X79" s="142"/>
      <c r="Y79" s="141"/>
      <c r="Z79" s="141"/>
      <c r="AA79" s="141"/>
      <c r="AB79" s="141"/>
      <c r="AC79" s="141"/>
      <c r="AD79" s="141"/>
      <c r="AE79" s="141"/>
      <c r="AF79" s="158"/>
      <c r="AG79" s="321">
        <f t="shared" si="185"/>
        <v>2.5799999999999998E-3</v>
      </c>
      <c r="AH79" s="322"/>
      <c r="AM79" s="101"/>
    </row>
    <row r="80" spans="2:39" ht="13.8" hidden="1" x14ac:dyDescent="0.3">
      <c r="B80" s="125">
        <v>15</v>
      </c>
      <c r="C80" s="126">
        <v>1.9199999999999998E-2</v>
      </c>
      <c r="D80" s="150">
        <f t="shared" si="186"/>
        <v>1.9200000000000002E-2</v>
      </c>
      <c r="E80" s="127">
        <v>4.0000000000000002E-4</v>
      </c>
      <c r="F80" s="114">
        <v>0.19439999999999999</v>
      </c>
      <c r="G80" s="149">
        <f t="shared" si="187"/>
        <v>0.19439999999999999</v>
      </c>
      <c r="H80" s="128">
        <v>4.0499999999999998E-3</v>
      </c>
      <c r="I80" s="126">
        <v>0.36120000000000002</v>
      </c>
      <c r="J80" s="144">
        <f t="shared" si="188"/>
        <v>0.36120000000000002</v>
      </c>
      <c r="K80" s="127">
        <v>4.0000000000000002E-4</v>
      </c>
      <c r="L80" s="114">
        <v>3.6571500000000001</v>
      </c>
      <c r="M80" s="144">
        <f t="shared" si="189"/>
        <v>3.6571499999999997</v>
      </c>
      <c r="N80" s="128">
        <v>4.0499999999999998E-3</v>
      </c>
      <c r="O80" s="101"/>
      <c r="P80" s="266"/>
      <c r="Q80" s="97" t="s">
        <v>42</v>
      </c>
      <c r="R80" s="164">
        <v>2.9999999999999997E-4</v>
      </c>
      <c r="S80" s="141"/>
      <c r="T80" s="158"/>
      <c r="U80" s="157"/>
      <c r="V80" s="142"/>
      <c r="W80" s="142"/>
      <c r="X80" s="142"/>
      <c r="Y80" s="141"/>
      <c r="Z80" s="141"/>
      <c r="AA80" s="141"/>
      <c r="AB80" s="141"/>
      <c r="AC80" s="141"/>
      <c r="AD80" s="141"/>
      <c r="AE80" s="141"/>
      <c r="AF80" s="128"/>
      <c r="AG80" s="321">
        <f t="shared" si="185"/>
        <v>2.9999999999999997E-4</v>
      </c>
      <c r="AH80" s="322"/>
      <c r="AM80" s="101"/>
    </row>
    <row r="81" spans="2:39" ht="15.75" hidden="1" customHeight="1" x14ac:dyDescent="0.3">
      <c r="B81" s="125">
        <v>16</v>
      </c>
      <c r="C81" s="126"/>
      <c r="D81" s="151"/>
      <c r="E81" s="127"/>
      <c r="F81" s="114">
        <v>0.30959999999999999</v>
      </c>
      <c r="G81" s="149">
        <f t="shared" si="187"/>
        <v>0.30959999999999999</v>
      </c>
      <c r="H81" s="128">
        <v>6.45E-3</v>
      </c>
      <c r="I81" s="126"/>
      <c r="J81" s="114"/>
      <c r="K81" s="127"/>
      <c r="L81" s="114">
        <v>5.8243499999999999</v>
      </c>
      <c r="M81" s="144">
        <f t="shared" si="189"/>
        <v>5.8243499999999999</v>
      </c>
      <c r="N81" s="128">
        <v>6.45E-3</v>
      </c>
      <c r="O81" s="101"/>
      <c r="P81" s="266" t="s">
        <v>85</v>
      </c>
      <c r="Q81" s="97" t="s">
        <v>40</v>
      </c>
      <c r="R81" s="157">
        <v>0.96494999999999997</v>
      </c>
      <c r="S81" s="141"/>
      <c r="T81" s="158"/>
      <c r="U81" s="157">
        <v>3.2250000000000001E-2</v>
      </c>
      <c r="V81" s="142">
        <v>0.16125</v>
      </c>
      <c r="W81" s="142">
        <v>0.16125</v>
      </c>
      <c r="X81" s="142">
        <v>0.22575000000000001</v>
      </c>
      <c r="Y81" s="142">
        <v>0.22575000000000001</v>
      </c>
      <c r="Z81" s="142">
        <v>0.29025000000000001</v>
      </c>
      <c r="AA81" s="142">
        <v>0.35475000000000001</v>
      </c>
      <c r="AB81" s="189">
        <f>0.2709-0.2709</f>
        <v>0</v>
      </c>
      <c r="AC81" s="141">
        <v>0.17415</v>
      </c>
      <c r="AD81" s="142">
        <v>2.5799999999999998E-3</v>
      </c>
      <c r="AE81" s="142">
        <v>2.9669999999999998E-2</v>
      </c>
      <c r="AF81" s="155">
        <v>0.61275000000000002</v>
      </c>
      <c r="AG81" s="338">
        <f t="shared" si="185"/>
        <v>3.2353500000000004</v>
      </c>
      <c r="AH81" s="339"/>
      <c r="AM81" s="2"/>
    </row>
    <row r="82" spans="2:39" ht="13.8" hidden="1" x14ac:dyDescent="0.3">
      <c r="B82" s="125">
        <v>17</v>
      </c>
      <c r="C82" s="126"/>
      <c r="D82" s="151"/>
      <c r="E82" s="127"/>
      <c r="F82" s="114">
        <v>1.248E-2</v>
      </c>
      <c r="G82" s="149">
        <f t="shared" si="187"/>
        <v>1.2479999999999998E-2</v>
      </c>
      <c r="H82" s="128">
        <v>2.5999999999999998E-4</v>
      </c>
      <c r="I82" s="126"/>
      <c r="J82" s="114"/>
      <c r="K82" s="127"/>
      <c r="L82" s="114">
        <v>0.23477999999999999</v>
      </c>
      <c r="M82" s="144">
        <f t="shared" si="189"/>
        <v>0.23477999999999999</v>
      </c>
      <c r="N82" s="128">
        <v>2.5999999999999998E-4</v>
      </c>
      <c r="O82" s="101"/>
      <c r="P82" s="266"/>
      <c r="Q82" s="97" t="s">
        <v>42</v>
      </c>
      <c r="R82" s="157">
        <v>0.11219999999999999</v>
      </c>
      <c r="S82" s="141"/>
      <c r="T82" s="158"/>
      <c r="U82" s="157">
        <v>3.7499999999999999E-3</v>
      </c>
      <c r="V82" s="142">
        <v>1.8749999999999999E-2</v>
      </c>
      <c r="W82" s="142">
        <v>1.8749999999999999E-2</v>
      </c>
      <c r="X82" s="142">
        <v>2.6249999999999999E-2</v>
      </c>
      <c r="Y82" s="142">
        <v>2.6249999999999999E-2</v>
      </c>
      <c r="Z82" s="142">
        <v>3.3750000000000002E-2</v>
      </c>
      <c r="AA82" s="142">
        <v>4.1250000000000002E-2</v>
      </c>
      <c r="AB82" s="189">
        <f>0.0315-0.0315</f>
        <v>0</v>
      </c>
      <c r="AC82" s="141">
        <v>2.0250000000000001E-2</v>
      </c>
      <c r="AD82" s="142">
        <v>2.9999999999999997E-4</v>
      </c>
      <c r="AE82" s="142">
        <v>3.4499999999999999E-3</v>
      </c>
      <c r="AF82" s="155">
        <v>7.1249999999999994E-2</v>
      </c>
      <c r="AG82" s="338">
        <f t="shared" si="185"/>
        <v>0.37619999999999998</v>
      </c>
      <c r="AH82" s="339"/>
      <c r="AM82" s="2"/>
    </row>
    <row r="83" spans="2:39" ht="13.5" hidden="1" customHeight="1" x14ac:dyDescent="0.3">
      <c r="B83" s="125">
        <v>18</v>
      </c>
      <c r="C83" s="126"/>
      <c r="D83" s="151"/>
      <c r="E83" s="127"/>
      <c r="F83" s="114">
        <v>2.8800000000000002E-3</v>
      </c>
      <c r="G83" s="149">
        <f t="shared" si="187"/>
        <v>2.8800000000000002E-3</v>
      </c>
      <c r="H83" s="128">
        <v>6.0000000000000002E-5</v>
      </c>
      <c r="I83" s="126"/>
      <c r="J83" s="114"/>
      <c r="K83" s="127"/>
      <c r="L83" s="114">
        <v>5.4179999999999999E-2</v>
      </c>
      <c r="M83" s="144">
        <f t="shared" si="189"/>
        <v>5.4179999999999999E-2</v>
      </c>
      <c r="N83" s="128">
        <v>6.0000000000000002E-5</v>
      </c>
      <c r="O83" s="101"/>
      <c r="P83" s="266" t="s">
        <v>86</v>
      </c>
      <c r="Q83" s="97" t="s">
        <v>40</v>
      </c>
      <c r="R83" s="164">
        <v>1.72E-2</v>
      </c>
      <c r="S83" s="141"/>
      <c r="T83" s="158"/>
      <c r="U83" s="157"/>
      <c r="V83" s="142"/>
      <c r="W83" s="142"/>
      <c r="X83" s="142"/>
      <c r="Y83" s="141"/>
      <c r="Z83" s="141"/>
      <c r="AA83" s="141"/>
      <c r="AB83" s="141"/>
      <c r="AC83" s="141"/>
      <c r="AD83" s="141"/>
      <c r="AE83" s="141"/>
      <c r="AF83" s="158"/>
      <c r="AG83" s="321">
        <f t="shared" si="185"/>
        <v>1.72E-2</v>
      </c>
      <c r="AH83" s="322"/>
      <c r="AM83" s="2"/>
    </row>
    <row r="84" spans="2:39" ht="13.8" hidden="1" x14ac:dyDescent="0.3">
      <c r="B84" s="125">
        <v>19</v>
      </c>
      <c r="C84" s="126"/>
      <c r="D84" s="151"/>
      <c r="E84" s="127"/>
      <c r="F84" s="114">
        <v>3.3119999999999997E-2</v>
      </c>
      <c r="G84" s="149">
        <f t="shared" si="187"/>
        <v>3.3119999999999997E-2</v>
      </c>
      <c r="H84" s="128">
        <v>6.8999999999999997E-4</v>
      </c>
      <c r="I84" s="126"/>
      <c r="J84" s="114"/>
      <c r="K84" s="127"/>
      <c r="L84" s="114">
        <v>0.62307000000000001</v>
      </c>
      <c r="M84" s="144">
        <f t="shared" si="189"/>
        <v>0.62307000000000001</v>
      </c>
      <c r="N84" s="128">
        <v>6.8999999999999997E-4</v>
      </c>
      <c r="O84" s="101"/>
      <c r="P84" s="266"/>
      <c r="Q84" s="97" t="s">
        <v>42</v>
      </c>
      <c r="R84" s="164">
        <v>2E-3</v>
      </c>
      <c r="S84" s="141"/>
      <c r="T84" s="158"/>
      <c r="U84" s="157"/>
      <c r="V84" s="142"/>
      <c r="W84" s="142"/>
      <c r="X84" s="142"/>
      <c r="Y84" s="141"/>
      <c r="Z84" s="141"/>
      <c r="AA84" s="141"/>
      <c r="AB84" s="141"/>
      <c r="AC84" s="141"/>
      <c r="AD84" s="141"/>
      <c r="AE84" s="141"/>
      <c r="AF84" s="158"/>
      <c r="AG84" s="321">
        <f t="shared" si="185"/>
        <v>2E-3</v>
      </c>
      <c r="AH84" s="322"/>
      <c r="AM84" s="2"/>
    </row>
    <row r="85" spans="2:39" ht="12.75" hidden="1" customHeight="1" x14ac:dyDescent="0.3">
      <c r="B85" s="125">
        <v>20</v>
      </c>
      <c r="C85" s="126"/>
      <c r="D85" s="151"/>
      <c r="E85" s="127"/>
      <c r="F85" s="114">
        <v>0.15312000000000001</v>
      </c>
      <c r="G85" s="149">
        <f t="shared" si="187"/>
        <v>0.15312000000000001</v>
      </c>
      <c r="H85" s="128">
        <v>3.1900000000000001E-3</v>
      </c>
      <c r="I85" s="126"/>
      <c r="J85" s="114"/>
      <c r="K85" s="127"/>
      <c r="L85" s="114">
        <v>2.8805700000000001</v>
      </c>
      <c r="M85" s="144">
        <f t="shared" si="189"/>
        <v>2.8805700000000001</v>
      </c>
      <c r="N85" s="128">
        <v>3.1900000000000001E-3</v>
      </c>
      <c r="O85" s="101"/>
      <c r="P85" s="275" t="s">
        <v>87</v>
      </c>
      <c r="Q85" s="97" t="s">
        <v>40</v>
      </c>
      <c r="R85" s="164"/>
      <c r="S85" s="141"/>
      <c r="T85" s="158"/>
      <c r="U85" s="157"/>
      <c r="V85" s="142"/>
      <c r="W85" s="142"/>
      <c r="X85" s="142"/>
      <c r="Y85" s="141"/>
      <c r="Z85" s="141"/>
      <c r="AA85" s="141"/>
      <c r="AB85" s="189">
        <v>0.27089999999999997</v>
      </c>
      <c r="AC85" s="141"/>
      <c r="AD85" s="141"/>
      <c r="AE85" s="141"/>
      <c r="AF85" s="158"/>
      <c r="AG85" s="321">
        <f t="shared" ref="AG85:AG86" si="190">SUM(R85:AF85)</f>
        <v>0.27089999999999997</v>
      </c>
      <c r="AH85" s="322"/>
      <c r="AM85" s="2"/>
    </row>
    <row r="86" spans="2:39" ht="13.8" hidden="1" x14ac:dyDescent="0.25">
      <c r="B86" s="125">
        <v>21</v>
      </c>
      <c r="C86" s="126"/>
      <c r="D86" s="151"/>
      <c r="E86" s="127"/>
      <c r="F86" s="114">
        <v>0.33839999999999998</v>
      </c>
      <c r="G86" s="149">
        <f t="shared" si="187"/>
        <v>0.33839999999999998</v>
      </c>
      <c r="H86" s="128">
        <v>7.0499999999999998E-3</v>
      </c>
      <c r="I86" s="126"/>
      <c r="J86" s="114"/>
      <c r="K86" s="127"/>
      <c r="L86" s="114">
        <v>6.3661500000000002</v>
      </c>
      <c r="M86" s="144">
        <f t="shared" si="189"/>
        <v>6.3661500000000002</v>
      </c>
      <c r="N86" s="128">
        <v>7.0499999999999998E-3</v>
      </c>
      <c r="O86" s="2"/>
      <c r="P86" s="328"/>
      <c r="Q86" s="97" t="s">
        <v>42</v>
      </c>
      <c r="R86" s="164"/>
      <c r="S86" s="141"/>
      <c r="T86" s="158"/>
      <c r="U86" s="157"/>
      <c r="V86" s="142"/>
      <c r="W86" s="142"/>
      <c r="X86" s="142"/>
      <c r="Y86" s="141"/>
      <c r="Z86" s="141"/>
      <c r="AA86" s="141"/>
      <c r="AB86" s="189">
        <v>3.15E-2</v>
      </c>
      <c r="AC86" s="141"/>
      <c r="AD86" s="141"/>
      <c r="AE86" s="141"/>
      <c r="AF86" s="158"/>
      <c r="AG86" s="321">
        <f t="shared" si="190"/>
        <v>3.15E-2</v>
      </c>
      <c r="AH86" s="322"/>
      <c r="AM86" s="2"/>
    </row>
    <row r="87" spans="2:39" ht="13.8" hidden="1" x14ac:dyDescent="0.25">
      <c r="B87" s="125">
        <v>22</v>
      </c>
      <c r="C87" s="126"/>
      <c r="D87" s="151"/>
      <c r="E87" s="127"/>
      <c r="F87" s="114">
        <v>0.54</v>
      </c>
      <c r="G87" s="149">
        <f t="shared" si="187"/>
        <v>0.54</v>
      </c>
      <c r="H87" s="128">
        <v>1.125E-2</v>
      </c>
      <c r="I87" s="126"/>
      <c r="J87" s="114"/>
      <c r="K87" s="127"/>
      <c r="L87" s="114">
        <v>10.15875</v>
      </c>
      <c r="M87" s="144">
        <f t="shared" si="189"/>
        <v>10.15875</v>
      </c>
      <c r="N87" s="128">
        <v>1.125E-2</v>
      </c>
      <c r="O87" s="2"/>
      <c r="P87" s="266" t="s">
        <v>64</v>
      </c>
      <c r="Q87" s="97" t="s">
        <v>40</v>
      </c>
      <c r="R87" s="163">
        <v>1.763E-2</v>
      </c>
      <c r="S87" s="114"/>
      <c r="T87" s="128"/>
      <c r="U87" s="126"/>
      <c r="V87" s="139"/>
      <c r="W87" s="139"/>
      <c r="X87" s="139"/>
      <c r="Y87" s="114"/>
      <c r="Z87" s="114"/>
      <c r="AA87" s="114"/>
      <c r="AB87" s="114"/>
      <c r="AC87" s="114"/>
      <c r="AD87" s="114"/>
      <c r="AE87" s="114"/>
      <c r="AF87" s="128"/>
      <c r="AG87" s="321">
        <f t="shared" si="185"/>
        <v>1.763E-2</v>
      </c>
      <c r="AH87" s="322"/>
    </row>
    <row r="88" spans="2:39" ht="14.4" hidden="1" thickBot="1" x14ac:dyDescent="0.3">
      <c r="B88" s="125">
        <v>23</v>
      </c>
      <c r="C88" s="126"/>
      <c r="D88" s="151"/>
      <c r="E88" s="127"/>
      <c r="F88" s="114">
        <v>0.68400000000000005</v>
      </c>
      <c r="G88" s="149">
        <f t="shared" si="187"/>
        <v>0.68400000000000005</v>
      </c>
      <c r="H88" s="128">
        <v>1.4250000000000001E-2</v>
      </c>
      <c r="I88" s="126"/>
      <c r="J88" s="114"/>
      <c r="K88" s="127"/>
      <c r="L88" s="114">
        <v>12.867749999999999</v>
      </c>
      <c r="M88" s="144">
        <f t="shared" si="189"/>
        <v>12.867750000000001</v>
      </c>
      <c r="N88" s="128">
        <v>1.4250000000000001E-2</v>
      </c>
      <c r="O88" s="2"/>
      <c r="P88" s="329"/>
      <c r="Q88" s="98" t="s">
        <v>42</v>
      </c>
      <c r="R88" s="165">
        <v>2.0500000000000002E-3</v>
      </c>
      <c r="S88" s="124"/>
      <c r="T88" s="159"/>
      <c r="U88" s="123"/>
      <c r="V88" s="140"/>
      <c r="W88" s="140"/>
      <c r="X88" s="140"/>
      <c r="Y88" s="124"/>
      <c r="Z88" s="124"/>
      <c r="AA88" s="124"/>
      <c r="AB88" s="124"/>
      <c r="AC88" s="124"/>
      <c r="AD88" s="124"/>
      <c r="AE88" s="124"/>
      <c r="AF88" s="159"/>
      <c r="AG88" s="321">
        <f t="shared" si="185"/>
        <v>2.0500000000000002E-3</v>
      </c>
      <c r="AH88" s="322"/>
    </row>
    <row r="89" spans="2:39" ht="12.75" hidden="1" customHeight="1" x14ac:dyDescent="0.3">
      <c r="B89" s="125">
        <v>24</v>
      </c>
      <c r="C89" s="126"/>
      <c r="D89" s="151"/>
      <c r="E89" s="127"/>
      <c r="F89" s="114">
        <v>0.68400000000000005</v>
      </c>
      <c r="G89" s="149">
        <f t="shared" si="187"/>
        <v>0.68400000000000005</v>
      </c>
      <c r="H89" s="128">
        <v>1.4250000000000001E-2</v>
      </c>
      <c r="I89" s="126"/>
      <c r="J89" s="114"/>
      <c r="K89" s="127"/>
      <c r="L89" s="114">
        <v>12.867749999999999</v>
      </c>
      <c r="M89" s="144">
        <f t="shared" si="189"/>
        <v>12.867750000000001</v>
      </c>
      <c r="N89" s="128">
        <v>1.4250000000000001E-2</v>
      </c>
      <c r="O89" s="2"/>
      <c r="R89" s="101"/>
      <c r="S89" s="101"/>
      <c r="T89" s="101"/>
      <c r="AC89" s="2"/>
      <c r="AE89" s="313" t="s">
        <v>88</v>
      </c>
      <c r="AF89" s="314"/>
      <c r="AG89" s="317">
        <f>SUM(AG63:AH88)</f>
        <v>47.999990000000011</v>
      </c>
      <c r="AH89" s="318"/>
    </row>
    <row r="90" spans="2:39" ht="14.4" hidden="1" thickBot="1" x14ac:dyDescent="0.3">
      <c r="B90" s="125">
        <v>25</v>
      </c>
      <c r="C90" s="126"/>
      <c r="D90" s="151"/>
      <c r="E90" s="131"/>
      <c r="F90" s="114">
        <v>0.68400000000000005</v>
      </c>
      <c r="G90" s="149">
        <f t="shared" si="187"/>
        <v>0.68400000000000005</v>
      </c>
      <c r="H90" s="128">
        <v>1.4250000000000001E-2</v>
      </c>
      <c r="I90" s="126"/>
      <c r="J90" s="114"/>
      <c r="K90" s="131"/>
      <c r="L90" s="114">
        <v>12.867749999999999</v>
      </c>
      <c r="M90" s="144">
        <f t="shared" si="189"/>
        <v>12.867750000000001</v>
      </c>
      <c r="N90" s="128">
        <v>1.4250000000000001E-2</v>
      </c>
      <c r="O90" s="2"/>
      <c r="R90" s="2"/>
      <c r="S90" s="2"/>
      <c r="T90" s="2"/>
      <c r="AC90" s="2"/>
      <c r="AE90" s="315"/>
      <c r="AF90" s="316"/>
      <c r="AG90" s="319"/>
      <c r="AH90" s="320"/>
    </row>
    <row r="91" spans="2:39" ht="12.75" hidden="1" customHeight="1" thickBot="1" x14ac:dyDescent="0.35">
      <c r="B91" s="132" t="s">
        <v>89</v>
      </c>
      <c r="C91" s="133">
        <f>SUM(C66:C86)</f>
        <v>40.799980000000005</v>
      </c>
      <c r="D91" s="191">
        <f>SUM(D66:D90)</f>
        <v>40.799995199999998</v>
      </c>
      <c r="E91" s="134">
        <f>SUM(E66:E90)</f>
        <v>0.84999989999999992</v>
      </c>
      <c r="F91" s="132">
        <f>SUM(F66:F90)</f>
        <v>7.2000000000000011</v>
      </c>
      <c r="G91" s="135">
        <f>SUM(G66:G90)</f>
        <v>7.2000000000000011</v>
      </c>
      <c r="H91" s="132">
        <f>SUM(H66:H90)</f>
        <v>0.15000000000000002</v>
      </c>
      <c r="I91" s="136">
        <f>SUM(I66:I86)</f>
        <v>767.54990999999995</v>
      </c>
      <c r="J91" s="132">
        <f>SUM(J66:J90)</f>
        <v>767.54990969999994</v>
      </c>
      <c r="K91" s="134">
        <f>SUM(K66:K90)</f>
        <v>0.84999989999999992</v>
      </c>
      <c r="L91" s="137">
        <f>SUM(L66:L90)</f>
        <v>135.44999999999999</v>
      </c>
      <c r="M91" s="135">
        <f>SUM(M66:M90)</f>
        <v>135.44999999999999</v>
      </c>
      <c r="N91" s="132">
        <f>SUM(N66:N90)</f>
        <v>0.15000000000000002</v>
      </c>
      <c r="O91" s="2"/>
      <c r="R91" s="101"/>
      <c r="S91" s="101"/>
      <c r="T91" s="101"/>
      <c r="U91" s="101"/>
      <c r="V91" s="101"/>
      <c r="W91" s="101"/>
      <c r="X91" s="101"/>
      <c r="AC91" s="2"/>
      <c r="AJ91" s="2"/>
      <c r="AK91" s="2"/>
      <c r="AL91" s="2"/>
      <c r="AM91" s="2"/>
    </row>
    <row r="92" spans="2:39" ht="15.75" hidden="1" customHeight="1" thickBot="1" x14ac:dyDescent="0.35">
      <c r="C92" s="330" t="s">
        <v>90</v>
      </c>
      <c r="D92" s="307">
        <f>SUM(C91+F91)</f>
        <v>47.999980000000008</v>
      </c>
      <c r="E92" s="330" t="s">
        <v>91</v>
      </c>
      <c r="F92" s="307">
        <f>SUM(D91+G91)</f>
        <v>47.999995200000001</v>
      </c>
      <c r="G92" s="332" t="s">
        <v>92</v>
      </c>
      <c r="H92" s="311">
        <f>SUM(E91+H91)</f>
        <v>0.99999989999999994</v>
      </c>
      <c r="I92" s="334" t="s">
        <v>90</v>
      </c>
      <c r="J92" s="336">
        <f>SUM(I91+L91)</f>
        <v>902.99991</v>
      </c>
      <c r="K92" s="334" t="s">
        <v>91</v>
      </c>
      <c r="L92" s="307">
        <f>SUM(J91+M91)</f>
        <v>902.99990969999999</v>
      </c>
      <c r="M92" s="309" t="s">
        <v>92</v>
      </c>
      <c r="N92" s="311">
        <f>SUM(K91+N91)</f>
        <v>0.99999989999999994</v>
      </c>
      <c r="O92" s="2"/>
      <c r="P92" s="100"/>
      <c r="Q92" s="101"/>
      <c r="R92" s="101"/>
      <c r="S92" s="101"/>
      <c r="T92" s="101"/>
      <c r="U92" s="101"/>
      <c r="V92" s="101"/>
      <c r="W92" s="101"/>
      <c r="X92" s="102"/>
      <c r="AC92" s="2"/>
      <c r="AJ92" s="101"/>
      <c r="AK92" s="101"/>
      <c r="AL92" s="111"/>
      <c r="AM92" s="2"/>
    </row>
    <row r="93" spans="2:39" ht="12.75" hidden="1" customHeight="1" thickBot="1" x14ac:dyDescent="0.3">
      <c r="B93" s="2"/>
      <c r="C93" s="331"/>
      <c r="D93" s="308"/>
      <c r="E93" s="331"/>
      <c r="F93" s="308"/>
      <c r="G93" s="333"/>
      <c r="H93" s="312"/>
      <c r="I93" s="335"/>
      <c r="J93" s="337"/>
      <c r="K93" s="335"/>
      <c r="L93" s="308"/>
      <c r="M93" s="310"/>
      <c r="N93" s="312"/>
      <c r="O93" s="2"/>
      <c r="P93" s="297" t="s">
        <v>70</v>
      </c>
      <c r="Q93" s="298"/>
      <c r="R93" s="104" t="s">
        <v>71</v>
      </c>
      <c r="S93" s="105" t="s">
        <v>71</v>
      </c>
      <c r="T93" s="152" t="s">
        <v>71</v>
      </c>
      <c r="U93" s="160" t="s">
        <v>72</v>
      </c>
      <c r="V93" s="106" t="s">
        <v>72</v>
      </c>
      <c r="W93" s="106" t="s">
        <v>72</v>
      </c>
      <c r="X93" s="106" t="s">
        <v>72</v>
      </c>
      <c r="Y93" s="106" t="s">
        <v>72</v>
      </c>
      <c r="Z93" s="106" t="s">
        <v>72</v>
      </c>
      <c r="AA93" s="106" t="s">
        <v>72</v>
      </c>
      <c r="AB93" s="106" t="s">
        <v>72</v>
      </c>
      <c r="AC93" s="106" t="s">
        <v>72</v>
      </c>
      <c r="AD93" s="106" t="s">
        <v>72</v>
      </c>
      <c r="AE93" s="106" t="s">
        <v>72</v>
      </c>
      <c r="AF93" s="107" t="s">
        <v>72</v>
      </c>
      <c r="AG93" s="299" t="s">
        <v>73</v>
      </c>
      <c r="AH93" s="300"/>
      <c r="AJ93" s="323" t="s">
        <v>93</v>
      </c>
      <c r="AK93" s="115" t="s">
        <v>75</v>
      </c>
      <c r="AL93" s="116"/>
      <c r="AM93" s="2"/>
    </row>
    <row r="94" spans="2:39" ht="14.4" hidden="1" thickBot="1" x14ac:dyDescent="0.35">
      <c r="B94" s="2"/>
      <c r="C94" s="101"/>
      <c r="D94" s="101"/>
      <c r="E94" s="101"/>
      <c r="F94" s="101"/>
      <c r="G94" s="101"/>
      <c r="H94" s="125"/>
      <c r="I94" s="2"/>
      <c r="J94" s="2"/>
      <c r="K94" s="2"/>
      <c r="L94" s="2"/>
      <c r="M94" s="2"/>
      <c r="N94" s="2"/>
      <c r="O94" s="2"/>
      <c r="P94" s="274" t="s">
        <v>54</v>
      </c>
      <c r="Q94" s="99" t="s">
        <v>40</v>
      </c>
      <c r="R94" s="153">
        <v>270.30648000000002</v>
      </c>
      <c r="S94" s="72"/>
      <c r="T94" s="162"/>
      <c r="U94" s="143">
        <v>7.9267500000000002</v>
      </c>
      <c r="V94" s="109">
        <v>7.9267500000000002</v>
      </c>
      <c r="W94" s="109">
        <v>1.6259999999999999</v>
      </c>
      <c r="X94" s="114">
        <v>11.58525</v>
      </c>
      <c r="Y94" s="109"/>
      <c r="Z94" s="109"/>
      <c r="AA94" s="109"/>
      <c r="AB94" s="109"/>
      <c r="AC94" s="109"/>
      <c r="AD94" s="109"/>
      <c r="AE94" s="110"/>
      <c r="AF94" s="156"/>
      <c r="AG94" s="303">
        <f t="shared" ref="AG94:AG119" si="191">SUM(R94:AF94)</f>
        <v>299.37123000000003</v>
      </c>
      <c r="AH94" s="304"/>
      <c r="AJ94" s="324"/>
      <c r="AK94" s="123" t="s">
        <v>82</v>
      </c>
      <c r="AL94" s="124"/>
      <c r="AM94" s="2"/>
    </row>
    <row r="95" spans="2:39" ht="12.75" hidden="1" customHeight="1" thickBot="1" x14ac:dyDescent="0.35">
      <c r="B95" s="101"/>
      <c r="C95" s="2"/>
      <c r="D95" s="138"/>
      <c r="E95" s="100"/>
      <c r="F95" s="101"/>
      <c r="G95" s="101"/>
      <c r="H95" s="101"/>
      <c r="I95" s="2"/>
      <c r="J95" s="2"/>
      <c r="K95" s="2"/>
      <c r="L95" s="2"/>
      <c r="M95" s="2"/>
      <c r="N95" s="2"/>
      <c r="O95" s="2"/>
      <c r="P95" s="266"/>
      <c r="Q95" s="97" t="s">
        <v>42</v>
      </c>
      <c r="R95" s="161">
        <v>29.92323</v>
      </c>
      <c r="S95" s="113"/>
      <c r="T95" s="128"/>
      <c r="U95" s="126">
        <v>0.87749999999999995</v>
      </c>
      <c r="V95" s="139">
        <v>0.87749999999999995</v>
      </c>
      <c r="W95" s="114">
        <v>0.18</v>
      </c>
      <c r="X95" s="114">
        <v>1.2825</v>
      </c>
      <c r="Y95" s="114"/>
      <c r="Z95" s="114"/>
      <c r="AA95" s="114"/>
      <c r="AB95" s="114"/>
      <c r="AC95" s="114"/>
      <c r="AD95" s="114"/>
      <c r="AE95" s="114"/>
      <c r="AF95" s="128"/>
      <c r="AG95" s="305">
        <f t="shared" si="191"/>
        <v>33.140730000000005</v>
      </c>
      <c r="AH95" s="306"/>
      <c r="AJ95" s="325"/>
      <c r="AK95" s="129" t="s">
        <v>83</v>
      </c>
      <c r="AL95" s="130">
        <f>SUM(AL93+AL94)</f>
        <v>0</v>
      </c>
      <c r="AM95" s="2"/>
    </row>
    <row r="96" spans="2:39" ht="13.8" hidden="1" x14ac:dyDescent="0.3">
      <c r="B96" s="101"/>
      <c r="C96" s="2"/>
      <c r="D96" s="2"/>
      <c r="E96" s="2"/>
      <c r="G96" s="2"/>
      <c r="H96" s="2"/>
      <c r="I96" s="101"/>
      <c r="J96" s="101"/>
      <c r="K96" s="101"/>
      <c r="L96" s="101"/>
      <c r="M96" s="101"/>
      <c r="N96" s="101"/>
      <c r="P96" s="266" t="s">
        <v>55</v>
      </c>
      <c r="Q96" s="97" t="s">
        <v>40</v>
      </c>
      <c r="R96" s="126">
        <v>4.7667799999999998</v>
      </c>
      <c r="S96" s="110">
        <v>44.116549999999997</v>
      </c>
      <c r="T96" s="128"/>
      <c r="U96" s="126">
        <v>5.2438500000000001</v>
      </c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28"/>
      <c r="AG96" s="305">
        <f t="shared" si="191"/>
        <v>54.127179999999996</v>
      </c>
      <c r="AH96" s="306"/>
      <c r="AI96" s="101"/>
      <c r="AJ96" s="101"/>
      <c r="AK96" s="101"/>
      <c r="AL96" s="101"/>
      <c r="AM96" s="2"/>
    </row>
    <row r="97" spans="2:39" ht="12.75" hidden="1" customHeight="1" x14ac:dyDescent="0.3">
      <c r="B97" s="101"/>
      <c r="C97" s="2"/>
      <c r="D97" s="2"/>
      <c r="E97" s="2"/>
      <c r="G97" s="2"/>
      <c r="H97" s="2"/>
      <c r="I97" s="101"/>
      <c r="J97" s="101"/>
      <c r="K97" s="101"/>
      <c r="L97" s="2"/>
      <c r="M97" s="2"/>
      <c r="N97" s="2"/>
      <c r="P97" s="266"/>
      <c r="Q97" s="97" t="s">
        <v>42</v>
      </c>
      <c r="R97" s="126">
        <v>0.52768999999999999</v>
      </c>
      <c r="S97" s="114">
        <v>4.88375</v>
      </c>
      <c r="T97" s="128"/>
      <c r="U97" s="126">
        <v>0.58050000000000002</v>
      </c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28"/>
      <c r="AG97" s="305">
        <f t="shared" si="191"/>
        <v>5.9919399999999996</v>
      </c>
      <c r="AH97" s="306"/>
      <c r="AI97" s="101"/>
      <c r="AJ97" s="101"/>
      <c r="AK97" s="101"/>
      <c r="AL97" s="101"/>
      <c r="AM97" s="2"/>
    </row>
    <row r="98" spans="2:39" ht="13.8" hidden="1" x14ac:dyDescent="0.3"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2"/>
      <c r="M98" s="2"/>
      <c r="N98" s="2"/>
      <c r="P98" s="266" t="s">
        <v>56</v>
      </c>
      <c r="Q98" s="97" t="s">
        <v>40</v>
      </c>
      <c r="R98" s="163">
        <v>2.4389999999999998E-2</v>
      </c>
      <c r="S98" s="114"/>
      <c r="T98" s="128"/>
      <c r="U98" s="126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28"/>
      <c r="AG98" s="326">
        <f t="shared" si="191"/>
        <v>2.4389999999999998E-2</v>
      </c>
      <c r="AH98" s="327"/>
      <c r="AI98" s="101"/>
    </row>
    <row r="99" spans="2:39" ht="13.8" hidden="1" x14ac:dyDescent="0.3"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2"/>
      <c r="M99" s="2"/>
      <c r="N99" s="2"/>
      <c r="P99" s="266"/>
      <c r="Q99" s="97" t="s">
        <v>42</v>
      </c>
      <c r="R99" s="163">
        <v>2.7000000000000001E-3</v>
      </c>
      <c r="S99" s="114"/>
      <c r="T99" s="128"/>
      <c r="U99" s="126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28"/>
      <c r="AG99" s="326">
        <f t="shared" si="191"/>
        <v>2.7000000000000001E-3</v>
      </c>
      <c r="AH99" s="327"/>
      <c r="AI99" s="101"/>
    </row>
    <row r="100" spans="2:39" ht="13.8" hidden="1" x14ac:dyDescent="0.3"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2"/>
      <c r="M100" s="2"/>
      <c r="N100" s="2"/>
      <c r="P100" s="266" t="s">
        <v>57</v>
      </c>
      <c r="Q100" s="97" t="s">
        <v>40</v>
      </c>
      <c r="R100" s="126">
        <v>281.4819</v>
      </c>
      <c r="S100" s="114"/>
      <c r="T100" s="128"/>
      <c r="U100" s="126">
        <v>6.3007499999999999</v>
      </c>
      <c r="V100" s="114">
        <v>0.21138000000000001</v>
      </c>
      <c r="W100" s="114">
        <v>2.5934699999999999</v>
      </c>
      <c r="X100" s="114">
        <v>9.1462500000000002</v>
      </c>
      <c r="Y100" s="114">
        <v>11.58525</v>
      </c>
      <c r="Z100" s="114"/>
      <c r="AA100" s="114"/>
      <c r="AB100" s="114"/>
      <c r="AC100" s="114"/>
      <c r="AD100" s="114"/>
      <c r="AE100" s="114"/>
      <c r="AF100" s="128"/>
      <c r="AG100" s="305">
        <f t="shared" si="191"/>
        <v>311.31900000000002</v>
      </c>
      <c r="AH100" s="306"/>
      <c r="AI100" s="101"/>
    </row>
    <row r="101" spans="2:39" ht="13.5" hidden="1" customHeight="1" x14ac:dyDescent="0.3"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2"/>
      <c r="M101" s="2"/>
      <c r="N101" s="2"/>
      <c r="P101" s="266"/>
      <c r="Q101" s="97" t="s">
        <v>42</v>
      </c>
      <c r="R101" s="126">
        <v>31.160360000000001</v>
      </c>
      <c r="S101" s="114"/>
      <c r="T101" s="128"/>
      <c r="U101" s="126">
        <v>0.69750000000000001</v>
      </c>
      <c r="V101" s="114">
        <v>2.3400000000000001E-2</v>
      </c>
      <c r="W101" s="114">
        <v>0.28710000000000002</v>
      </c>
      <c r="X101" s="114">
        <v>1.0125</v>
      </c>
      <c r="Y101" s="114">
        <v>1.2825</v>
      </c>
      <c r="Z101" s="114"/>
      <c r="AA101" s="114"/>
      <c r="AB101" s="114"/>
      <c r="AC101" s="114"/>
      <c r="AD101" s="114"/>
      <c r="AE101" s="114"/>
      <c r="AF101" s="128"/>
      <c r="AG101" s="305">
        <f t="shared" si="191"/>
        <v>34.463360000000002</v>
      </c>
      <c r="AH101" s="306"/>
      <c r="AI101" s="101"/>
    </row>
    <row r="102" spans="2:39" ht="13.8" hidden="1" x14ac:dyDescent="0.3"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2"/>
      <c r="M102" s="2"/>
      <c r="N102" s="2"/>
      <c r="P102" s="266" t="s">
        <v>58</v>
      </c>
      <c r="Q102" s="97" t="s">
        <v>40</v>
      </c>
      <c r="R102" s="163">
        <v>0.14072999999999999</v>
      </c>
      <c r="S102" s="114"/>
      <c r="T102" s="128"/>
      <c r="U102" s="126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28"/>
      <c r="AG102" s="326">
        <f t="shared" si="191"/>
        <v>0.14072999999999999</v>
      </c>
      <c r="AH102" s="327"/>
      <c r="AI102" s="101"/>
    </row>
    <row r="103" spans="2:39" ht="12.75" hidden="1" customHeight="1" x14ac:dyDescent="0.3"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2"/>
      <c r="M103" s="2"/>
      <c r="N103" s="2"/>
      <c r="P103" s="266"/>
      <c r="Q103" s="97" t="s">
        <v>42</v>
      </c>
      <c r="R103" s="163">
        <v>1.558E-2</v>
      </c>
      <c r="S103" s="114"/>
      <c r="T103" s="128"/>
      <c r="U103" s="126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28"/>
      <c r="AG103" s="326">
        <f t="shared" si="191"/>
        <v>1.558E-2</v>
      </c>
      <c r="AH103" s="327"/>
      <c r="AI103" s="101"/>
      <c r="AJ103" s="2"/>
      <c r="AK103" s="2"/>
      <c r="AL103" s="2"/>
    </row>
    <row r="104" spans="2:39" ht="13.8" hidden="1" x14ac:dyDescent="0.3"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2"/>
      <c r="M104" s="2"/>
      <c r="N104" s="2"/>
      <c r="P104" s="266" t="s">
        <v>59</v>
      </c>
      <c r="Q104" s="97" t="s">
        <v>40</v>
      </c>
      <c r="R104" s="126">
        <v>35.666800000000002</v>
      </c>
      <c r="S104" s="114">
        <v>17.885999999999999</v>
      </c>
      <c r="T104" s="128">
        <v>17.610959999999999</v>
      </c>
      <c r="U104" s="126">
        <v>1.82925</v>
      </c>
      <c r="V104" s="114">
        <v>2.1951000000000001</v>
      </c>
      <c r="W104" s="114">
        <v>5.7316500000000001</v>
      </c>
      <c r="X104" s="114"/>
      <c r="Y104" s="114"/>
      <c r="Z104" s="114"/>
      <c r="AA104" s="114"/>
      <c r="AB104" s="114"/>
      <c r="AC104" s="114"/>
      <c r="AD104" s="114"/>
      <c r="AE104" s="114"/>
      <c r="AF104" s="128"/>
      <c r="AG104" s="305">
        <f t="shared" si="191"/>
        <v>80.919759999999997</v>
      </c>
      <c r="AH104" s="306"/>
      <c r="AI104" s="101"/>
      <c r="AJ104" s="2"/>
      <c r="AK104" s="2"/>
      <c r="AL104" s="2"/>
    </row>
    <row r="105" spans="2:39" ht="12.75" hidden="1" customHeight="1" x14ac:dyDescent="0.3"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2"/>
      <c r="M105" s="2"/>
      <c r="N105" s="2"/>
      <c r="P105" s="266"/>
      <c r="Q105" s="97" t="s">
        <v>42</v>
      </c>
      <c r="R105" s="157">
        <v>3.94835</v>
      </c>
      <c r="S105" s="141">
        <v>1.98</v>
      </c>
      <c r="T105" s="158">
        <v>1.9495499999999999</v>
      </c>
      <c r="U105" s="157">
        <v>0.20250000000000001</v>
      </c>
      <c r="V105" s="141">
        <v>0.24299999999999999</v>
      </c>
      <c r="W105" s="141">
        <v>0.63449999999999995</v>
      </c>
      <c r="X105" s="141"/>
      <c r="Y105" s="141"/>
      <c r="Z105" s="141"/>
      <c r="AA105" s="141"/>
      <c r="AB105" s="141"/>
      <c r="AC105" s="141"/>
      <c r="AD105" s="141"/>
      <c r="AE105" s="141"/>
      <c r="AF105" s="158"/>
      <c r="AG105" s="305">
        <f t="shared" si="191"/>
        <v>8.9579000000000004</v>
      </c>
      <c r="AH105" s="306"/>
      <c r="AI105" s="101"/>
      <c r="AJ105" s="2"/>
      <c r="AK105" s="2"/>
      <c r="AL105" s="2"/>
    </row>
    <row r="106" spans="2:39" ht="13.8" hidden="1" x14ac:dyDescent="0.3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2"/>
      <c r="M106" s="2"/>
      <c r="N106" s="2"/>
      <c r="P106" s="266" t="s">
        <v>60</v>
      </c>
      <c r="Q106" s="97" t="s">
        <v>40</v>
      </c>
      <c r="R106" s="164">
        <v>8.1379999999999994E-2</v>
      </c>
      <c r="S106" s="141"/>
      <c r="T106" s="158"/>
      <c r="U106" s="157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58"/>
      <c r="AG106" s="326">
        <f t="shared" si="191"/>
        <v>8.1379999999999994E-2</v>
      </c>
      <c r="AH106" s="327"/>
      <c r="AI106" s="101"/>
      <c r="AJ106" s="2"/>
      <c r="AK106" s="2"/>
      <c r="AL106" s="2"/>
    </row>
    <row r="107" spans="2:39" ht="12.75" hidden="1" customHeight="1" x14ac:dyDescent="0.3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2"/>
      <c r="M107" s="2"/>
      <c r="N107" s="2"/>
      <c r="P107" s="266"/>
      <c r="Q107" s="97" t="s">
        <v>42</v>
      </c>
      <c r="R107" s="164">
        <v>9.0100000000000006E-3</v>
      </c>
      <c r="S107" s="141"/>
      <c r="T107" s="158"/>
      <c r="U107" s="157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58"/>
      <c r="AG107" s="326">
        <f t="shared" si="191"/>
        <v>9.0100000000000006E-3</v>
      </c>
      <c r="AH107" s="327"/>
      <c r="AI107" s="101"/>
      <c r="AJ107" s="2"/>
      <c r="AK107" s="2"/>
      <c r="AL107" s="2"/>
    </row>
    <row r="108" spans="2:39" ht="13.8" hidden="1" x14ac:dyDescent="0.3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2"/>
      <c r="M108" s="2"/>
      <c r="N108" s="2"/>
      <c r="P108" s="266" t="s">
        <v>61</v>
      </c>
      <c r="Q108" s="97" t="s">
        <v>40</v>
      </c>
      <c r="R108" s="164">
        <v>1.634E-2</v>
      </c>
      <c r="S108" s="141"/>
      <c r="T108" s="158"/>
      <c r="U108" s="157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58"/>
      <c r="AG108" s="326">
        <f t="shared" si="191"/>
        <v>1.634E-2</v>
      </c>
      <c r="AH108" s="327"/>
      <c r="AI108" s="101"/>
      <c r="AJ108" s="2"/>
      <c r="AK108" s="2"/>
      <c r="AL108" s="2"/>
    </row>
    <row r="109" spans="2:39" ht="13.5" hidden="1" customHeight="1" x14ac:dyDescent="0.3"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2"/>
      <c r="M109" s="2"/>
      <c r="N109" s="2"/>
      <c r="P109" s="266"/>
      <c r="Q109" s="97" t="s">
        <v>42</v>
      </c>
      <c r="R109" s="164">
        <v>1.81E-3</v>
      </c>
      <c r="S109" s="141"/>
      <c r="T109" s="158"/>
      <c r="U109" s="157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58"/>
      <c r="AG109" s="326">
        <f t="shared" si="191"/>
        <v>1.81E-3</v>
      </c>
      <c r="AH109" s="327"/>
      <c r="AI109" s="101"/>
      <c r="AJ109" s="2"/>
      <c r="AK109" s="2"/>
      <c r="AL109" s="2"/>
    </row>
    <row r="110" spans="2:39" ht="13.8" hidden="1" x14ac:dyDescent="0.3"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2"/>
      <c r="M110" s="2"/>
      <c r="N110" s="2"/>
      <c r="P110" s="266" t="s">
        <v>84</v>
      </c>
      <c r="Q110" s="97" t="s">
        <v>40</v>
      </c>
      <c r="R110" s="164">
        <v>4.8779999999999997E-2</v>
      </c>
      <c r="S110" s="141"/>
      <c r="T110" s="158"/>
      <c r="U110" s="157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58"/>
      <c r="AG110" s="326">
        <f t="shared" si="191"/>
        <v>4.8779999999999997E-2</v>
      </c>
      <c r="AH110" s="327"/>
      <c r="AI110" s="101"/>
      <c r="AJ110" s="2"/>
      <c r="AK110" s="2"/>
      <c r="AL110" s="2"/>
    </row>
    <row r="111" spans="2:39" ht="13.8" hidden="1" x14ac:dyDescent="0.3"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2"/>
      <c r="M111" s="2"/>
      <c r="N111" s="2"/>
      <c r="P111" s="266"/>
      <c r="Q111" s="97" t="s">
        <v>42</v>
      </c>
      <c r="R111" s="164">
        <v>5.4000000000000003E-3</v>
      </c>
      <c r="S111" s="141"/>
      <c r="T111" s="158"/>
      <c r="U111" s="157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58"/>
      <c r="AG111" s="326">
        <f t="shared" si="191"/>
        <v>5.4000000000000003E-3</v>
      </c>
      <c r="AH111" s="327"/>
      <c r="AI111" s="101"/>
      <c r="AJ111" s="2"/>
      <c r="AK111" s="2"/>
      <c r="AL111" s="2"/>
    </row>
    <row r="112" spans="2:39" ht="13.8" hidden="1" x14ac:dyDescent="0.3"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2"/>
      <c r="M112" s="2"/>
      <c r="N112" s="2"/>
      <c r="P112" s="266" t="s">
        <v>85</v>
      </c>
      <c r="Q112" s="97" t="s">
        <v>40</v>
      </c>
      <c r="R112" s="157">
        <v>18.244209999999999</v>
      </c>
      <c r="S112" s="141"/>
      <c r="T112" s="158"/>
      <c r="U112" s="157">
        <v>0.60975000000000001</v>
      </c>
      <c r="V112" s="141">
        <v>3.0487500000000001</v>
      </c>
      <c r="W112" s="141">
        <v>3.0487500000000001</v>
      </c>
      <c r="X112" s="141">
        <v>4.2682500000000001</v>
      </c>
      <c r="Y112" s="141">
        <v>4.2682500000000001</v>
      </c>
      <c r="Z112" s="141">
        <v>5.4877500000000001</v>
      </c>
      <c r="AA112" s="141">
        <v>6.7072500000000002</v>
      </c>
      <c r="AB112" s="190">
        <f>5.1219-5.1219</f>
        <v>0</v>
      </c>
      <c r="AC112" s="141">
        <v>3.2926500000000001</v>
      </c>
      <c r="AD112" s="141">
        <v>4.8779999999999997E-2</v>
      </c>
      <c r="AE112" s="141">
        <v>0.56096999999999997</v>
      </c>
      <c r="AF112" s="158">
        <v>11.58525</v>
      </c>
      <c r="AG112" s="305">
        <f t="shared" si="191"/>
        <v>61.170610000000003</v>
      </c>
      <c r="AH112" s="306"/>
      <c r="AI112" s="101"/>
      <c r="AJ112" s="2"/>
      <c r="AK112" s="2"/>
      <c r="AL112" s="2"/>
    </row>
    <row r="113" spans="2:38" ht="13.8" hidden="1" x14ac:dyDescent="0.3"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2"/>
      <c r="M113" s="2"/>
      <c r="N113" s="2"/>
      <c r="P113" s="266"/>
      <c r="Q113" s="97" t="s">
        <v>42</v>
      </c>
      <c r="R113" s="157">
        <v>2.0196499999999999</v>
      </c>
      <c r="S113" s="141"/>
      <c r="T113" s="158"/>
      <c r="U113" s="157">
        <v>6.7500000000000004E-2</v>
      </c>
      <c r="V113" s="141">
        <v>0.33750000000000002</v>
      </c>
      <c r="W113" s="141">
        <v>0.33750000000000002</v>
      </c>
      <c r="X113" s="141">
        <v>0.47249999999999998</v>
      </c>
      <c r="Y113" s="141">
        <v>0.47249999999999998</v>
      </c>
      <c r="Z113" s="141">
        <v>0.60750000000000004</v>
      </c>
      <c r="AA113" s="141">
        <v>0.74250000000000005</v>
      </c>
      <c r="AB113" s="190">
        <f>0.567-0.567</f>
        <v>0</v>
      </c>
      <c r="AC113" s="141">
        <v>0.36449999999999999</v>
      </c>
      <c r="AD113" s="141">
        <v>5.4000000000000003E-3</v>
      </c>
      <c r="AE113" s="141">
        <v>6.2100000000000002E-2</v>
      </c>
      <c r="AF113" s="158">
        <v>1.2825</v>
      </c>
      <c r="AG113" s="305">
        <f t="shared" si="191"/>
        <v>6.7716499999999993</v>
      </c>
      <c r="AH113" s="306"/>
      <c r="AI113" s="101"/>
      <c r="AJ113" s="2"/>
      <c r="AK113" s="2"/>
      <c r="AL113" s="2"/>
    </row>
    <row r="114" spans="2:38" ht="13.8" hidden="1" x14ac:dyDescent="0.3"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2"/>
      <c r="M114" s="2"/>
      <c r="N114" s="2"/>
      <c r="P114" s="266" t="s">
        <v>86</v>
      </c>
      <c r="Q114" s="97" t="s">
        <v>40</v>
      </c>
      <c r="R114" s="164">
        <v>0.32519999999999999</v>
      </c>
      <c r="S114" s="141"/>
      <c r="T114" s="158"/>
      <c r="U114" s="157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58"/>
      <c r="AG114" s="326">
        <f t="shared" si="191"/>
        <v>0.32519999999999999</v>
      </c>
      <c r="AH114" s="327"/>
    </row>
    <row r="115" spans="2:38" ht="13.8" hidden="1" x14ac:dyDescent="0.3">
      <c r="B115" s="101"/>
      <c r="P115" s="266"/>
      <c r="Q115" s="97" t="s">
        <v>42</v>
      </c>
      <c r="R115" s="164">
        <v>3.5999999999999997E-2</v>
      </c>
      <c r="S115" s="141"/>
      <c r="T115" s="158"/>
      <c r="U115" s="157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58"/>
      <c r="AG115" s="326">
        <f t="shared" si="191"/>
        <v>3.5999999999999997E-2</v>
      </c>
      <c r="AH115" s="327"/>
    </row>
    <row r="116" spans="2:38" ht="13.8" hidden="1" x14ac:dyDescent="0.3">
      <c r="P116" s="275" t="s">
        <v>87</v>
      </c>
      <c r="Q116" s="97" t="s">
        <v>40</v>
      </c>
      <c r="R116" s="164"/>
      <c r="S116" s="141"/>
      <c r="T116" s="158"/>
      <c r="U116" s="157"/>
      <c r="V116" s="141"/>
      <c r="W116" s="141"/>
      <c r="X116" s="141"/>
      <c r="Y116" s="141"/>
      <c r="Z116" s="141"/>
      <c r="AA116" s="141"/>
      <c r="AB116" s="190">
        <v>5.1219000000000001</v>
      </c>
      <c r="AC116" s="141"/>
      <c r="AD116" s="141"/>
      <c r="AE116" s="141"/>
      <c r="AF116" s="158"/>
      <c r="AG116" s="326">
        <f t="shared" ref="AG116:AG117" si="192">SUM(R116:AF116)</f>
        <v>5.1219000000000001</v>
      </c>
      <c r="AH116" s="327"/>
    </row>
    <row r="117" spans="2:38" ht="13.8" hidden="1" x14ac:dyDescent="0.3">
      <c r="P117" s="328"/>
      <c r="Q117" s="97" t="s">
        <v>42</v>
      </c>
      <c r="R117" s="164"/>
      <c r="S117" s="141"/>
      <c r="T117" s="158"/>
      <c r="U117" s="157"/>
      <c r="V117" s="141"/>
      <c r="W117" s="141"/>
      <c r="X117" s="141"/>
      <c r="Y117" s="141"/>
      <c r="Z117" s="141"/>
      <c r="AA117" s="141"/>
      <c r="AB117" s="190">
        <v>0.56699999999999995</v>
      </c>
      <c r="AC117" s="141"/>
      <c r="AD117" s="141"/>
      <c r="AE117" s="141"/>
      <c r="AF117" s="158"/>
      <c r="AG117" s="326">
        <f t="shared" si="192"/>
        <v>0.56699999999999995</v>
      </c>
      <c r="AH117" s="327"/>
    </row>
    <row r="118" spans="2:38" ht="13.8" hidden="1" x14ac:dyDescent="0.3">
      <c r="P118" s="275" t="s">
        <v>64</v>
      </c>
      <c r="Q118" s="97" t="s">
        <v>40</v>
      </c>
      <c r="R118" s="163">
        <v>0.33340999999999998</v>
      </c>
      <c r="S118" s="114"/>
      <c r="T118" s="128"/>
      <c r="U118" s="126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28"/>
      <c r="AG118" s="326">
        <f t="shared" si="191"/>
        <v>0.33340999999999998</v>
      </c>
      <c r="AH118" s="327"/>
    </row>
    <row r="119" spans="2:38" ht="14.4" hidden="1" thickBot="1" x14ac:dyDescent="0.35">
      <c r="P119" s="340"/>
      <c r="Q119" s="98" t="s">
        <v>42</v>
      </c>
      <c r="R119" s="165">
        <v>3.6909999999999998E-2</v>
      </c>
      <c r="S119" s="124"/>
      <c r="T119" s="159"/>
      <c r="U119" s="123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59"/>
      <c r="AG119" s="326">
        <f t="shared" si="191"/>
        <v>3.6909999999999998E-2</v>
      </c>
      <c r="AH119" s="327"/>
    </row>
    <row r="120" spans="2:38" ht="13.8" hidden="1" x14ac:dyDescent="0.3">
      <c r="R120" s="101"/>
      <c r="S120" s="101"/>
      <c r="T120" s="101"/>
      <c r="AE120" s="313" t="s">
        <v>88</v>
      </c>
      <c r="AF120" s="314"/>
      <c r="AG120" s="341">
        <f>SUM(AG94:AH119)</f>
        <v>902.99989999999991</v>
      </c>
      <c r="AH120" s="342"/>
    </row>
    <row r="121" spans="2:38" ht="12.6" hidden="1" thickBot="1" x14ac:dyDescent="0.3">
      <c r="R121" s="2"/>
      <c r="S121" s="2"/>
      <c r="T121" s="2"/>
      <c r="AE121" s="315"/>
      <c r="AF121" s="316"/>
      <c r="AG121" s="343"/>
      <c r="AH121" s="344"/>
    </row>
    <row r="123" spans="2:38" ht="12.75" customHeight="1" x14ac:dyDescent="0.3"/>
    <row r="124" spans="2:38" ht="12.75" customHeight="1" x14ac:dyDescent="0.3"/>
  </sheetData>
  <mergeCells count="283">
    <mergeCell ref="O52:O53"/>
    <mergeCell ref="P52:P53"/>
    <mergeCell ref="B6:B29"/>
    <mergeCell ref="C28:C29"/>
    <mergeCell ref="B30:B53"/>
    <mergeCell ref="C52:C53"/>
    <mergeCell ref="B54:D54"/>
    <mergeCell ref="K28:K29"/>
    <mergeCell ref="L28:L29"/>
    <mergeCell ref="M28:M29"/>
    <mergeCell ref="N28:N29"/>
    <mergeCell ref="K52:K53"/>
    <mergeCell ref="L52:L53"/>
    <mergeCell ref="M52:M53"/>
    <mergeCell ref="N52:N53"/>
    <mergeCell ref="C44:C45"/>
    <mergeCell ref="C46:C47"/>
    <mergeCell ref="L16:L17"/>
    <mergeCell ref="K6:K7"/>
    <mergeCell ref="K8:K9"/>
    <mergeCell ref="K10:K11"/>
    <mergeCell ref="K12:K13"/>
    <mergeCell ref="K14:K15"/>
    <mergeCell ref="K16:K17"/>
    <mergeCell ref="P93:Q93"/>
    <mergeCell ref="P116:P117"/>
    <mergeCell ref="AG116:AH116"/>
    <mergeCell ref="AG117:AH117"/>
    <mergeCell ref="P110:P111"/>
    <mergeCell ref="P112:P113"/>
    <mergeCell ref="P114:P115"/>
    <mergeCell ref="AG93:AH93"/>
    <mergeCell ref="P94:P95"/>
    <mergeCell ref="AG94:AH94"/>
    <mergeCell ref="P96:P97"/>
    <mergeCell ref="P98:P99"/>
    <mergeCell ref="AG99:AH99"/>
    <mergeCell ref="AE120:AF121"/>
    <mergeCell ref="AG120:AH121"/>
    <mergeCell ref="AG75:AH75"/>
    <mergeCell ref="AG76:AH76"/>
    <mergeCell ref="AG77:AH77"/>
    <mergeCell ref="AG78:AH78"/>
    <mergeCell ref="AG79:AH79"/>
    <mergeCell ref="AG80:AH80"/>
    <mergeCell ref="AG81:AH81"/>
    <mergeCell ref="AG82:AH82"/>
    <mergeCell ref="AG83:AH83"/>
    <mergeCell ref="AG84:AH84"/>
    <mergeCell ref="AG106:AH106"/>
    <mergeCell ref="AG107:AH107"/>
    <mergeCell ref="AG108:AH108"/>
    <mergeCell ref="AG109:AH109"/>
    <mergeCell ref="AG110:AH110"/>
    <mergeCell ref="AG111:AH111"/>
    <mergeCell ref="AG112:AH112"/>
    <mergeCell ref="AG101:AH101"/>
    <mergeCell ref="AG95:AH95"/>
    <mergeCell ref="AG96:AH96"/>
    <mergeCell ref="AG97:AH97"/>
    <mergeCell ref="AG98:AH98"/>
    <mergeCell ref="AG118:AH118"/>
    <mergeCell ref="AG119:AH119"/>
    <mergeCell ref="P100:P101"/>
    <mergeCell ref="AG100:AH100"/>
    <mergeCell ref="P118:P119"/>
    <mergeCell ref="P106:P107"/>
    <mergeCell ref="P108:P109"/>
    <mergeCell ref="AG113:AH113"/>
    <mergeCell ref="AG114:AH114"/>
    <mergeCell ref="AG115:AH115"/>
    <mergeCell ref="P102:P103"/>
    <mergeCell ref="AG102:AH102"/>
    <mergeCell ref="AG103:AH103"/>
    <mergeCell ref="P104:P105"/>
    <mergeCell ref="AG104:AH104"/>
    <mergeCell ref="AG105:AH105"/>
    <mergeCell ref="P71:P72"/>
    <mergeCell ref="AG71:AH71"/>
    <mergeCell ref="AG72:AH72"/>
    <mergeCell ref="P73:P74"/>
    <mergeCell ref="AG73:AH73"/>
    <mergeCell ref="AG74:AH74"/>
    <mergeCell ref="P77:P78"/>
    <mergeCell ref="P79:P80"/>
    <mergeCell ref="P81:P82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L92:L93"/>
    <mergeCell ref="M92:M93"/>
    <mergeCell ref="N92:N93"/>
    <mergeCell ref="AE89:AF90"/>
    <mergeCell ref="AG89:AH90"/>
    <mergeCell ref="P75:P76"/>
    <mergeCell ref="AG87:AH87"/>
    <mergeCell ref="AG88:AH88"/>
    <mergeCell ref="AJ64:AJ66"/>
    <mergeCell ref="P65:P66"/>
    <mergeCell ref="AG65:AH65"/>
    <mergeCell ref="AG66:AH66"/>
    <mergeCell ref="P67:P68"/>
    <mergeCell ref="AG67:AH67"/>
    <mergeCell ref="AG68:AH68"/>
    <mergeCell ref="P69:P70"/>
    <mergeCell ref="AG69:AH69"/>
    <mergeCell ref="AG70:AH70"/>
    <mergeCell ref="AJ93:AJ95"/>
    <mergeCell ref="P85:P86"/>
    <mergeCell ref="AG85:AH85"/>
    <mergeCell ref="AG86:AH86"/>
    <mergeCell ref="P83:P84"/>
    <mergeCell ref="P87:P88"/>
    <mergeCell ref="C62:D64"/>
    <mergeCell ref="G62:G64"/>
    <mergeCell ref="H62:H64"/>
    <mergeCell ref="I62:J64"/>
    <mergeCell ref="M62:M64"/>
    <mergeCell ref="N62:N64"/>
    <mergeCell ref="P62:Q62"/>
    <mergeCell ref="AG62:AH62"/>
    <mergeCell ref="E63:E64"/>
    <mergeCell ref="F63:F64"/>
    <mergeCell ref="K63:K64"/>
    <mergeCell ref="L63:L64"/>
    <mergeCell ref="P63:P64"/>
    <mergeCell ref="AG63:AH63"/>
    <mergeCell ref="AG64:AH64"/>
    <mergeCell ref="B2:P2"/>
    <mergeCell ref="B3:P3"/>
    <mergeCell ref="C40:C41"/>
    <mergeCell ref="C42:C43"/>
    <mergeCell ref="C22:C23"/>
    <mergeCell ref="C26:C27"/>
    <mergeCell ref="C30:C31"/>
    <mergeCell ref="C36:C37"/>
    <mergeCell ref="C38:C39"/>
    <mergeCell ref="C18:C19"/>
    <mergeCell ref="C34:C35"/>
    <mergeCell ref="C32:C33"/>
    <mergeCell ref="C14:C15"/>
    <mergeCell ref="C16:C17"/>
    <mergeCell ref="K22:K23"/>
    <mergeCell ref="K26:K27"/>
    <mergeCell ref="K30:K31"/>
    <mergeCell ref="C20:C21"/>
    <mergeCell ref="C6:C7"/>
    <mergeCell ref="C8:C9"/>
    <mergeCell ref="C10:C11"/>
    <mergeCell ref="C12:C13"/>
    <mergeCell ref="L8:L9"/>
    <mergeCell ref="L12:L13"/>
    <mergeCell ref="K18:K19"/>
    <mergeCell ref="K20:K21"/>
    <mergeCell ref="C24:C25"/>
    <mergeCell ref="K24:K25"/>
    <mergeCell ref="L24:L25"/>
    <mergeCell ref="M8:M9"/>
    <mergeCell ref="N8:N9"/>
    <mergeCell ref="O8:O9"/>
    <mergeCell ref="L18:L19"/>
    <mergeCell ref="M18:M19"/>
    <mergeCell ref="N18:N19"/>
    <mergeCell ref="O18:O19"/>
    <mergeCell ref="L20:L21"/>
    <mergeCell ref="L22:L23"/>
    <mergeCell ref="O16:O17"/>
    <mergeCell ref="M22:M23"/>
    <mergeCell ref="N22:N23"/>
    <mergeCell ref="O22:O23"/>
    <mergeCell ref="L14:L15"/>
    <mergeCell ref="M14:M15"/>
    <mergeCell ref="N14:N15"/>
    <mergeCell ref="O14:O15"/>
    <mergeCell ref="L10:L11"/>
    <mergeCell ref="L6:L7"/>
    <mergeCell ref="P18:P19"/>
    <mergeCell ref="M6:M7"/>
    <mergeCell ref="N6:N7"/>
    <mergeCell ref="O6:O7"/>
    <mergeCell ref="P6:P7"/>
    <mergeCell ref="M12:M13"/>
    <mergeCell ref="N12:N13"/>
    <mergeCell ref="O12:O13"/>
    <mergeCell ref="P12:P13"/>
    <mergeCell ref="M10:M11"/>
    <mergeCell ref="N10:N11"/>
    <mergeCell ref="O10:O11"/>
    <mergeCell ref="P10:P11"/>
    <mergeCell ref="P22:P23"/>
    <mergeCell ref="M20:M21"/>
    <mergeCell ref="N20:N21"/>
    <mergeCell ref="O20:O21"/>
    <mergeCell ref="P20:P21"/>
    <mergeCell ref="P8:P9"/>
    <mergeCell ref="M16:M17"/>
    <mergeCell ref="N16:N17"/>
    <mergeCell ref="M30:M31"/>
    <mergeCell ref="N30:N31"/>
    <mergeCell ref="O30:O31"/>
    <mergeCell ref="P30:P31"/>
    <mergeCell ref="P16:P17"/>
    <mergeCell ref="P14:P15"/>
    <mergeCell ref="L26:L27"/>
    <mergeCell ref="M26:M27"/>
    <mergeCell ref="N26:N27"/>
    <mergeCell ref="O26:O27"/>
    <mergeCell ref="P26:P27"/>
    <mergeCell ref="L30:L31"/>
    <mergeCell ref="O28:O29"/>
    <mergeCell ref="P28:P29"/>
    <mergeCell ref="P32:P33"/>
    <mergeCell ref="K34:K35"/>
    <mergeCell ref="L34:L35"/>
    <mergeCell ref="M34:M35"/>
    <mergeCell ref="N34:N35"/>
    <mergeCell ref="O34:O35"/>
    <mergeCell ref="P34:P35"/>
    <mergeCell ref="K32:K33"/>
    <mergeCell ref="L32:L33"/>
    <mergeCell ref="M32:M33"/>
    <mergeCell ref="N32:N33"/>
    <mergeCell ref="O32:O33"/>
    <mergeCell ref="P36:P37"/>
    <mergeCell ref="K38:K39"/>
    <mergeCell ref="L38:L39"/>
    <mergeCell ref="M38:M39"/>
    <mergeCell ref="N38:N39"/>
    <mergeCell ref="O38:O39"/>
    <mergeCell ref="P38:P39"/>
    <mergeCell ref="K36:K37"/>
    <mergeCell ref="L36:L37"/>
    <mergeCell ref="M36:M37"/>
    <mergeCell ref="N36:N37"/>
    <mergeCell ref="O36:O37"/>
    <mergeCell ref="P44:P45"/>
    <mergeCell ref="K46:K47"/>
    <mergeCell ref="L46:L47"/>
    <mergeCell ref="M46:M47"/>
    <mergeCell ref="N46:N47"/>
    <mergeCell ref="O46:O47"/>
    <mergeCell ref="P40:P41"/>
    <mergeCell ref="K42:K43"/>
    <mergeCell ref="L42:L43"/>
    <mergeCell ref="M42:M43"/>
    <mergeCell ref="N42:N43"/>
    <mergeCell ref="O42:O43"/>
    <mergeCell ref="P42:P43"/>
    <mergeCell ref="K40:K41"/>
    <mergeCell ref="L40:L41"/>
    <mergeCell ref="M40:M41"/>
    <mergeCell ref="N40:N41"/>
    <mergeCell ref="O40:O41"/>
    <mergeCell ref="C50:C51"/>
    <mergeCell ref="K50:K51"/>
    <mergeCell ref="L50:L51"/>
    <mergeCell ref="M50:M51"/>
    <mergeCell ref="N50:N51"/>
    <mergeCell ref="O50:O51"/>
    <mergeCell ref="P50:P51"/>
    <mergeCell ref="M24:M25"/>
    <mergeCell ref="N24:N25"/>
    <mergeCell ref="O24:O25"/>
    <mergeCell ref="P24:P25"/>
    <mergeCell ref="C48:C49"/>
    <mergeCell ref="K48:K49"/>
    <mergeCell ref="L48:L49"/>
    <mergeCell ref="M48:M49"/>
    <mergeCell ref="N48:N49"/>
    <mergeCell ref="O48:O49"/>
    <mergeCell ref="P48:P49"/>
    <mergeCell ref="P46:P47"/>
    <mergeCell ref="K44:K45"/>
    <mergeCell ref="L44:L45"/>
    <mergeCell ref="M44:M45"/>
    <mergeCell ref="N44:N45"/>
    <mergeCell ref="O44:O45"/>
  </mergeCells>
  <conditionalFormatting sqref="P6:P53">
    <cfRule type="cellIs" dxfId="4" priority="2" operator="greaterThan">
      <formula>1</formula>
    </cfRule>
  </conditionalFormatting>
  <conditionalFormatting sqref="P6:P54">
    <cfRule type="cellIs" dxfId="3" priority="1" operator="greaterThan">
      <formula>0.9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Q92"/>
  <sheetViews>
    <sheetView showGridLines="0" zoomScale="90" zoomScaleNormal="90" workbookViewId="0">
      <pane ySplit="1" topLeftCell="A2" activePane="bottomLeft" state="frozen"/>
      <selection activeCell="B1" sqref="B1"/>
      <selection pane="bottomLeft" activeCell="I87" activeCellId="1" sqref="I85 I87"/>
    </sheetView>
  </sheetViews>
  <sheetFormatPr baseColWidth="10" defaultColWidth="11.44140625" defaultRowHeight="12" x14ac:dyDescent="0.25"/>
  <cols>
    <col min="1" max="1" width="11.44140625" style="2"/>
    <col min="2" max="2" width="18.109375" style="2" bestFit="1" customWidth="1"/>
    <col min="3" max="3" width="33" style="2" bestFit="1" customWidth="1"/>
    <col min="4" max="4" width="8.33203125" style="3" customWidth="1"/>
    <col min="5" max="5" width="10.5546875" style="3" customWidth="1"/>
    <col min="6" max="6" width="19" style="3" bestFit="1" customWidth="1"/>
    <col min="7" max="7" width="15.5546875" style="3" bestFit="1" customWidth="1"/>
    <col min="8" max="8" width="18" style="3" bestFit="1" customWidth="1"/>
    <col min="9" max="9" width="12.44140625" style="3" bestFit="1" customWidth="1"/>
    <col min="10" max="10" width="10.5546875" style="3" bestFit="1" customWidth="1"/>
    <col min="11" max="11" width="12" style="3" bestFit="1" customWidth="1"/>
    <col min="12" max="12" width="19" style="3" bestFit="1" customWidth="1"/>
    <col min="13" max="13" width="15.5546875" style="3" bestFit="1" customWidth="1"/>
    <col min="14" max="14" width="18" style="3" bestFit="1" customWidth="1"/>
    <col min="15" max="15" width="12.44140625" style="3" bestFit="1" customWidth="1"/>
    <col min="16" max="16" width="10.5546875" style="3" bestFit="1" customWidth="1"/>
    <col min="17" max="17" width="10.44140625" style="3" bestFit="1" customWidth="1"/>
    <col min="18" max="16384" width="11.44140625" style="2"/>
  </cols>
  <sheetData>
    <row r="3" spans="2:17" x14ac:dyDescent="0.25">
      <c r="B3" s="1" t="s">
        <v>36</v>
      </c>
      <c r="C3" s="1" t="s">
        <v>94</v>
      </c>
      <c r="D3" s="1" t="s">
        <v>95</v>
      </c>
      <c r="E3" s="1" t="s">
        <v>96</v>
      </c>
    </row>
    <row r="4" spans="2:17" x14ac:dyDescent="0.25">
      <c r="B4" s="1" t="s">
        <v>40</v>
      </c>
      <c r="C4" s="4">
        <v>1237</v>
      </c>
      <c r="D4" s="4">
        <v>1512</v>
      </c>
      <c r="E4" s="4">
        <f>SUM(C4+D4)</f>
        <v>2749</v>
      </c>
    </row>
    <row r="5" spans="2:17" x14ac:dyDescent="0.25">
      <c r="B5" s="1" t="s">
        <v>42</v>
      </c>
      <c r="C5" s="4">
        <v>137</v>
      </c>
      <c r="D5" s="4">
        <v>168</v>
      </c>
      <c r="E5" s="4">
        <f>SUM(C5+D5)</f>
        <v>305</v>
      </c>
    </row>
    <row r="6" spans="2:17" x14ac:dyDescent="0.25">
      <c r="B6" s="1" t="s">
        <v>96</v>
      </c>
      <c r="C6" s="4">
        <f>SUM(C4:C5)</f>
        <v>1374</v>
      </c>
      <c r="D6" s="4">
        <f>SUM(D4:D5)</f>
        <v>1680</v>
      </c>
      <c r="E6" s="4">
        <f>SUM(C6:D6)</f>
        <v>3054</v>
      </c>
    </row>
    <row r="9" spans="2:17" ht="20.25" customHeight="1" x14ac:dyDescent="0.25">
      <c r="B9" s="376" t="s">
        <v>97</v>
      </c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8"/>
    </row>
    <row r="10" spans="2:17" x14ac:dyDescent="0.25">
      <c r="B10" s="379">
        <f>'RESUMEN '!B3</f>
        <v>45789</v>
      </c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1"/>
    </row>
    <row r="11" spans="2:17" ht="12.6" thickBot="1" x14ac:dyDescent="0.3"/>
    <row r="12" spans="2:17" ht="12.6" thickBot="1" x14ac:dyDescent="0.3">
      <c r="B12" s="80" t="s">
        <v>1</v>
      </c>
      <c r="C12" s="175" t="s">
        <v>52</v>
      </c>
      <c r="D12" s="177" t="s">
        <v>36</v>
      </c>
      <c r="E12" s="176" t="s">
        <v>98</v>
      </c>
      <c r="F12" s="81" t="s">
        <v>4</v>
      </c>
      <c r="G12" s="81" t="s">
        <v>5</v>
      </c>
      <c r="H12" s="81" t="s">
        <v>6</v>
      </c>
      <c r="I12" s="81" t="s">
        <v>7</v>
      </c>
      <c r="J12" s="81" t="s">
        <v>8</v>
      </c>
      <c r="K12" s="82" t="s">
        <v>9</v>
      </c>
      <c r="L12" s="81" t="s">
        <v>4</v>
      </c>
      <c r="M12" s="81" t="s">
        <v>5</v>
      </c>
      <c r="N12" s="81" t="s">
        <v>6</v>
      </c>
      <c r="O12" s="81" t="s">
        <v>7</v>
      </c>
      <c r="P12" s="81" t="s">
        <v>8</v>
      </c>
      <c r="Q12" s="83" t="s">
        <v>38</v>
      </c>
    </row>
    <row r="13" spans="2:17" ht="12" customHeight="1" x14ac:dyDescent="0.25">
      <c r="B13" s="363" t="s">
        <v>99</v>
      </c>
      <c r="C13" s="374" t="s">
        <v>54</v>
      </c>
      <c r="D13" s="174" t="s">
        <v>40</v>
      </c>
      <c r="E13" s="373">
        <v>13.265000000000001</v>
      </c>
      <c r="F13" s="42">
        <f>E13/100*$C$4</f>
        <v>164.08805000000001</v>
      </c>
      <c r="G13" s="42"/>
      <c r="H13" s="42">
        <f>F13+G13</f>
        <v>164.08805000000001</v>
      </c>
      <c r="I13" s="416">
        <v>114.113</v>
      </c>
      <c r="J13" s="42">
        <f>H13-I13</f>
        <v>49.97505000000001</v>
      </c>
      <c r="K13" s="73">
        <f>I13/H13</f>
        <v>0.69543760194602833</v>
      </c>
      <c r="L13" s="264">
        <f>F13+F14</f>
        <v>182.2611</v>
      </c>
      <c r="M13" s="264">
        <f>G13+G14</f>
        <v>0</v>
      </c>
      <c r="N13" s="264">
        <f>L13+M13</f>
        <v>182.2611</v>
      </c>
      <c r="O13" s="264">
        <f>I13+I14</f>
        <v>114.113</v>
      </c>
      <c r="P13" s="264">
        <f>N13-O13</f>
        <v>68.148099999999999</v>
      </c>
      <c r="Q13" s="265">
        <f>O13/N13</f>
        <v>0.62609629811298184</v>
      </c>
    </row>
    <row r="14" spans="2:17" ht="15" customHeight="1" x14ac:dyDescent="0.25">
      <c r="B14" s="364"/>
      <c r="C14" s="371"/>
      <c r="D14" s="213" t="s">
        <v>42</v>
      </c>
      <c r="E14" s="362"/>
      <c r="F14" s="11">
        <f>E13/100*$C$5</f>
        <v>18.173050000000003</v>
      </c>
      <c r="G14" s="11"/>
      <c r="H14" s="11">
        <f>F14+G14+J13</f>
        <v>68.148100000000014</v>
      </c>
      <c r="I14" s="11"/>
      <c r="J14" s="11">
        <f>H14-I14</f>
        <v>68.148100000000014</v>
      </c>
      <c r="K14" s="12">
        <f>I14/H14</f>
        <v>0</v>
      </c>
      <c r="L14" s="361"/>
      <c r="M14" s="361"/>
      <c r="N14" s="361"/>
      <c r="O14" s="361"/>
      <c r="P14" s="361"/>
      <c r="Q14" s="263"/>
    </row>
    <row r="15" spans="2:17" ht="15" customHeight="1" x14ac:dyDescent="0.25">
      <c r="B15" s="364"/>
      <c r="C15" s="371" t="s">
        <v>55</v>
      </c>
      <c r="D15" s="213" t="s">
        <v>40</v>
      </c>
      <c r="E15" s="362">
        <v>2.0421420000000001</v>
      </c>
      <c r="F15" s="11">
        <f t="shared" ref="F15" si="0">E15/100*$C$4</f>
        <v>25.261296540000004</v>
      </c>
      <c r="G15" s="11"/>
      <c r="H15" s="11">
        <f t="shared" ref="H15" si="1">F15+G15</f>
        <v>25.261296540000004</v>
      </c>
      <c r="I15" s="11"/>
      <c r="J15" s="11">
        <f>H15-I15</f>
        <v>25.261296540000004</v>
      </c>
      <c r="K15" s="12">
        <f>I15/H15</f>
        <v>0</v>
      </c>
      <c r="L15" s="262">
        <f t="shared" ref="L15" si="2">F15+F16</f>
        <v>28.059031080000004</v>
      </c>
      <c r="M15" s="262">
        <f t="shared" ref="M15" si="3">G15+G16</f>
        <v>0</v>
      </c>
      <c r="N15" s="262">
        <f t="shared" ref="N15" si="4">L15+M15</f>
        <v>28.059031080000004</v>
      </c>
      <c r="O15" s="262">
        <f>I15+I16</f>
        <v>0</v>
      </c>
      <c r="P15" s="262">
        <f t="shared" ref="P15" si="5">N15-O15</f>
        <v>28.059031080000004</v>
      </c>
      <c r="Q15" s="263">
        <f t="shared" ref="Q15" si="6">O15/N15</f>
        <v>0</v>
      </c>
    </row>
    <row r="16" spans="2:17" ht="15" customHeight="1" x14ac:dyDescent="0.25">
      <c r="B16" s="364"/>
      <c r="C16" s="371"/>
      <c r="D16" s="213" t="s">
        <v>42</v>
      </c>
      <c r="E16" s="362"/>
      <c r="F16" s="11">
        <f t="shared" ref="F16" si="7">E15/100*$C$5</f>
        <v>2.7977345400000004</v>
      </c>
      <c r="G16" s="11"/>
      <c r="H16" s="11">
        <f t="shared" ref="H16" si="8">F16+G16+J15</f>
        <v>28.059031080000004</v>
      </c>
      <c r="I16" s="11"/>
      <c r="J16" s="11">
        <f>H16-I16</f>
        <v>28.059031080000004</v>
      </c>
      <c r="K16" s="12">
        <f t="shared" ref="K16:K80" si="9">I16/H16</f>
        <v>0</v>
      </c>
      <c r="L16" s="361"/>
      <c r="M16" s="361"/>
      <c r="N16" s="361"/>
      <c r="O16" s="361"/>
      <c r="P16" s="361"/>
      <c r="Q16" s="263"/>
    </row>
    <row r="17" spans="2:17" ht="15" customHeight="1" x14ac:dyDescent="0.25">
      <c r="B17" s="364"/>
      <c r="C17" s="371" t="s">
        <v>57</v>
      </c>
      <c r="D17" s="213" t="s">
        <v>40</v>
      </c>
      <c r="E17" s="362">
        <v>25.82</v>
      </c>
      <c r="F17" s="11">
        <f t="shared" ref="F17" si="10">E17/100*$C$4</f>
        <v>319.39339999999999</v>
      </c>
      <c r="G17" s="11"/>
      <c r="H17" s="11">
        <f t="shared" ref="H17" si="11">F17+G17</f>
        <v>319.39339999999999</v>
      </c>
      <c r="I17" s="413">
        <v>2.452</v>
      </c>
      <c r="J17" s="11">
        <f t="shared" ref="J17:J79" si="12">H17-I17</f>
        <v>316.94139999999999</v>
      </c>
      <c r="K17" s="12">
        <f t="shared" si="9"/>
        <v>7.6770528132390969E-3</v>
      </c>
      <c r="L17" s="262">
        <f t="shared" ref="L17" si="13">F17+F18</f>
        <v>354.76679999999999</v>
      </c>
      <c r="M17" s="262">
        <f t="shared" ref="M17" si="14">G17+G18</f>
        <v>0</v>
      </c>
      <c r="N17" s="262">
        <f t="shared" ref="N17" si="15">L17+M17</f>
        <v>354.76679999999999</v>
      </c>
      <c r="O17" s="262">
        <f t="shared" ref="O17" si="16">I17+I18</f>
        <v>2.452</v>
      </c>
      <c r="P17" s="262">
        <f t="shared" ref="P17" si="17">N17-O17</f>
        <v>352.31479999999999</v>
      </c>
      <c r="Q17" s="263">
        <f t="shared" ref="Q17" si="18">O17/N17</f>
        <v>6.9115824817880369E-3</v>
      </c>
    </row>
    <row r="18" spans="2:17" ht="15" customHeight="1" x14ac:dyDescent="0.25">
      <c r="B18" s="364"/>
      <c r="C18" s="371"/>
      <c r="D18" s="213" t="s">
        <v>42</v>
      </c>
      <c r="E18" s="362"/>
      <c r="F18" s="11">
        <f t="shared" ref="F18" si="19">E17/100*$C$5</f>
        <v>35.373399999999997</v>
      </c>
      <c r="G18" s="11"/>
      <c r="H18" s="11">
        <f t="shared" ref="H18" si="20">F18+G18+J17</f>
        <v>352.31479999999999</v>
      </c>
      <c r="I18" s="11"/>
      <c r="J18" s="11">
        <f t="shared" si="12"/>
        <v>352.31479999999999</v>
      </c>
      <c r="K18" s="12">
        <f t="shared" si="9"/>
        <v>0</v>
      </c>
      <c r="L18" s="361"/>
      <c r="M18" s="361"/>
      <c r="N18" s="361"/>
      <c r="O18" s="361"/>
      <c r="P18" s="361"/>
      <c r="Q18" s="263"/>
    </row>
    <row r="19" spans="2:17" ht="15" customHeight="1" x14ac:dyDescent="0.25">
      <c r="B19" s="364"/>
      <c r="C19" s="371" t="s">
        <v>100</v>
      </c>
      <c r="D19" s="213" t="s">
        <v>40</v>
      </c>
      <c r="E19" s="362">
        <v>0.191327</v>
      </c>
      <c r="F19" s="11">
        <f t="shared" ref="F19" si="21">E19/100*$C$4</f>
        <v>2.3667149899999997</v>
      </c>
      <c r="G19" s="11"/>
      <c r="H19" s="11">
        <f t="shared" ref="H19" si="22">F19+G19</f>
        <v>2.3667149899999997</v>
      </c>
      <c r="I19" s="11"/>
      <c r="J19" s="11">
        <f t="shared" si="12"/>
        <v>2.3667149899999997</v>
      </c>
      <c r="K19" s="12">
        <f t="shared" si="9"/>
        <v>0</v>
      </c>
      <c r="L19" s="262">
        <f t="shared" ref="L19" si="23">F19+F20</f>
        <v>2.6288329799999999</v>
      </c>
      <c r="M19" s="262">
        <f t="shared" ref="M19" si="24">G19+G20</f>
        <v>0</v>
      </c>
      <c r="N19" s="262">
        <f t="shared" ref="N19" si="25">L19+M19</f>
        <v>2.6288329799999999</v>
      </c>
      <c r="O19" s="262">
        <f t="shared" ref="O19" si="26">I19+I20</f>
        <v>0</v>
      </c>
      <c r="P19" s="262">
        <f t="shared" ref="P19" si="27">N19-O19</f>
        <v>2.6288329799999999</v>
      </c>
      <c r="Q19" s="263">
        <f t="shared" ref="Q19" si="28">O19/N19</f>
        <v>0</v>
      </c>
    </row>
    <row r="20" spans="2:17" ht="15" customHeight="1" x14ac:dyDescent="0.25">
      <c r="B20" s="364"/>
      <c r="C20" s="371"/>
      <c r="D20" s="213" t="s">
        <v>42</v>
      </c>
      <c r="E20" s="362"/>
      <c r="F20" s="11">
        <f t="shared" ref="F20" si="29">E19/100*$C$5</f>
        <v>0.26211798999999997</v>
      </c>
      <c r="G20" s="11"/>
      <c r="H20" s="11">
        <f t="shared" ref="H20" si="30">F20+G20+J19</f>
        <v>2.6288329799999999</v>
      </c>
      <c r="I20" s="11"/>
      <c r="J20" s="11">
        <f t="shared" si="12"/>
        <v>2.6288329799999999</v>
      </c>
      <c r="K20" s="12">
        <f t="shared" si="9"/>
        <v>0</v>
      </c>
      <c r="L20" s="361"/>
      <c r="M20" s="361"/>
      <c r="N20" s="361"/>
      <c r="O20" s="361"/>
      <c r="P20" s="361"/>
      <c r="Q20" s="263"/>
    </row>
    <row r="21" spans="2:17" ht="15" customHeight="1" x14ac:dyDescent="0.25">
      <c r="B21" s="364"/>
      <c r="C21" s="371" t="s">
        <v>58</v>
      </c>
      <c r="D21" s="213" t="s">
        <v>40</v>
      </c>
      <c r="E21" s="362">
        <v>3.6373000000000003E-2</v>
      </c>
      <c r="F21" s="11">
        <f t="shared" ref="F21" si="31">E21/100*$C$4</f>
        <v>0.44993401000000005</v>
      </c>
      <c r="G21" s="11"/>
      <c r="H21" s="11">
        <f t="shared" ref="H21" si="32">F21+G21</f>
        <v>0.44993401000000005</v>
      </c>
      <c r="I21" s="11"/>
      <c r="J21" s="11">
        <f t="shared" si="12"/>
        <v>0.44993401000000005</v>
      </c>
      <c r="K21" s="12">
        <f t="shared" si="9"/>
        <v>0</v>
      </c>
      <c r="L21" s="262">
        <f t="shared" ref="L21" si="33">F21+F22</f>
        <v>0.49976502000000006</v>
      </c>
      <c r="M21" s="262">
        <f t="shared" ref="M21" si="34">G21+G22</f>
        <v>0</v>
      </c>
      <c r="N21" s="262">
        <f t="shared" ref="N21" si="35">L21+M21</f>
        <v>0.49976502000000006</v>
      </c>
      <c r="O21" s="262">
        <f t="shared" ref="O21" si="36">I21+I22</f>
        <v>0</v>
      </c>
      <c r="P21" s="262">
        <f t="shared" ref="P21" si="37">N21-O21</f>
        <v>0.49976502000000006</v>
      </c>
      <c r="Q21" s="263">
        <f t="shared" ref="Q21" si="38">O21/N21</f>
        <v>0</v>
      </c>
    </row>
    <row r="22" spans="2:17" ht="15" customHeight="1" x14ac:dyDescent="0.25">
      <c r="B22" s="364"/>
      <c r="C22" s="371"/>
      <c r="D22" s="213" t="s">
        <v>42</v>
      </c>
      <c r="E22" s="362"/>
      <c r="F22" s="11">
        <f t="shared" ref="F22" si="39">E21/100*$C$5</f>
        <v>4.9831010000000009E-2</v>
      </c>
      <c r="G22" s="11"/>
      <c r="H22" s="11">
        <f t="shared" ref="H22" si="40">F22+G22+J21</f>
        <v>0.49976502000000006</v>
      </c>
      <c r="I22" s="11"/>
      <c r="J22" s="11">
        <f t="shared" si="12"/>
        <v>0.49976502000000006</v>
      </c>
      <c r="K22" s="12">
        <f t="shared" si="9"/>
        <v>0</v>
      </c>
      <c r="L22" s="361"/>
      <c r="M22" s="361"/>
      <c r="N22" s="361"/>
      <c r="O22" s="361"/>
      <c r="P22" s="361"/>
      <c r="Q22" s="263"/>
    </row>
    <row r="23" spans="2:17" ht="15" customHeight="1" x14ac:dyDescent="0.25">
      <c r="B23" s="364"/>
      <c r="C23" s="371" t="s">
        <v>59</v>
      </c>
      <c r="D23" s="213" t="s">
        <v>40</v>
      </c>
      <c r="E23" s="362">
        <v>11.28299</v>
      </c>
      <c r="F23" s="11">
        <f t="shared" ref="F23" si="41">E23/100*$C$4</f>
        <v>139.5705863</v>
      </c>
      <c r="G23" s="11">
        <f>-0.679</f>
        <v>-0.67900000000000005</v>
      </c>
      <c r="H23" s="11">
        <f>F23+G23</f>
        <v>138.8915863</v>
      </c>
      <c r="I23" s="413">
        <v>57.933999999999997</v>
      </c>
      <c r="J23" s="11">
        <f t="shared" si="12"/>
        <v>80.957586300000003</v>
      </c>
      <c r="K23" s="12">
        <f t="shared" si="9"/>
        <v>0.41711669902642617</v>
      </c>
      <c r="L23" s="262">
        <f t="shared" ref="L23" si="42">F23+F24</f>
        <v>155.02828260000001</v>
      </c>
      <c r="M23" s="262">
        <f t="shared" ref="M23" si="43">G23+G24</f>
        <v>-0.67900000000000005</v>
      </c>
      <c r="N23" s="262">
        <f t="shared" ref="N23" si="44">L23+M23</f>
        <v>154.34928260000001</v>
      </c>
      <c r="O23" s="262">
        <f t="shared" ref="O23" si="45">I23+I24</f>
        <v>57.933999999999997</v>
      </c>
      <c r="P23" s="262">
        <f t="shared" ref="P23" si="46">N23-O23</f>
        <v>96.415282600000012</v>
      </c>
      <c r="Q23" s="263">
        <f t="shared" ref="Q23" si="47">O23/N23</f>
        <v>0.37534350030079111</v>
      </c>
    </row>
    <row r="24" spans="2:17" ht="15" customHeight="1" x14ac:dyDescent="0.25">
      <c r="B24" s="364"/>
      <c r="C24" s="371"/>
      <c r="D24" s="213" t="s">
        <v>42</v>
      </c>
      <c r="E24" s="362"/>
      <c r="F24" s="11">
        <f t="shared" ref="F24" si="48">E23/100*$C$5</f>
        <v>15.4576963</v>
      </c>
      <c r="G24" s="11"/>
      <c r="H24" s="11">
        <f t="shared" ref="H24" si="49">F24+G24+J23</f>
        <v>96.415282599999998</v>
      </c>
      <c r="I24" s="11"/>
      <c r="J24" s="11">
        <f t="shared" si="12"/>
        <v>96.415282599999998</v>
      </c>
      <c r="K24" s="12">
        <f t="shared" si="9"/>
        <v>0</v>
      </c>
      <c r="L24" s="361"/>
      <c r="M24" s="361"/>
      <c r="N24" s="361"/>
      <c r="O24" s="361"/>
      <c r="P24" s="361"/>
      <c r="Q24" s="263"/>
    </row>
    <row r="25" spans="2:17" ht="15" customHeight="1" x14ac:dyDescent="0.25">
      <c r="B25" s="364"/>
      <c r="C25" s="371" t="s">
        <v>101</v>
      </c>
      <c r="D25" s="213" t="s">
        <v>40</v>
      </c>
      <c r="E25" s="362">
        <v>0.1</v>
      </c>
      <c r="F25" s="11">
        <f t="shared" ref="F25" si="50">E25/100*$C$4</f>
        <v>1.2370000000000001</v>
      </c>
      <c r="G25" s="11"/>
      <c r="H25" s="11">
        <f t="shared" ref="H25" si="51">F25+G25</f>
        <v>1.2370000000000001</v>
      </c>
      <c r="I25" s="11"/>
      <c r="J25" s="11">
        <f t="shared" si="12"/>
        <v>1.2370000000000001</v>
      </c>
      <c r="K25" s="12">
        <f t="shared" si="9"/>
        <v>0</v>
      </c>
      <c r="L25" s="262">
        <f t="shared" ref="L25" si="52">F25+F26</f>
        <v>1.3740000000000001</v>
      </c>
      <c r="M25" s="262">
        <f t="shared" ref="M25" si="53">G25+G26</f>
        <v>0</v>
      </c>
      <c r="N25" s="262">
        <f t="shared" ref="N25" si="54">L25+M25</f>
        <v>1.3740000000000001</v>
      </c>
      <c r="O25" s="262">
        <f t="shared" ref="O25" si="55">I25+I26</f>
        <v>0</v>
      </c>
      <c r="P25" s="262">
        <f t="shared" ref="P25" si="56">N25-O25</f>
        <v>1.3740000000000001</v>
      </c>
      <c r="Q25" s="263">
        <f t="shared" ref="Q25" si="57">O25/N25</f>
        <v>0</v>
      </c>
    </row>
    <row r="26" spans="2:17" ht="15" customHeight="1" x14ac:dyDescent="0.25">
      <c r="B26" s="364"/>
      <c r="C26" s="371"/>
      <c r="D26" s="213" t="s">
        <v>42</v>
      </c>
      <c r="E26" s="362"/>
      <c r="F26" s="11">
        <f t="shared" ref="F26" si="58">E25/100*$C$5</f>
        <v>0.13700000000000001</v>
      </c>
      <c r="G26" s="11"/>
      <c r="H26" s="11">
        <f t="shared" ref="H26" si="59">F26+G26+J25</f>
        <v>1.3740000000000001</v>
      </c>
      <c r="I26" s="11"/>
      <c r="J26" s="11">
        <f t="shared" si="12"/>
        <v>1.3740000000000001</v>
      </c>
      <c r="K26" s="12">
        <f t="shared" si="9"/>
        <v>0</v>
      </c>
      <c r="L26" s="361"/>
      <c r="M26" s="361"/>
      <c r="N26" s="361"/>
      <c r="O26" s="361"/>
      <c r="P26" s="361"/>
      <c r="Q26" s="263"/>
    </row>
    <row r="27" spans="2:17" ht="15" customHeight="1" x14ac:dyDescent="0.25">
      <c r="B27" s="364"/>
      <c r="C27" s="371" t="s">
        <v>84</v>
      </c>
      <c r="D27" s="213" t="s">
        <v>40</v>
      </c>
      <c r="E27" s="362">
        <v>0</v>
      </c>
      <c r="F27" s="11">
        <f t="shared" ref="F27" si="60">E27/100*$C$4</f>
        <v>0</v>
      </c>
      <c r="G27" s="11"/>
      <c r="H27" s="11">
        <f t="shared" ref="H27" si="61">F27+G27</f>
        <v>0</v>
      </c>
      <c r="I27" s="11"/>
      <c r="J27" s="11">
        <f t="shared" si="12"/>
        <v>0</v>
      </c>
      <c r="K27" s="12" t="e">
        <f t="shared" si="9"/>
        <v>#DIV/0!</v>
      </c>
      <c r="L27" s="262">
        <f t="shared" ref="L27" si="62">F27+F28</f>
        <v>0</v>
      </c>
      <c r="M27" s="262">
        <f t="shared" ref="M27" si="63">G27+G28</f>
        <v>0</v>
      </c>
      <c r="N27" s="262">
        <f t="shared" ref="N27" si="64">L27+M27</f>
        <v>0</v>
      </c>
      <c r="O27" s="262">
        <f t="shared" ref="O27" si="65">I27+I28</f>
        <v>0</v>
      </c>
      <c r="P27" s="262">
        <f t="shared" ref="P27" si="66">N27-O27</f>
        <v>0</v>
      </c>
      <c r="Q27" s="263" t="e">
        <f t="shared" ref="Q27" si="67">O27/N27</f>
        <v>#DIV/0!</v>
      </c>
    </row>
    <row r="28" spans="2:17" ht="15" customHeight="1" x14ac:dyDescent="0.25">
      <c r="B28" s="364"/>
      <c r="C28" s="371"/>
      <c r="D28" s="213" t="s">
        <v>42</v>
      </c>
      <c r="E28" s="362"/>
      <c r="F28" s="11">
        <f t="shared" ref="F28" si="68">E27/100*$C$5</f>
        <v>0</v>
      </c>
      <c r="G28" s="11"/>
      <c r="H28" s="11">
        <f t="shared" ref="H28" si="69">F28+G28+J27</f>
        <v>0</v>
      </c>
      <c r="I28" s="11"/>
      <c r="J28" s="11">
        <f t="shared" si="12"/>
        <v>0</v>
      </c>
      <c r="K28" s="12" t="e">
        <f t="shared" si="9"/>
        <v>#DIV/0!</v>
      </c>
      <c r="L28" s="361"/>
      <c r="M28" s="361"/>
      <c r="N28" s="361"/>
      <c r="O28" s="361"/>
      <c r="P28" s="361"/>
      <c r="Q28" s="263"/>
    </row>
    <row r="29" spans="2:17" ht="15" customHeight="1" x14ac:dyDescent="0.25">
      <c r="B29" s="364"/>
      <c r="C29" s="371" t="s">
        <v>102</v>
      </c>
      <c r="D29" s="213" t="s">
        <v>40</v>
      </c>
      <c r="E29" s="362">
        <v>5.1920000000000002</v>
      </c>
      <c r="F29" s="11">
        <f t="shared" ref="F29" si="70">E29/100*$C$4</f>
        <v>64.225040000000007</v>
      </c>
      <c r="G29" s="11">
        <f>-27.48</f>
        <v>-27.48</v>
      </c>
      <c r="H29" s="11">
        <f>F29+G29</f>
        <v>36.745040000000003</v>
      </c>
      <c r="I29" s="11"/>
      <c r="J29" s="11">
        <f t="shared" si="12"/>
        <v>36.745040000000003</v>
      </c>
      <c r="K29" s="12">
        <f t="shared" si="9"/>
        <v>0</v>
      </c>
      <c r="L29" s="262">
        <f t="shared" ref="L29" si="71">F29+F30</f>
        <v>71.338080000000005</v>
      </c>
      <c r="M29" s="262">
        <f t="shared" ref="M29" si="72">G29+G30</f>
        <v>-27.48</v>
      </c>
      <c r="N29" s="262">
        <f t="shared" ref="N29" si="73">L29+M29</f>
        <v>43.858080000000001</v>
      </c>
      <c r="O29" s="262">
        <f t="shared" ref="O29" si="74">I29+I30</f>
        <v>0</v>
      </c>
      <c r="P29" s="262">
        <f t="shared" ref="P29" si="75">N29-O29</f>
        <v>43.858080000000001</v>
      </c>
      <c r="Q29" s="263">
        <f t="shared" ref="Q29" si="76">O29/N29</f>
        <v>0</v>
      </c>
    </row>
    <row r="30" spans="2:17" ht="15" customHeight="1" x14ac:dyDescent="0.25">
      <c r="B30" s="364"/>
      <c r="C30" s="371"/>
      <c r="D30" s="213" t="s">
        <v>42</v>
      </c>
      <c r="E30" s="362"/>
      <c r="F30" s="11">
        <f t="shared" ref="F30" si="77">E29/100*$C$5</f>
        <v>7.1130399999999998</v>
      </c>
      <c r="G30" s="11"/>
      <c r="H30" s="11">
        <f t="shared" ref="H30" si="78">F30+G30+J29</f>
        <v>43.858080000000001</v>
      </c>
      <c r="I30" s="11"/>
      <c r="J30" s="11">
        <f t="shared" si="12"/>
        <v>43.858080000000001</v>
      </c>
      <c r="K30" s="12">
        <f t="shared" si="9"/>
        <v>0</v>
      </c>
      <c r="L30" s="361"/>
      <c r="M30" s="361"/>
      <c r="N30" s="361"/>
      <c r="O30" s="361"/>
      <c r="P30" s="361"/>
      <c r="Q30" s="263"/>
    </row>
    <row r="31" spans="2:17" ht="15" customHeight="1" x14ac:dyDescent="0.25">
      <c r="B31" s="364"/>
      <c r="C31" s="371" t="s">
        <v>103</v>
      </c>
      <c r="D31" s="213" t="s">
        <v>40</v>
      </c>
      <c r="E31" s="362">
        <v>5.04E-2</v>
      </c>
      <c r="F31" s="11">
        <f t="shared" ref="F31" si="79">E31/100*$C$4</f>
        <v>0.623448</v>
      </c>
      <c r="G31" s="11"/>
      <c r="H31" s="11">
        <f t="shared" ref="H31" si="80">F31+G31</f>
        <v>0.623448</v>
      </c>
      <c r="I31" s="11"/>
      <c r="J31" s="11">
        <f t="shared" si="12"/>
        <v>0.623448</v>
      </c>
      <c r="K31" s="12">
        <f t="shared" si="9"/>
        <v>0</v>
      </c>
      <c r="L31" s="262">
        <f t="shared" ref="L31" si="81">F31+F32</f>
        <v>0.692496</v>
      </c>
      <c r="M31" s="262">
        <f t="shared" ref="M31" si="82">G31+G32</f>
        <v>0</v>
      </c>
      <c r="N31" s="262">
        <f t="shared" ref="N31" si="83">L31+M31</f>
        <v>0.692496</v>
      </c>
      <c r="O31" s="262">
        <f t="shared" ref="O31" si="84">I31+I32</f>
        <v>0</v>
      </c>
      <c r="P31" s="262">
        <f t="shared" ref="P31" si="85">N31-O31</f>
        <v>0.692496</v>
      </c>
      <c r="Q31" s="263">
        <f t="shared" ref="Q31" si="86">O31/N31</f>
        <v>0</v>
      </c>
    </row>
    <row r="32" spans="2:17" ht="15" customHeight="1" x14ac:dyDescent="0.25">
      <c r="B32" s="364"/>
      <c r="C32" s="371"/>
      <c r="D32" s="213" t="s">
        <v>42</v>
      </c>
      <c r="E32" s="362"/>
      <c r="F32" s="11">
        <f t="shared" ref="F32" si="87">E31/100*$C$5</f>
        <v>6.9047999999999998E-2</v>
      </c>
      <c r="G32" s="11"/>
      <c r="H32" s="11">
        <f t="shared" ref="H32" si="88">F32+G32+J31</f>
        <v>0.692496</v>
      </c>
      <c r="I32" s="11"/>
      <c r="J32" s="11">
        <f t="shared" si="12"/>
        <v>0.692496</v>
      </c>
      <c r="K32" s="12">
        <f t="shared" si="9"/>
        <v>0</v>
      </c>
      <c r="L32" s="361"/>
      <c r="M32" s="361"/>
      <c r="N32" s="361"/>
      <c r="O32" s="361"/>
      <c r="P32" s="361"/>
      <c r="Q32" s="263"/>
    </row>
    <row r="33" spans="2:17" ht="15" customHeight="1" x14ac:dyDescent="0.25">
      <c r="B33" s="364"/>
      <c r="C33" s="371" t="s">
        <v>104</v>
      </c>
      <c r="D33" s="213" t="s">
        <v>40</v>
      </c>
      <c r="E33" s="362">
        <v>0.35650500000000002</v>
      </c>
      <c r="F33" s="11">
        <f t="shared" ref="F33" si="89">E33/100*$C$4</f>
        <v>4.40996685</v>
      </c>
      <c r="G33" s="11">
        <f>0.679</f>
        <v>0.67900000000000005</v>
      </c>
      <c r="H33" s="11">
        <f t="shared" ref="H33" si="90">F33+G33</f>
        <v>5.0889668500000003</v>
      </c>
      <c r="I33" s="11"/>
      <c r="J33" s="11">
        <f t="shared" si="12"/>
        <v>5.0889668500000003</v>
      </c>
      <c r="K33" s="12">
        <f t="shared" si="9"/>
        <v>0</v>
      </c>
      <c r="L33" s="262">
        <f t="shared" ref="L33" si="91">F33+F34</f>
        <v>4.8983787000000003</v>
      </c>
      <c r="M33" s="262">
        <f t="shared" ref="M33" si="92">G33+G34</f>
        <v>0.67900000000000005</v>
      </c>
      <c r="N33" s="262">
        <f t="shared" ref="N33" si="93">L33+M33</f>
        <v>5.5773787000000006</v>
      </c>
      <c r="O33" s="262">
        <f t="shared" ref="O33" si="94">I33+I34</f>
        <v>0</v>
      </c>
      <c r="P33" s="262">
        <f t="shared" ref="P33" si="95">N33-O33</f>
        <v>5.5773787000000006</v>
      </c>
      <c r="Q33" s="263">
        <f t="shared" ref="Q33" si="96">O33/N33</f>
        <v>0</v>
      </c>
    </row>
    <row r="34" spans="2:17" ht="15" customHeight="1" x14ac:dyDescent="0.25">
      <c r="B34" s="364"/>
      <c r="C34" s="371"/>
      <c r="D34" s="213" t="s">
        <v>42</v>
      </c>
      <c r="E34" s="362"/>
      <c r="F34" s="11">
        <f t="shared" ref="F34" si="97">E33/100*$C$5</f>
        <v>0.48841185000000004</v>
      </c>
      <c r="G34" s="11"/>
      <c r="H34" s="11">
        <f t="shared" ref="H34" si="98">F34+G34+J33</f>
        <v>5.5773787000000006</v>
      </c>
      <c r="I34" s="11"/>
      <c r="J34" s="11">
        <f t="shared" si="12"/>
        <v>5.5773787000000006</v>
      </c>
      <c r="K34" s="12">
        <f t="shared" si="9"/>
        <v>0</v>
      </c>
      <c r="L34" s="361"/>
      <c r="M34" s="361"/>
      <c r="N34" s="361"/>
      <c r="O34" s="361"/>
      <c r="P34" s="361"/>
      <c r="Q34" s="263"/>
    </row>
    <row r="35" spans="2:17" ht="15" customHeight="1" x14ac:dyDescent="0.25">
      <c r="B35" s="364"/>
      <c r="C35" s="371" t="s">
        <v>105</v>
      </c>
      <c r="D35" s="213" t="s">
        <v>40</v>
      </c>
      <c r="E35" s="362">
        <v>0</v>
      </c>
      <c r="F35" s="11">
        <f t="shared" ref="F35" si="99">E35/100*$C$4</f>
        <v>0</v>
      </c>
      <c r="G35" s="11"/>
      <c r="H35" s="11">
        <f t="shared" ref="H35" si="100">F35+G35</f>
        <v>0</v>
      </c>
      <c r="I35" s="11"/>
      <c r="J35" s="11">
        <f t="shared" ref="J35:J36" si="101">H35-I35</f>
        <v>0</v>
      </c>
      <c r="K35" s="12" t="e">
        <f t="shared" ref="K35:K36" si="102">I35/H35</f>
        <v>#DIV/0!</v>
      </c>
      <c r="L35" s="262">
        <f t="shared" ref="L35" si="103">F35+F36</f>
        <v>0</v>
      </c>
      <c r="M35" s="262">
        <f t="shared" ref="M35" si="104">G35+G36</f>
        <v>0</v>
      </c>
      <c r="N35" s="262">
        <f t="shared" ref="N35" si="105">L35+M35</f>
        <v>0</v>
      </c>
      <c r="O35" s="262">
        <f t="shared" ref="O35" si="106">I35+I36</f>
        <v>0</v>
      </c>
      <c r="P35" s="262">
        <f t="shared" ref="P35" si="107">N35-O35</f>
        <v>0</v>
      </c>
      <c r="Q35" s="263" t="e">
        <f t="shared" ref="Q35" si="108">O35/N35</f>
        <v>#DIV/0!</v>
      </c>
    </row>
    <row r="36" spans="2:17" ht="15" customHeight="1" x14ac:dyDescent="0.25">
      <c r="B36" s="364"/>
      <c r="C36" s="371"/>
      <c r="D36" s="213" t="s">
        <v>42</v>
      </c>
      <c r="E36" s="362"/>
      <c r="F36" s="11">
        <f t="shared" ref="F36" si="109">E35/100*$C$5</f>
        <v>0</v>
      </c>
      <c r="G36" s="11"/>
      <c r="H36" s="11">
        <f t="shared" ref="H36" si="110">F36+G36+J35</f>
        <v>0</v>
      </c>
      <c r="I36" s="11"/>
      <c r="J36" s="11">
        <f t="shared" si="101"/>
        <v>0</v>
      </c>
      <c r="K36" s="12" t="e">
        <f t="shared" si="102"/>
        <v>#DIV/0!</v>
      </c>
      <c r="L36" s="361"/>
      <c r="M36" s="361"/>
      <c r="N36" s="361"/>
      <c r="O36" s="361"/>
      <c r="P36" s="361"/>
      <c r="Q36" s="263"/>
    </row>
    <row r="37" spans="2:17" ht="15" customHeight="1" x14ac:dyDescent="0.25">
      <c r="B37" s="364"/>
      <c r="C37" s="371" t="s">
        <v>106</v>
      </c>
      <c r="D37" s="213" t="s">
        <v>40</v>
      </c>
      <c r="E37" s="362">
        <v>0.995</v>
      </c>
      <c r="F37" s="11">
        <f t="shared" ref="F37" si="111">E37/100*$C$4</f>
        <v>12.308150000000001</v>
      </c>
      <c r="G37" s="11"/>
      <c r="H37" s="11">
        <f t="shared" ref="H37" si="112">F37+G37</f>
        <v>12.308150000000001</v>
      </c>
      <c r="I37" s="11"/>
      <c r="J37" s="11">
        <f t="shared" ref="J37:J38" si="113">H37-I37</f>
        <v>12.308150000000001</v>
      </c>
      <c r="K37" s="12">
        <f t="shared" ref="K37:K38" si="114">I37/H37</f>
        <v>0</v>
      </c>
      <c r="L37" s="262">
        <f t="shared" ref="L37" si="115">F37+F38</f>
        <v>13.671300000000002</v>
      </c>
      <c r="M37" s="262">
        <f t="shared" ref="M37" si="116">G37+G38</f>
        <v>0</v>
      </c>
      <c r="N37" s="262">
        <f t="shared" ref="N37" si="117">L37+M37</f>
        <v>13.671300000000002</v>
      </c>
      <c r="O37" s="262">
        <f t="shared" ref="O37" si="118">I37+I38</f>
        <v>0</v>
      </c>
      <c r="P37" s="262">
        <f t="shared" ref="P37" si="119">N37-O37</f>
        <v>13.671300000000002</v>
      </c>
      <c r="Q37" s="263">
        <f t="shared" ref="Q37" si="120">O37/N37</f>
        <v>0</v>
      </c>
    </row>
    <row r="38" spans="2:17" ht="15" customHeight="1" x14ac:dyDescent="0.25">
      <c r="B38" s="364"/>
      <c r="C38" s="371"/>
      <c r="D38" s="213" t="s">
        <v>42</v>
      </c>
      <c r="E38" s="362"/>
      <c r="F38" s="11">
        <f t="shared" ref="F38" si="121">E37/100*$C$5</f>
        <v>1.3631500000000001</v>
      </c>
      <c r="G38" s="11"/>
      <c r="H38" s="11">
        <f t="shared" ref="H38" si="122">F38+G38+J37</f>
        <v>13.671300000000002</v>
      </c>
      <c r="I38" s="11"/>
      <c r="J38" s="11">
        <f t="shared" si="113"/>
        <v>13.671300000000002</v>
      </c>
      <c r="K38" s="12">
        <f t="shared" si="114"/>
        <v>0</v>
      </c>
      <c r="L38" s="361"/>
      <c r="M38" s="361"/>
      <c r="N38" s="361"/>
      <c r="O38" s="361"/>
      <c r="P38" s="361"/>
      <c r="Q38" s="263"/>
    </row>
    <row r="39" spans="2:17" ht="15" customHeight="1" x14ac:dyDescent="0.25">
      <c r="B39" s="364"/>
      <c r="C39" s="371" t="s">
        <v>107</v>
      </c>
      <c r="D39" s="213" t="s">
        <v>40</v>
      </c>
      <c r="E39" s="362">
        <v>4.8279999999999998E-3</v>
      </c>
      <c r="F39" s="11">
        <f t="shared" ref="F39" si="123">E39/100*$C$4</f>
        <v>5.9722359999999995E-2</v>
      </c>
      <c r="G39" s="11"/>
      <c r="H39" s="11">
        <f t="shared" ref="H39" si="124">F39+G39</f>
        <v>5.9722359999999995E-2</v>
      </c>
      <c r="I39" s="11"/>
      <c r="J39" s="11">
        <f t="shared" ref="J39:J40" si="125">H39-I39</f>
        <v>5.9722359999999995E-2</v>
      </c>
      <c r="K39" s="12">
        <f t="shared" ref="K39:K40" si="126">I39/H39</f>
        <v>0</v>
      </c>
      <c r="L39" s="262">
        <f t="shared" ref="L39" si="127">F39+F40</f>
        <v>6.6336719999999988E-2</v>
      </c>
      <c r="M39" s="262">
        <f t="shared" ref="M39" si="128">G39+G40</f>
        <v>0</v>
      </c>
      <c r="N39" s="262">
        <f t="shared" ref="N39" si="129">L39+M39</f>
        <v>6.6336719999999988E-2</v>
      </c>
      <c r="O39" s="262">
        <f t="shared" ref="O39" si="130">I39+I40</f>
        <v>0</v>
      </c>
      <c r="P39" s="262">
        <f t="shared" ref="P39" si="131">N39-O39</f>
        <v>6.6336719999999988E-2</v>
      </c>
      <c r="Q39" s="263">
        <f t="shared" ref="Q39" si="132">O39/N39</f>
        <v>0</v>
      </c>
    </row>
    <row r="40" spans="2:17" ht="15" customHeight="1" x14ac:dyDescent="0.25">
      <c r="B40" s="364"/>
      <c r="C40" s="371"/>
      <c r="D40" s="213" t="s">
        <v>42</v>
      </c>
      <c r="E40" s="362"/>
      <c r="F40" s="11">
        <f t="shared" ref="F40" si="133">E39/100*$C$5</f>
        <v>6.6143599999999997E-3</v>
      </c>
      <c r="G40" s="11"/>
      <c r="H40" s="11">
        <f t="shared" ref="H40" si="134">F40+G40+J39</f>
        <v>6.6336719999999988E-2</v>
      </c>
      <c r="I40" s="11"/>
      <c r="J40" s="11">
        <f t="shared" si="125"/>
        <v>6.6336719999999988E-2</v>
      </c>
      <c r="K40" s="12">
        <f t="shared" si="126"/>
        <v>0</v>
      </c>
      <c r="L40" s="361"/>
      <c r="M40" s="361"/>
      <c r="N40" s="361"/>
      <c r="O40" s="361"/>
      <c r="P40" s="361"/>
      <c r="Q40" s="263"/>
    </row>
    <row r="41" spans="2:17" ht="15" customHeight="1" x14ac:dyDescent="0.25">
      <c r="B41" s="364"/>
      <c r="C41" s="371" t="s">
        <v>108</v>
      </c>
      <c r="D41" s="213" t="s">
        <v>40</v>
      </c>
      <c r="E41" s="362">
        <v>0</v>
      </c>
      <c r="F41" s="11">
        <f>E41/100*$C$4</f>
        <v>0</v>
      </c>
      <c r="G41" s="11"/>
      <c r="H41" s="11">
        <f t="shared" ref="H41" si="135">F41+G41</f>
        <v>0</v>
      </c>
      <c r="I41" s="11"/>
      <c r="J41" s="11">
        <f t="shared" si="12"/>
        <v>0</v>
      </c>
      <c r="K41" s="12" t="e">
        <f t="shared" si="9"/>
        <v>#DIV/0!</v>
      </c>
      <c r="L41" s="262">
        <f>F41+F42</f>
        <v>0</v>
      </c>
      <c r="M41" s="262">
        <f>G41+G42</f>
        <v>0</v>
      </c>
      <c r="N41" s="262">
        <f t="shared" ref="N41" si="136">L41+M41</f>
        <v>0</v>
      </c>
      <c r="O41" s="262">
        <f>I41+I42</f>
        <v>0</v>
      </c>
      <c r="P41" s="262">
        <f t="shared" ref="P41" si="137">N41-O41</f>
        <v>0</v>
      </c>
      <c r="Q41" s="263" t="e">
        <f t="shared" ref="Q41" si="138">O41/N41</f>
        <v>#DIV/0!</v>
      </c>
    </row>
    <row r="42" spans="2:17" ht="15.75" customHeight="1" x14ac:dyDescent="0.25">
      <c r="B42" s="364"/>
      <c r="C42" s="371"/>
      <c r="D42" s="213" t="s">
        <v>42</v>
      </c>
      <c r="E42" s="362"/>
      <c r="F42" s="11">
        <f>E41/100*$C$5</f>
        <v>0</v>
      </c>
      <c r="G42" s="11"/>
      <c r="H42" s="11">
        <f>F42+G42+J41</f>
        <v>0</v>
      </c>
      <c r="I42" s="11"/>
      <c r="J42" s="11">
        <f t="shared" si="12"/>
        <v>0</v>
      </c>
      <c r="K42" s="12" t="e">
        <f t="shared" si="9"/>
        <v>#DIV/0!</v>
      </c>
      <c r="L42" s="361"/>
      <c r="M42" s="361"/>
      <c r="N42" s="361"/>
      <c r="O42" s="361"/>
      <c r="P42" s="361"/>
      <c r="Q42" s="263"/>
    </row>
    <row r="43" spans="2:17" ht="15.75" customHeight="1" x14ac:dyDescent="0.25">
      <c r="B43" s="364"/>
      <c r="C43" s="371" t="s">
        <v>109</v>
      </c>
      <c r="D43" s="213" t="s">
        <v>40</v>
      </c>
      <c r="E43" s="362">
        <v>0</v>
      </c>
      <c r="F43" s="11">
        <f>E43/100*$C$4</f>
        <v>0</v>
      </c>
      <c r="G43" s="11"/>
      <c r="H43" s="11">
        <f t="shared" ref="H43" si="139">F43+G43</f>
        <v>0</v>
      </c>
      <c r="I43" s="11"/>
      <c r="J43" s="11">
        <f t="shared" ref="J43:J44" si="140">H43-I43</f>
        <v>0</v>
      </c>
      <c r="K43" s="12" t="e">
        <f t="shared" ref="K43:K44" si="141">I43/H43</f>
        <v>#DIV/0!</v>
      </c>
      <c r="L43" s="262">
        <f>F43+F44</f>
        <v>0</v>
      </c>
      <c r="M43" s="262">
        <f>G43+G44</f>
        <v>0</v>
      </c>
      <c r="N43" s="262">
        <f t="shared" ref="N43" si="142">L43+M43</f>
        <v>0</v>
      </c>
      <c r="O43" s="262">
        <f>I43+I44</f>
        <v>0</v>
      </c>
      <c r="P43" s="262">
        <f t="shared" ref="P43" si="143">N43-O43</f>
        <v>0</v>
      </c>
      <c r="Q43" s="263" t="e">
        <f t="shared" ref="Q43" si="144">O43/N43</f>
        <v>#DIV/0!</v>
      </c>
    </row>
    <row r="44" spans="2:17" ht="15.75" customHeight="1" x14ac:dyDescent="0.25">
      <c r="B44" s="364"/>
      <c r="C44" s="371"/>
      <c r="D44" s="213" t="s">
        <v>42</v>
      </c>
      <c r="E44" s="362"/>
      <c r="F44" s="11">
        <f>E43/100*$C$5</f>
        <v>0</v>
      </c>
      <c r="G44" s="11"/>
      <c r="H44" s="11">
        <f>F44+G44+J43</f>
        <v>0</v>
      </c>
      <c r="I44" s="11"/>
      <c r="J44" s="11">
        <f t="shared" si="140"/>
        <v>0</v>
      </c>
      <c r="K44" s="12" t="e">
        <f t="shared" si="141"/>
        <v>#DIV/0!</v>
      </c>
      <c r="L44" s="361"/>
      <c r="M44" s="361"/>
      <c r="N44" s="361"/>
      <c r="O44" s="361"/>
      <c r="P44" s="361"/>
      <c r="Q44" s="263"/>
    </row>
    <row r="45" spans="2:17" ht="15.75" customHeight="1" x14ac:dyDescent="0.25">
      <c r="B45" s="364"/>
      <c r="C45" s="371" t="s">
        <v>110</v>
      </c>
      <c r="D45" s="213" t="s">
        <v>40</v>
      </c>
      <c r="E45" s="362">
        <v>1.5</v>
      </c>
      <c r="F45" s="11">
        <f>E45/100*$C$4</f>
        <v>18.555</v>
      </c>
      <c r="G45" s="11"/>
      <c r="H45" s="11">
        <f t="shared" ref="H45" si="145">F45+G45</f>
        <v>18.555</v>
      </c>
      <c r="I45" s="11"/>
      <c r="J45" s="11">
        <f t="shared" ref="J45:J46" si="146">H45-I45</f>
        <v>18.555</v>
      </c>
      <c r="K45" s="12">
        <f t="shared" ref="K45:K46" si="147">I45/H45</f>
        <v>0</v>
      </c>
      <c r="L45" s="262">
        <f>F45+F46</f>
        <v>20.61</v>
      </c>
      <c r="M45" s="262">
        <f>G45+G46</f>
        <v>0</v>
      </c>
      <c r="N45" s="262">
        <f t="shared" ref="N45" si="148">L45+M45</f>
        <v>20.61</v>
      </c>
      <c r="O45" s="262">
        <f>I45+I46</f>
        <v>0</v>
      </c>
      <c r="P45" s="262">
        <f t="shared" ref="P45" si="149">N45-O45</f>
        <v>20.61</v>
      </c>
      <c r="Q45" s="263">
        <f t="shared" ref="Q45" si="150">O45/N45</f>
        <v>0</v>
      </c>
    </row>
    <row r="46" spans="2:17" ht="15.75" customHeight="1" x14ac:dyDescent="0.25">
      <c r="B46" s="364"/>
      <c r="C46" s="371"/>
      <c r="D46" s="213" t="s">
        <v>42</v>
      </c>
      <c r="E46" s="362"/>
      <c r="F46" s="11">
        <f>E45/100*$C$5</f>
        <v>2.0549999999999997</v>
      </c>
      <c r="G46" s="11"/>
      <c r="H46" s="11">
        <f>F46+G46+J45</f>
        <v>20.61</v>
      </c>
      <c r="I46" s="11"/>
      <c r="J46" s="11">
        <f t="shared" si="146"/>
        <v>20.61</v>
      </c>
      <c r="K46" s="12">
        <f t="shared" si="147"/>
        <v>0</v>
      </c>
      <c r="L46" s="361"/>
      <c r="M46" s="361"/>
      <c r="N46" s="361"/>
      <c r="O46" s="361"/>
      <c r="P46" s="361"/>
      <c r="Q46" s="263"/>
    </row>
    <row r="47" spans="2:17" ht="15.75" customHeight="1" x14ac:dyDescent="0.25">
      <c r="B47" s="364"/>
      <c r="C47" s="366" t="s">
        <v>111</v>
      </c>
      <c r="D47" s="213" t="s">
        <v>40</v>
      </c>
      <c r="E47" s="359">
        <v>5.0000000000000001E-3</v>
      </c>
      <c r="F47" s="11">
        <f>E47/100*$C$4</f>
        <v>6.1850000000000002E-2</v>
      </c>
      <c r="G47" s="11"/>
      <c r="H47" s="11">
        <f t="shared" ref="H47" si="151">F47+G47</f>
        <v>6.1850000000000002E-2</v>
      </c>
      <c r="I47" s="11"/>
      <c r="J47" s="11">
        <f t="shared" ref="J47:J48" si="152">H47-I47</f>
        <v>6.1850000000000002E-2</v>
      </c>
      <c r="K47" s="12">
        <f t="shared" ref="K47:K48" si="153">I47/H47</f>
        <v>0</v>
      </c>
      <c r="L47" s="262">
        <f>F47+F48</f>
        <v>6.8699999999999997E-2</v>
      </c>
      <c r="M47" s="262">
        <f>G47+G48</f>
        <v>0</v>
      </c>
      <c r="N47" s="262">
        <f t="shared" ref="N47" si="154">L47+M47</f>
        <v>6.8699999999999997E-2</v>
      </c>
      <c r="O47" s="262">
        <f>I47+I48</f>
        <v>0</v>
      </c>
      <c r="P47" s="262">
        <f t="shared" ref="P47" si="155">N47-O47</f>
        <v>6.8699999999999997E-2</v>
      </c>
      <c r="Q47" s="263">
        <f t="shared" ref="Q47" si="156">O47/N47</f>
        <v>0</v>
      </c>
    </row>
    <row r="48" spans="2:17" ht="15.75" customHeight="1" x14ac:dyDescent="0.25">
      <c r="B48" s="364"/>
      <c r="C48" s="375"/>
      <c r="D48" s="213" t="s">
        <v>42</v>
      </c>
      <c r="E48" s="372"/>
      <c r="F48" s="11">
        <f>E47/100*$C$5</f>
        <v>6.8500000000000002E-3</v>
      </c>
      <c r="G48" s="11"/>
      <c r="H48" s="11">
        <f>F48+G48+J47</f>
        <v>6.8699999999999997E-2</v>
      </c>
      <c r="I48" s="11"/>
      <c r="J48" s="11">
        <f t="shared" si="152"/>
        <v>6.8699999999999997E-2</v>
      </c>
      <c r="K48" s="12">
        <f t="shared" si="153"/>
        <v>0</v>
      </c>
      <c r="L48" s="361"/>
      <c r="M48" s="361"/>
      <c r="N48" s="361"/>
      <c r="O48" s="361"/>
      <c r="P48" s="361"/>
      <c r="Q48" s="263"/>
    </row>
    <row r="49" spans="2:17" ht="15.75" customHeight="1" x14ac:dyDescent="0.25">
      <c r="B49" s="364"/>
      <c r="C49" s="366" t="s">
        <v>112</v>
      </c>
      <c r="D49" s="213" t="s">
        <v>40</v>
      </c>
      <c r="E49" s="359">
        <v>27.747319000000001</v>
      </c>
      <c r="F49" s="11">
        <f>E49/100*$C$4</f>
        <v>343.23433603000007</v>
      </c>
      <c r="G49" s="11">
        <f>27.48</f>
        <v>27.48</v>
      </c>
      <c r="H49" s="11">
        <f t="shared" ref="H49" si="157">F49+G49</f>
        <v>370.71433603000008</v>
      </c>
      <c r="I49" s="413">
        <v>61.301000000000002</v>
      </c>
      <c r="J49" s="11">
        <f t="shared" ref="J49:J50" si="158">H49-I49</f>
        <v>309.4133360300001</v>
      </c>
      <c r="K49" s="12">
        <f t="shared" ref="K49:K50" si="159">I49/H49</f>
        <v>0.16535912977220071</v>
      </c>
      <c r="L49" s="262">
        <f>F49+F50</f>
        <v>381.24816306000008</v>
      </c>
      <c r="M49" s="262">
        <f>G49+G50</f>
        <v>27.48</v>
      </c>
      <c r="N49" s="262">
        <f t="shared" ref="N49" si="160">L49+M49</f>
        <v>408.7281630600001</v>
      </c>
      <c r="O49" s="262">
        <f>I49+I50</f>
        <v>61.301000000000002</v>
      </c>
      <c r="P49" s="262">
        <f t="shared" ref="P49" si="161">N49-O49</f>
        <v>347.42716306000011</v>
      </c>
      <c r="Q49" s="263">
        <f t="shared" ref="Q49" si="162">O49/N49</f>
        <v>0.14997987792439249</v>
      </c>
    </row>
    <row r="50" spans="2:17" ht="15.75" customHeight="1" thickBot="1" x14ac:dyDescent="0.3">
      <c r="B50" s="365"/>
      <c r="C50" s="367"/>
      <c r="D50" s="213" t="s">
        <v>42</v>
      </c>
      <c r="E50" s="360"/>
      <c r="F50" s="11">
        <f>E49/100*$C$5</f>
        <v>38.013827030000002</v>
      </c>
      <c r="G50" s="11"/>
      <c r="H50" s="11">
        <f>F50+G50+J49</f>
        <v>347.42716306000011</v>
      </c>
      <c r="I50" s="11"/>
      <c r="J50" s="11">
        <f t="shared" si="158"/>
        <v>347.42716306000011</v>
      </c>
      <c r="K50" s="12">
        <f t="shared" si="159"/>
        <v>0</v>
      </c>
      <c r="L50" s="361"/>
      <c r="M50" s="361"/>
      <c r="N50" s="361"/>
      <c r="O50" s="361"/>
      <c r="P50" s="361"/>
      <c r="Q50" s="263"/>
    </row>
    <row r="51" spans="2:17" ht="12" customHeight="1" x14ac:dyDescent="0.25">
      <c r="B51" s="368" t="s">
        <v>113</v>
      </c>
      <c r="C51" s="374" t="s">
        <v>54</v>
      </c>
      <c r="D51" s="215" t="s">
        <v>40</v>
      </c>
      <c r="E51" s="373">
        <v>13.265000000000001</v>
      </c>
      <c r="F51" s="42">
        <f>E51/100*$D$4</f>
        <v>200.56680000000003</v>
      </c>
      <c r="G51" s="42"/>
      <c r="H51" s="42">
        <f t="shared" ref="H51" si="163">F51+G51</f>
        <v>200.56680000000003</v>
      </c>
      <c r="I51" s="42"/>
      <c r="J51" s="42">
        <f t="shared" si="12"/>
        <v>200.56680000000003</v>
      </c>
      <c r="K51" s="73">
        <f t="shared" si="9"/>
        <v>0</v>
      </c>
      <c r="L51" s="264">
        <f>F51+F52</f>
        <v>222.85200000000003</v>
      </c>
      <c r="M51" s="264">
        <f>G51+G52</f>
        <v>0</v>
      </c>
      <c r="N51" s="264">
        <f>L51+M51</f>
        <v>222.85200000000003</v>
      </c>
      <c r="O51" s="264">
        <f t="shared" ref="O51" si="164">I51+I52</f>
        <v>0</v>
      </c>
      <c r="P51" s="264">
        <f>N51-O51</f>
        <v>222.85200000000003</v>
      </c>
      <c r="Q51" s="265">
        <f t="shared" ref="Q51" si="165">O51/N51</f>
        <v>0</v>
      </c>
    </row>
    <row r="52" spans="2:17" ht="15" customHeight="1" x14ac:dyDescent="0.25">
      <c r="B52" s="369"/>
      <c r="C52" s="371"/>
      <c r="D52" s="96" t="s">
        <v>42</v>
      </c>
      <c r="E52" s="362"/>
      <c r="F52" s="11">
        <f>E51/100*$D$5</f>
        <v>22.285200000000003</v>
      </c>
      <c r="G52" s="11"/>
      <c r="H52" s="11">
        <f t="shared" ref="H52" si="166">F52+G52+J51</f>
        <v>222.85200000000003</v>
      </c>
      <c r="I52" s="11"/>
      <c r="J52" s="11">
        <f t="shared" si="12"/>
        <v>222.85200000000003</v>
      </c>
      <c r="K52" s="12">
        <f t="shared" si="9"/>
        <v>0</v>
      </c>
      <c r="L52" s="361"/>
      <c r="M52" s="361"/>
      <c r="N52" s="361"/>
      <c r="O52" s="361"/>
      <c r="P52" s="361"/>
      <c r="Q52" s="263"/>
    </row>
    <row r="53" spans="2:17" ht="15" customHeight="1" x14ac:dyDescent="0.25">
      <c r="B53" s="369"/>
      <c r="C53" s="371" t="s">
        <v>55</v>
      </c>
      <c r="D53" s="96" t="s">
        <v>40</v>
      </c>
      <c r="E53" s="362">
        <v>2.0421420000000001</v>
      </c>
      <c r="F53" s="11">
        <f t="shared" ref="F53" si="167">E53/100*$D$4</f>
        <v>30.877187040000003</v>
      </c>
      <c r="G53" s="11"/>
      <c r="H53" s="11">
        <f t="shared" ref="H53" si="168">F53+G53</f>
        <v>30.877187040000003</v>
      </c>
      <c r="I53" s="11"/>
      <c r="J53" s="11">
        <f>H53-I53</f>
        <v>30.877187040000003</v>
      </c>
      <c r="K53" s="12">
        <f>I53/H53</f>
        <v>0</v>
      </c>
      <c r="L53" s="262">
        <f t="shared" ref="L53" si="169">F53+F54</f>
        <v>34.307985600000002</v>
      </c>
      <c r="M53" s="262">
        <f t="shared" ref="M53" si="170">G53+G54</f>
        <v>0</v>
      </c>
      <c r="N53" s="262">
        <f t="shared" ref="N53" si="171">L53+M53</f>
        <v>34.307985600000002</v>
      </c>
      <c r="O53" s="262">
        <f>I53+I54</f>
        <v>0</v>
      </c>
      <c r="P53" s="262">
        <f t="shared" ref="P53" si="172">N53-O53</f>
        <v>34.307985600000002</v>
      </c>
      <c r="Q53" s="263">
        <f t="shared" ref="Q53" si="173">O53/N53</f>
        <v>0</v>
      </c>
    </row>
    <row r="54" spans="2:17" ht="15" customHeight="1" x14ac:dyDescent="0.25">
      <c r="B54" s="369"/>
      <c r="C54" s="371"/>
      <c r="D54" s="96" t="s">
        <v>42</v>
      </c>
      <c r="E54" s="362"/>
      <c r="F54" s="11">
        <f t="shared" ref="F54" si="174">E53/100*$D$5</f>
        <v>3.4307985600000004</v>
      </c>
      <c r="G54" s="11"/>
      <c r="H54" s="11">
        <f t="shared" ref="H54" si="175">F54+G54+J53</f>
        <v>34.307985600000002</v>
      </c>
      <c r="I54" s="11"/>
      <c r="J54" s="11">
        <f t="shared" si="12"/>
        <v>34.307985600000002</v>
      </c>
      <c r="K54" s="12">
        <f t="shared" si="9"/>
        <v>0</v>
      </c>
      <c r="L54" s="361"/>
      <c r="M54" s="361"/>
      <c r="N54" s="361"/>
      <c r="O54" s="361"/>
      <c r="P54" s="361"/>
      <c r="Q54" s="263"/>
    </row>
    <row r="55" spans="2:17" ht="15" customHeight="1" x14ac:dyDescent="0.25">
      <c r="B55" s="369"/>
      <c r="C55" s="371" t="s">
        <v>57</v>
      </c>
      <c r="D55" s="96" t="s">
        <v>40</v>
      </c>
      <c r="E55" s="362">
        <v>25.82</v>
      </c>
      <c r="F55" s="11">
        <f t="shared" ref="F55" si="176">E55/100*$D$4</f>
        <v>390.39839999999998</v>
      </c>
      <c r="G55" s="11"/>
      <c r="H55" s="11">
        <f t="shared" ref="H55" si="177">F55+G55</f>
        <v>390.39839999999998</v>
      </c>
      <c r="I55" s="413">
        <v>55.298999999999999</v>
      </c>
      <c r="J55" s="11">
        <f t="shared" si="12"/>
        <v>335.0994</v>
      </c>
      <c r="K55" s="12">
        <f t="shared" si="9"/>
        <v>0.14164760921151318</v>
      </c>
      <c r="L55" s="262">
        <f t="shared" ref="L55" si="178">F55+F56</f>
        <v>433.77599999999995</v>
      </c>
      <c r="M55" s="262">
        <f t="shared" ref="M55" si="179">G55+G56</f>
        <v>0</v>
      </c>
      <c r="N55" s="262">
        <f t="shared" ref="N55" si="180">L55+M55</f>
        <v>433.77599999999995</v>
      </c>
      <c r="O55" s="262">
        <f t="shared" ref="O55" si="181">I55+I56</f>
        <v>55.298999999999999</v>
      </c>
      <c r="P55" s="262">
        <f t="shared" ref="P55" si="182">N55-O55</f>
        <v>378.47699999999998</v>
      </c>
      <c r="Q55" s="263">
        <f t="shared" ref="Q55" si="183">O55/N55</f>
        <v>0.12748284829036186</v>
      </c>
    </row>
    <row r="56" spans="2:17" ht="15" customHeight="1" x14ac:dyDescent="0.25">
      <c r="B56" s="369"/>
      <c r="C56" s="371"/>
      <c r="D56" s="96" t="s">
        <v>42</v>
      </c>
      <c r="E56" s="362"/>
      <c r="F56" s="11">
        <f t="shared" ref="F56" si="184">E55/100*$D$5</f>
        <v>43.377600000000001</v>
      </c>
      <c r="G56" s="11"/>
      <c r="H56" s="11">
        <f t="shared" ref="H56" si="185">F56+G56+J55</f>
        <v>378.47699999999998</v>
      </c>
      <c r="I56" s="11"/>
      <c r="J56" s="11">
        <f t="shared" si="12"/>
        <v>378.47699999999998</v>
      </c>
      <c r="K56" s="12">
        <f t="shared" si="9"/>
        <v>0</v>
      </c>
      <c r="L56" s="361"/>
      <c r="M56" s="361"/>
      <c r="N56" s="361"/>
      <c r="O56" s="361"/>
      <c r="P56" s="361"/>
      <c r="Q56" s="263"/>
    </row>
    <row r="57" spans="2:17" ht="15" customHeight="1" x14ac:dyDescent="0.25">
      <c r="B57" s="369"/>
      <c r="C57" s="371" t="s">
        <v>100</v>
      </c>
      <c r="D57" s="96" t="s">
        <v>40</v>
      </c>
      <c r="E57" s="362">
        <v>0.191327</v>
      </c>
      <c r="F57" s="11">
        <f t="shared" ref="F57" si="186">E57/100*$D$4</f>
        <v>2.8928642399999998</v>
      </c>
      <c r="G57" s="11"/>
      <c r="H57" s="11">
        <f t="shared" ref="H57" si="187">F57+G57</f>
        <v>2.8928642399999998</v>
      </c>
      <c r="I57" s="11"/>
      <c r="J57" s="11">
        <f t="shared" si="12"/>
        <v>2.8928642399999998</v>
      </c>
      <c r="K57" s="12">
        <f t="shared" si="9"/>
        <v>0</v>
      </c>
      <c r="L57" s="262">
        <f t="shared" ref="L57" si="188">F57+F58</f>
        <v>3.2142935999999995</v>
      </c>
      <c r="M57" s="262">
        <f t="shared" ref="M57" si="189">G57+G58</f>
        <v>0</v>
      </c>
      <c r="N57" s="262">
        <f t="shared" ref="N57" si="190">L57+M57</f>
        <v>3.2142935999999995</v>
      </c>
      <c r="O57" s="262">
        <f t="shared" ref="O57" si="191">I57+I58</f>
        <v>0</v>
      </c>
      <c r="P57" s="262">
        <f t="shared" ref="P57" si="192">N57-O57</f>
        <v>3.2142935999999995</v>
      </c>
      <c r="Q57" s="263">
        <f t="shared" ref="Q57" si="193">O57/N57</f>
        <v>0</v>
      </c>
    </row>
    <row r="58" spans="2:17" ht="15" customHeight="1" x14ac:dyDescent="0.25">
      <c r="B58" s="369"/>
      <c r="C58" s="371"/>
      <c r="D58" s="96" t="s">
        <v>42</v>
      </c>
      <c r="E58" s="362"/>
      <c r="F58" s="11">
        <f t="shared" ref="F58" si="194">E57/100*$D$5</f>
        <v>0.32142936</v>
      </c>
      <c r="G58" s="11"/>
      <c r="H58" s="11">
        <f t="shared" ref="H58" si="195">F58+G58+J57</f>
        <v>3.2142935999999995</v>
      </c>
      <c r="I58" s="11"/>
      <c r="J58" s="11">
        <f t="shared" si="12"/>
        <v>3.2142935999999995</v>
      </c>
      <c r="K58" s="12">
        <f t="shared" si="9"/>
        <v>0</v>
      </c>
      <c r="L58" s="361"/>
      <c r="M58" s="361"/>
      <c r="N58" s="361"/>
      <c r="O58" s="361"/>
      <c r="P58" s="361"/>
      <c r="Q58" s="263"/>
    </row>
    <row r="59" spans="2:17" ht="15" customHeight="1" x14ac:dyDescent="0.25">
      <c r="B59" s="369"/>
      <c r="C59" s="371" t="s">
        <v>58</v>
      </c>
      <c r="D59" s="96" t="s">
        <v>40</v>
      </c>
      <c r="E59" s="362">
        <v>3.6373000000000003E-2</v>
      </c>
      <c r="F59" s="11">
        <f t="shared" ref="F59" si="196">E59/100*$D$4</f>
        <v>0.54995976000000002</v>
      </c>
      <c r="G59" s="11"/>
      <c r="H59" s="11">
        <f t="shared" ref="H59" si="197">F59+G59</f>
        <v>0.54995976000000002</v>
      </c>
      <c r="I59" s="11"/>
      <c r="J59" s="11">
        <f t="shared" si="12"/>
        <v>0.54995976000000002</v>
      </c>
      <c r="K59" s="12">
        <f t="shared" si="9"/>
        <v>0</v>
      </c>
      <c r="L59" s="262">
        <f t="shared" ref="L59" si="198">F59+F60</f>
        <v>0.61106640000000001</v>
      </c>
      <c r="M59" s="262">
        <f t="shared" ref="M59" si="199">G59+G60</f>
        <v>0</v>
      </c>
      <c r="N59" s="262">
        <f t="shared" ref="N59" si="200">L59+M59</f>
        <v>0.61106640000000001</v>
      </c>
      <c r="O59" s="262">
        <f t="shared" ref="O59" si="201">I59+I60</f>
        <v>0</v>
      </c>
      <c r="P59" s="262">
        <f t="shared" ref="P59" si="202">N59-O59</f>
        <v>0.61106640000000001</v>
      </c>
      <c r="Q59" s="263">
        <f t="shared" ref="Q59" si="203">O59/N59</f>
        <v>0</v>
      </c>
    </row>
    <row r="60" spans="2:17" ht="15" customHeight="1" x14ac:dyDescent="0.25">
      <c r="B60" s="369"/>
      <c r="C60" s="371"/>
      <c r="D60" s="96" t="s">
        <v>42</v>
      </c>
      <c r="E60" s="362"/>
      <c r="F60" s="11">
        <f t="shared" ref="F60" si="204">E59/100*$D$5</f>
        <v>6.1106640000000004E-2</v>
      </c>
      <c r="G60" s="11"/>
      <c r="H60" s="11">
        <f t="shared" ref="H60" si="205">F60+G60+J59</f>
        <v>0.61106640000000001</v>
      </c>
      <c r="I60" s="11"/>
      <c r="J60" s="11">
        <f t="shared" si="12"/>
        <v>0.61106640000000001</v>
      </c>
      <c r="K60" s="12">
        <f t="shared" si="9"/>
        <v>0</v>
      </c>
      <c r="L60" s="361"/>
      <c r="M60" s="361"/>
      <c r="N60" s="361"/>
      <c r="O60" s="361"/>
      <c r="P60" s="361"/>
      <c r="Q60" s="263"/>
    </row>
    <row r="61" spans="2:17" ht="15" customHeight="1" x14ac:dyDescent="0.25">
      <c r="B61" s="369"/>
      <c r="C61" s="371" t="s">
        <v>59</v>
      </c>
      <c r="D61" s="96" t="s">
        <v>40</v>
      </c>
      <c r="E61" s="362">
        <v>11.28299</v>
      </c>
      <c r="F61" s="11">
        <f t="shared" ref="F61" si="206">E61/100*$D$4</f>
        <v>170.5988088</v>
      </c>
      <c r="G61" s="11">
        <f>-0.831</f>
        <v>-0.83099999999999996</v>
      </c>
      <c r="H61" s="11">
        <f t="shared" ref="H61" si="207">F61+G61</f>
        <v>169.76780880000001</v>
      </c>
      <c r="I61" s="11"/>
      <c r="J61" s="11">
        <f t="shared" si="12"/>
        <v>169.76780880000001</v>
      </c>
      <c r="K61" s="12">
        <f t="shared" si="9"/>
        <v>0</v>
      </c>
      <c r="L61" s="262">
        <f t="shared" ref="L61" si="208">F61+F62</f>
        <v>189.55423200000001</v>
      </c>
      <c r="M61" s="262">
        <f t="shared" ref="M61" si="209">G61+G62</f>
        <v>-0.83099999999999996</v>
      </c>
      <c r="N61" s="262">
        <f t="shared" ref="N61" si="210">L61+M61</f>
        <v>188.72323200000002</v>
      </c>
      <c r="O61" s="262">
        <f t="shared" ref="O61" si="211">I61+I62</f>
        <v>0</v>
      </c>
      <c r="P61" s="262">
        <f t="shared" ref="P61" si="212">N61-O61</f>
        <v>188.72323200000002</v>
      </c>
      <c r="Q61" s="263">
        <f t="shared" ref="Q61" si="213">O61/N61</f>
        <v>0</v>
      </c>
    </row>
    <row r="62" spans="2:17" ht="15" customHeight="1" x14ac:dyDescent="0.25">
      <c r="B62" s="369"/>
      <c r="C62" s="371"/>
      <c r="D62" s="96" t="s">
        <v>42</v>
      </c>
      <c r="E62" s="362"/>
      <c r="F62" s="11">
        <f t="shared" ref="F62" si="214">E61/100*$D$5</f>
        <v>18.955423199999998</v>
      </c>
      <c r="G62" s="11"/>
      <c r="H62" s="11">
        <f t="shared" ref="H62" si="215">F62+G62+J61</f>
        <v>188.723232</v>
      </c>
      <c r="I62" s="11"/>
      <c r="J62" s="11">
        <f t="shared" si="12"/>
        <v>188.723232</v>
      </c>
      <c r="K62" s="12">
        <f t="shared" si="9"/>
        <v>0</v>
      </c>
      <c r="L62" s="361"/>
      <c r="M62" s="361"/>
      <c r="N62" s="361"/>
      <c r="O62" s="361"/>
      <c r="P62" s="361"/>
      <c r="Q62" s="263"/>
    </row>
    <row r="63" spans="2:17" ht="15" customHeight="1" x14ac:dyDescent="0.25">
      <c r="B63" s="369"/>
      <c r="C63" s="371" t="s">
        <v>101</v>
      </c>
      <c r="D63" s="96" t="s">
        <v>40</v>
      </c>
      <c r="E63" s="362">
        <v>0.1</v>
      </c>
      <c r="F63" s="11">
        <f t="shared" ref="F63" si="216">E63/100*$D$4</f>
        <v>1.512</v>
      </c>
      <c r="G63" s="11"/>
      <c r="H63" s="11">
        <f t="shared" ref="H63" si="217">F63+G63</f>
        <v>1.512</v>
      </c>
      <c r="I63" s="11"/>
      <c r="J63" s="11">
        <f t="shared" si="12"/>
        <v>1.512</v>
      </c>
      <c r="K63" s="12">
        <f t="shared" si="9"/>
        <v>0</v>
      </c>
      <c r="L63" s="262">
        <f t="shared" ref="L63" si="218">F63+F64</f>
        <v>1.68</v>
      </c>
      <c r="M63" s="262">
        <f t="shared" ref="M63" si="219">G63+G64</f>
        <v>0</v>
      </c>
      <c r="N63" s="262">
        <f t="shared" ref="N63" si="220">L63+M63</f>
        <v>1.68</v>
      </c>
      <c r="O63" s="262">
        <f t="shared" ref="O63" si="221">I63+I64</f>
        <v>0</v>
      </c>
      <c r="P63" s="262">
        <f t="shared" ref="P63" si="222">N63-O63</f>
        <v>1.68</v>
      </c>
      <c r="Q63" s="263">
        <f t="shared" ref="Q63" si="223">O63/N63</f>
        <v>0</v>
      </c>
    </row>
    <row r="64" spans="2:17" ht="15" customHeight="1" x14ac:dyDescent="0.25">
      <c r="B64" s="369"/>
      <c r="C64" s="371"/>
      <c r="D64" s="96" t="s">
        <v>42</v>
      </c>
      <c r="E64" s="362"/>
      <c r="F64" s="11">
        <f t="shared" ref="F64" si="224">E63/100*$D$5</f>
        <v>0.16800000000000001</v>
      </c>
      <c r="G64" s="11"/>
      <c r="H64" s="11">
        <f t="shared" ref="H64" si="225">F64+G64+J63</f>
        <v>1.68</v>
      </c>
      <c r="I64" s="11"/>
      <c r="J64" s="11">
        <f t="shared" si="12"/>
        <v>1.68</v>
      </c>
      <c r="K64" s="12">
        <f t="shared" si="9"/>
        <v>0</v>
      </c>
      <c r="L64" s="361"/>
      <c r="M64" s="361"/>
      <c r="N64" s="361"/>
      <c r="O64" s="361"/>
      <c r="P64" s="361"/>
      <c r="Q64" s="263"/>
    </row>
    <row r="65" spans="2:17" ht="15" customHeight="1" x14ac:dyDescent="0.25">
      <c r="B65" s="369"/>
      <c r="C65" s="371" t="s">
        <v>84</v>
      </c>
      <c r="D65" s="96" t="s">
        <v>40</v>
      </c>
      <c r="E65" s="362">
        <v>0</v>
      </c>
      <c r="F65" s="11">
        <f t="shared" ref="F65" si="226">E65/100*$D$4</f>
        <v>0</v>
      </c>
      <c r="G65" s="11"/>
      <c r="H65" s="11">
        <f t="shared" ref="H65" si="227">F65+G65</f>
        <v>0</v>
      </c>
      <c r="I65" s="11"/>
      <c r="J65" s="11">
        <f t="shared" si="12"/>
        <v>0</v>
      </c>
      <c r="K65" s="12" t="e">
        <f t="shared" si="9"/>
        <v>#DIV/0!</v>
      </c>
      <c r="L65" s="262">
        <f t="shared" ref="L65" si="228">F65+F66</f>
        <v>0</v>
      </c>
      <c r="M65" s="262">
        <f t="shared" ref="M65" si="229">G65+G66</f>
        <v>0</v>
      </c>
      <c r="N65" s="262">
        <f t="shared" ref="N65" si="230">L65+M65</f>
        <v>0</v>
      </c>
      <c r="O65" s="262">
        <f t="shared" ref="O65" si="231">I65+I66</f>
        <v>0</v>
      </c>
      <c r="P65" s="262">
        <f t="shared" ref="P65" si="232">N65-O65</f>
        <v>0</v>
      </c>
      <c r="Q65" s="263" t="e">
        <f t="shared" ref="Q65" si="233">O65/N65</f>
        <v>#DIV/0!</v>
      </c>
    </row>
    <row r="66" spans="2:17" ht="15" customHeight="1" x14ac:dyDescent="0.25">
      <c r="B66" s="369"/>
      <c r="C66" s="371"/>
      <c r="D66" s="96" t="s">
        <v>42</v>
      </c>
      <c r="E66" s="362"/>
      <c r="F66" s="11">
        <f t="shared" ref="F66" si="234">E65/100*$D$5</f>
        <v>0</v>
      </c>
      <c r="G66" s="11"/>
      <c r="H66" s="11">
        <f t="shared" ref="H66" si="235">F66+G66+J65</f>
        <v>0</v>
      </c>
      <c r="I66" s="11"/>
      <c r="J66" s="11">
        <f t="shared" si="12"/>
        <v>0</v>
      </c>
      <c r="K66" s="12" t="e">
        <f t="shared" si="9"/>
        <v>#DIV/0!</v>
      </c>
      <c r="L66" s="361"/>
      <c r="M66" s="361"/>
      <c r="N66" s="361"/>
      <c r="O66" s="361"/>
      <c r="P66" s="361"/>
      <c r="Q66" s="263"/>
    </row>
    <row r="67" spans="2:17" ht="15" customHeight="1" x14ac:dyDescent="0.25">
      <c r="B67" s="369"/>
      <c r="C67" s="371" t="s">
        <v>102</v>
      </c>
      <c r="D67" s="96" t="s">
        <v>40</v>
      </c>
      <c r="E67" s="362">
        <v>5.1920000000000002</v>
      </c>
      <c r="F67" s="11">
        <f t="shared" ref="F67" si="236">E67/100*$D$4</f>
        <v>78.503039999999999</v>
      </c>
      <c r="G67" s="11">
        <f>-33.6</f>
        <v>-33.6</v>
      </c>
      <c r="H67" s="11">
        <f t="shared" ref="H67" si="237">F67+G67</f>
        <v>44.903039999999997</v>
      </c>
      <c r="I67" s="413">
        <v>17.420000000000002</v>
      </c>
      <c r="J67" s="11">
        <f t="shared" si="12"/>
        <v>27.483039999999995</v>
      </c>
      <c r="K67" s="12">
        <f t="shared" si="9"/>
        <v>0.38794700759681311</v>
      </c>
      <c r="L67" s="262">
        <f t="shared" ref="L67" si="238">F67+F68</f>
        <v>87.2256</v>
      </c>
      <c r="M67" s="262">
        <f t="shared" ref="M67" si="239">G67+G68</f>
        <v>-33.6</v>
      </c>
      <c r="N67" s="262">
        <f t="shared" ref="N67" si="240">L67+M67</f>
        <v>53.625599999999999</v>
      </c>
      <c r="O67" s="262">
        <f t="shared" ref="O67" si="241">I67+I68</f>
        <v>17.420000000000002</v>
      </c>
      <c r="P67" s="262">
        <f t="shared" ref="P67" si="242">N67-O67</f>
        <v>36.205599999999997</v>
      </c>
      <c r="Q67" s="263">
        <f t="shared" ref="Q67" si="243">O67/N67</f>
        <v>0.32484485022079013</v>
      </c>
    </row>
    <row r="68" spans="2:17" ht="15" customHeight="1" x14ac:dyDescent="0.25">
      <c r="B68" s="369"/>
      <c r="C68" s="371"/>
      <c r="D68" s="96" t="s">
        <v>42</v>
      </c>
      <c r="E68" s="362"/>
      <c r="F68" s="11">
        <f t="shared" ref="F68" si="244">E67/100*$D$5</f>
        <v>8.7225599999999996</v>
      </c>
      <c r="G68" s="11"/>
      <c r="H68" s="11">
        <f t="shared" ref="H68" si="245">F68+G68+J67</f>
        <v>36.205599999999997</v>
      </c>
      <c r="I68" s="11"/>
      <c r="J68" s="11">
        <f t="shared" si="12"/>
        <v>36.205599999999997</v>
      </c>
      <c r="K68" s="12">
        <f t="shared" si="9"/>
        <v>0</v>
      </c>
      <c r="L68" s="361"/>
      <c r="M68" s="361"/>
      <c r="N68" s="361"/>
      <c r="O68" s="361"/>
      <c r="P68" s="361"/>
      <c r="Q68" s="263"/>
    </row>
    <row r="69" spans="2:17" ht="15" customHeight="1" x14ac:dyDescent="0.25">
      <c r="B69" s="369"/>
      <c r="C69" s="371" t="s">
        <v>103</v>
      </c>
      <c r="D69" s="96" t="s">
        <v>40</v>
      </c>
      <c r="E69" s="362">
        <v>5.04E-2</v>
      </c>
      <c r="F69" s="11">
        <f t="shared" ref="F69" si="246">E69/100*$D$4</f>
        <v>0.76204799999999995</v>
      </c>
      <c r="G69" s="11"/>
      <c r="H69" s="11">
        <f t="shared" ref="H69" si="247">F69+G69</f>
        <v>0.76204799999999995</v>
      </c>
      <c r="I69" s="11"/>
      <c r="J69" s="11">
        <f t="shared" si="12"/>
        <v>0.76204799999999995</v>
      </c>
      <c r="K69" s="12">
        <f t="shared" si="9"/>
        <v>0</v>
      </c>
      <c r="L69" s="262">
        <f t="shared" ref="L69" si="248">F69+F70</f>
        <v>0.84671999999999992</v>
      </c>
      <c r="M69" s="262">
        <f t="shared" ref="M69" si="249">G69+G70</f>
        <v>0</v>
      </c>
      <c r="N69" s="262">
        <f t="shared" ref="N69" si="250">L69+M69</f>
        <v>0.84671999999999992</v>
      </c>
      <c r="O69" s="262">
        <f t="shared" ref="O69" si="251">I69+I70</f>
        <v>0</v>
      </c>
      <c r="P69" s="262">
        <f t="shared" ref="P69" si="252">N69-O69</f>
        <v>0.84671999999999992</v>
      </c>
      <c r="Q69" s="263">
        <f t="shared" ref="Q69" si="253">O69/N69</f>
        <v>0</v>
      </c>
    </row>
    <row r="70" spans="2:17" ht="15" customHeight="1" x14ac:dyDescent="0.25">
      <c r="B70" s="369"/>
      <c r="C70" s="371"/>
      <c r="D70" s="96" t="s">
        <v>42</v>
      </c>
      <c r="E70" s="362"/>
      <c r="F70" s="11">
        <f t="shared" ref="F70" si="254">E69/100*$D$5</f>
        <v>8.4671999999999997E-2</v>
      </c>
      <c r="G70" s="11"/>
      <c r="H70" s="11">
        <f t="shared" ref="H70" si="255">F70+G70+J69</f>
        <v>0.84671999999999992</v>
      </c>
      <c r="I70" s="11"/>
      <c r="J70" s="11">
        <f t="shared" si="12"/>
        <v>0.84671999999999992</v>
      </c>
      <c r="K70" s="12">
        <f t="shared" si="9"/>
        <v>0</v>
      </c>
      <c r="L70" s="361"/>
      <c r="M70" s="361"/>
      <c r="N70" s="361"/>
      <c r="O70" s="361"/>
      <c r="P70" s="361"/>
      <c r="Q70" s="263"/>
    </row>
    <row r="71" spans="2:17" ht="15" customHeight="1" x14ac:dyDescent="0.25">
      <c r="B71" s="369"/>
      <c r="C71" s="371" t="s">
        <v>64</v>
      </c>
      <c r="D71" s="96" t="s">
        <v>40</v>
      </c>
      <c r="E71" s="362">
        <v>0.35650500000000002</v>
      </c>
      <c r="F71" s="11">
        <f t="shared" ref="F71" si="256">E71/100*$D$4</f>
        <v>5.3903556000000004</v>
      </c>
      <c r="G71" s="11">
        <f>0.831</f>
        <v>0.83099999999999996</v>
      </c>
      <c r="H71" s="11">
        <f t="shared" ref="H71" si="257">F71+G71</f>
        <v>6.2213556000000008</v>
      </c>
      <c r="I71" s="11"/>
      <c r="J71" s="11">
        <f t="shared" si="12"/>
        <v>6.2213556000000008</v>
      </c>
      <c r="K71" s="12">
        <f t="shared" si="9"/>
        <v>0</v>
      </c>
      <c r="L71" s="262">
        <f t="shared" ref="L71" si="258">F71+F72</f>
        <v>5.9892840000000005</v>
      </c>
      <c r="M71" s="262">
        <f t="shared" ref="M71" si="259">G71+G72</f>
        <v>0.83099999999999996</v>
      </c>
      <c r="N71" s="262">
        <f t="shared" ref="N71" si="260">L71+M71</f>
        <v>6.8202840000000009</v>
      </c>
      <c r="O71" s="262">
        <f t="shared" ref="O71" si="261">I71+I72</f>
        <v>0</v>
      </c>
      <c r="P71" s="262">
        <f t="shared" ref="P71" si="262">N71-O71</f>
        <v>6.8202840000000009</v>
      </c>
      <c r="Q71" s="263">
        <f t="shared" ref="Q71" si="263">O71/N71</f>
        <v>0</v>
      </c>
    </row>
    <row r="72" spans="2:17" ht="15" customHeight="1" x14ac:dyDescent="0.25">
      <c r="B72" s="369"/>
      <c r="C72" s="371"/>
      <c r="D72" s="96" t="s">
        <v>42</v>
      </c>
      <c r="E72" s="362"/>
      <c r="F72" s="11">
        <f t="shared" ref="F72" si="264">E71/100*$D$5</f>
        <v>0.59892840000000003</v>
      </c>
      <c r="G72" s="11"/>
      <c r="H72" s="11">
        <f t="shared" ref="H72" si="265">F72+G72+J71</f>
        <v>6.8202840000000009</v>
      </c>
      <c r="I72" s="11"/>
      <c r="J72" s="11">
        <f t="shared" si="12"/>
        <v>6.8202840000000009</v>
      </c>
      <c r="K72" s="12">
        <f t="shared" si="9"/>
        <v>0</v>
      </c>
      <c r="L72" s="361"/>
      <c r="M72" s="361"/>
      <c r="N72" s="361"/>
      <c r="O72" s="361"/>
      <c r="P72" s="361"/>
      <c r="Q72" s="263"/>
    </row>
    <row r="73" spans="2:17" ht="15" customHeight="1" x14ac:dyDescent="0.25">
      <c r="B73" s="369"/>
      <c r="C73" s="371" t="s">
        <v>105</v>
      </c>
      <c r="D73" s="96" t="s">
        <v>40</v>
      </c>
      <c r="E73" s="362">
        <v>0</v>
      </c>
      <c r="F73" s="11">
        <f t="shared" ref="F73" si="266">E73/100*$D$4</f>
        <v>0</v>
      </c>
      <c r="G73" s="11"/>
      <c r="H73" s="11">
        <f t="shared" ref="H73" si="267">F73+G73</f>
        <v>0</v>
      </c>
      <c r="I73" s="11"/>
      <c r="J73" s="11">
        <f t="shared" ref="J73:J74" si="268">H73-I73</f>
        <v>0</v>
      </c>
      <c r="K73" s="12" t="e">
        <f t="shared" ref="K73:K74" si="269">I73/H73</f>
        <v>#DIV/0!</v>
      </c>
      <c r="L73" s="262">
        <f t="shared" ref="L73" si="270">F73+F74</f>
        <v>0</v>
      </c>
      <c r="M73" s="262">
        <f t="shared" ref="M73" si="271">G73+G74</f>
        <v>0</v>
      </c>
      <c r="N73" s="262">
        <f t="shared" ref="N73" si="272">L73+M73</f>
        <v>0</v>
      </c>
      <c r="O73" s="262">
        <f t="shared" ref="O73" si="273">I73+I74</f>
        <v>0</v>
      </c>
      <c r="P73" s="262">
        <f t="shared" ref="P73" si="274">N73-O73</f>
        <v>0</v>
      </c>
      <c r="Q73" s="263" t="e">
        <f t="shared" ref="Q73" si="275">O73/N73</f>
        <v>#DIV/0!</v>
      </c>
    </row>
    <row r="74" spans="2:17" ht="15" customHeight="1" x14ac:dyDescent="0.25">
      <c r="B74" s="369"/>
      <c r="C74" s="371"/>
      <c r="D74" s="96" t="s">
        <v>42</v>
      </c>
      <c r="E74" s="362"/>
      <c r="F74" s="11">
        <f t="shared" ref="F74" si="276">E73/100*$D$5</f>
        <v>0</v>
      </c>
      <c r="G74" s="11"/>
      <c r="H74" s="11">
        <f t="shared" ref="H74" si="277">F74+G74+J73</f>
        <v>0</v>
      </c>
      <c r="I74" s="11"/>
      <c r="J74" s="11">
        <f t="shared" si="268"/>
        <v>0</v>
      </c>
      <c r="K74" s="12" t="e">
        <f t="shared" si="269"/>
        <v>#DIV/0!</v>
      </c>
      <c r="L74" s="361"/>
      <c r="M74" s="361"/>
      <c r="N74" s="361"/>
      <c r="O74" s="361"/>
      <c r="P74" s="361"/>
      <c r="Q74" s="263"/>
    </row>
    <row r="75" spans="2:17" ht="15" customHeight="1" x14ac:dyDescent="0.25">
      <c r="B75" s="369"/>
      <c r="C75" s="371" t="s">
        <v>106</v>
      </c>
      <c r="D75" s="96" t="s">
        <v>40</v>
      </c>
      <c r="E75" s="362">
        <v>0.995</v>
      </c>
      <c r="F75" s="11">
        <f t="shared" ref="F75" si="278">E75/100*$D$4</f>
        <v>15.044400000000001</v>
      </c>
      <c r="G75" s="11"/>
      <c r="H75" s="11">
        <f t="shared" ref="H75" si="279">F75+G75</f>
        <v>15.044400000000001</v>
      </c>
      <c r="I75" s="11"/>
      <c r="J75" s="11">
        <f t="shared" ref="J75:J76" si="280">H75-I75</f>
        <v>15.044400000000001</v>
      </c>
      <c r="K75" s="12">
        <f t="shared" ref="K75:K76" si="281">I75/H75</f>
        <v>0</v>
      </c>
      <c r="L75" s="262">
        <f t="shared" ref="L75" si="282">F75+F76</f>
        <v>16.716000000000001</v>
      </c>
      <c r="M75" s="262">
        <f t="shared" ref="M75" si="283">G75+G76</f>
        <v>0</v>
      </c>
      <c r="N75" s="262">
        <f t="shared" ref="N75" si="284">L75+M75</f>
        <v>16.716000000000001</v>
      </c>
      <c r="O75" s="262">
        <f t="shared" ref="O75" si="285">I75+I76</f>
        <v>0</v>
      </c>
      <c r="P75" s="262">
        <f t="shared" ref="P75" si="286">N75-O75</f>
        <v>16.716000000000001</v>
      </c>
      <c r="Q75" s="263">
        <f t="shared" ref="Q75" si="287">O75/N75</f>
        <v>0</v>
      </c>
    </row>
    <row r="76" spans="2:17" ht="15" customHeight="1" x14ac:dyDescent="0.25">
      <c r="B76" s="369"/>
      <c r="C76" s="371"/>
      <c r="D76" s="96" t="s">
        <v>42</v>
      </c>
      <c r="E76" s="362"/>
      <c r="F76" s="11">
        <f t="shared" ref="F76" si="288">E75/100*$D$5</f>
        <v>1.6716000000000002</v>
      </c>
      <c r="G76" s="11"/>
      <c r="H76" s="11">
        <f t="shared" ref="H76" si="289">F76+G76+J75</f>
        <v>16.716000000000001</v>
      </c>
      <c r="I76" s="11"/>
      <c r="J76" s="11">
        <f t="shared" si="280"/>
        <v>16.716000000000001</v>
      </c>
      <c r="K76" s="12">
        <f t="shared" si="281"/>
        <v>0</v>
      </c>
      <c r="L76" s="361"/>
      <c r="M76" s="361"/>
      <c r="N76" s="361"/>
      <c r="O76" s="361"/>
      <c r="P76" s="361"/>
      <c r="Q76" s="263"/>
    </row>
    <row r="77" spans="2:17" ht="15" customHeight="1" x14ac:dyDescent="0.25">
      <c r="B77" s="369"/>
      <c r="C77" s="371" t="s">
        <v>107</v>
      </c>
      <c r="D77" s="96" t="s">
        <v>40</v>
      </c>
      <c r="E77" s="362">
        <v>4.8279999999999998E-3</v>
      </c>
      <c r="F77" s="11">
        <f t="shared" ref="F77" si="290">E77/100*$D$4</f>
        <v>7.2999359999999999E-2</v>
      </c>
      <c r="G77" s="11"/>
      <c r="H77" s="11">
        <f t="shared" ref="H77" si="291">F77+G77</f>
        <v>7.2999359999999999E-2</v>
      </c>
      <c r="I77" s="11"/>
      <c r="J77" s="11">
        <f t="shared" ref="J77:J78" si="292">H77-I77</f>
        <v>7.2999359999999999E-2</v>
      </c>
      <c r="K77" s="12">
        <f t="shared" ref="K77:K78" si="293">I77/H77</f>
        <v>0</v>
      </c>
      <c r="L77" s="262">
        <f t="shared" ref="L77" si="294">F77+F78</f>
        <v>8.1110399999999999E-2</v>
      </c>
      <c r="M77" s="262">
        <f t="shared" ref="M77" si="295">G77+G78</f>
        <v>0</v>
      </c>
      <c r="N77" s="262">
        <f t="shared" ref="N77" si="296">L77+M77</f>
        <v>8.1110399999999999E-2</v>
      </c>
      <c r="O77" s="262">
        <f t="shared" ref="O77" si="297">I77+I78</f>
        <v>0</v>
      </c>
      <c r="P77" s="262">
        <f t="shared" ref="P77" si="298">N77-O77</f>
        <v>8.1110399999999999E-2</v>
      </c>
      <c r="Q77" s="263">
        <f t="shared" ref="Q77" si="299">O77/N77</f>
        <v>0</v>
      </c>
    </row>
    <row r="78" spans="2:17" ht="15" customHeight="1" x14ac:dyDescent="0.25">
      <c r="B78" s="369"/>
      <c r="C78" s="371"/>
      <c r="D78" s="96" t="s">
        <v>42</v>
      </c>
      <c r="E78" s="362"/>
      <c r="F78" s="11">
        <f t="shared" ref="F78" si="300">E77/100*$D$5</f>
        <v>8.1110399999999999E-3</v>
      </c>
      <c r="G78" s="11"/>
      <c r="H78" s="11">
        <f t="shared" ref="H78" si="301">F78+G78+J77</f>
        <v>8.1110399999999999E-2</v>
      </c>
      <c r="I78" s="11"/>
      <c r="J78" s="11">
        <f t="shared" si="292"/>
        <v>8.1110399999999999E-2</v>
      </c>
      <c r="K78" s="12">
        <f t="shared" si="293"/>
        <v>0</v>
      </c>
      <c r="L78" s="361"/>
      <c r="M78" s="361"/>
      <c r="N78" s="361"/>
      <c r="O78" s="361"/>
      <c r="P78" s="361"/>
      <c r="Q78" s="263"/>
    </row>
    <row r="79" spans="2:17" ht="15" customHeight="1" x14ac:dyDescent="0.25">
      <c r="B79" s="369"/>
      <c r="C79" s="371" t="s">
        <v>108</v>
      </c>
      <c r="D79" s="96" t="s">
        <v>40</v>
      </c>
      <c r="E79" s="362">
        <v>0</v>
      </c>
      <c r="F79" s="11">
        <f t="shared" ref="F79" si="302">E79/100*$D$4</f>
        <v>0</v>
      </c>
      <c r="G79" s="11"/>
      <c r="H79" s="11">
        <f t="shared" ref="H79" si="303">F79+G79</f>
        <v>0</v>
      </c>
      <c r="I79" s="11"/>
      <c r="J79" s="11">
        <f t="shared" si="12"/>
        <v>0</v>
      </c>
      <c r="K79" s="12" t="e">
        <f t="shared" si="9"/>
        <v>#DIV/0!</v>
      </c>
      <c r="L79" s="262">
        <f t="shared" ref="L79" si="304">F79+F80</f>
        <v>0</v>
      </c>
      <c r="M79" s="262">
        <f t="shared" ref="M79" si="305">G79+G80</f>
        <v>0</v>
      </c>
      <c r="N79" s="262">
        <f t="shared" ref="N79" si="306">L79+M79</f>
        <v>0</v>
      </c>
      <c r="O79" s="262">
        <f t="shared" ref="O79" si="307">I79+I80</f>
        <v>0</v>
      </c>
      <c r="P79" s="262">
        <f t="shared" ref="P79" si="308">N79-O79</f>
        <v>0</v>
      </c>
      <c r="Q79" s="263" t="e">
        <f t="shared" ref="Q79" si="309">O79/N79</f>
        <v>#DIV/0!</v>
      </c>
    </row>
    <row r="80" spans="2:17" ht="15" customHeight="1" x14ac:dyDescent="0.25">
      <c r="B80" s="369"/>
      <c r="C80" s="371"/>
      <c r="D80" s="96" t="s">
        <v>42</v>
      </c>
      <c r="E80" s="362"/>
      <c r="F80" s="11">
        <f t="shared" ref="F80" si="310">E79/100*$D$5</f>
        <v>0</v>
      </c>
      <c r="G80" s="11"/>
      <c r="H80" s="11">
        <f t="shared" ref="H80" si="311">F80+G80+J79</f>
        <v>0</v>
      </c>
      <c r="I80" s="11"/>
      <c r="J80" s="11">
        <f>H80-I80</f>
        <v>0</v>
      </c>
      <c r="K80" s="12" t="e">
        <f t="shared" si="9"/>
        <v>#DIV/0!</v>
      </c>
      <c r="L80" s="361"/>
      <c r="M80" s="361"/>
      <c r="N80" s="361"/>
      <c r="O80" s="361"/>
      <c r="P80" s="361"/>
      <c r="Q80" s="263"/>
    </row>
    <row r="81" spans="2:17" ht="15" customHeight="1" x14ac:dyDescent="0.25">
      <c r="B81" s="369"/>
      <c r="C81" s="371" t="s">
        <v>109</v>
      </c>
      <c r="D81" s="96" t="s">
        <v>40</v>
      </c>
      <c r="E81" s="362">
        <v>0</v>
      </c>
      <c r="F81" s="11">
        <f t="shared" ref="F81" si="312">E81/100*$D$4</f>
        <v>0</v>
      </c>
      <c r="G81" s="11"/>
      <c r="H81" s="11">
        <f t="shared" ref="H81" si="313">F81+G81</f>
        <v>0</v>
      </c>
      <c r="I81" s="11"/>
      <c r="J81" s="11">
        <f t="shared" ref="J81:J84" si="314">H81-I81</f>
        <v>0</v>
      </c>
      <c r="K81" s="12" t="e">
        <f t="shared" ref="K81:K84" si="315">I81/H81</f>
        <v>#DIV/0!</v>
      </c>
      <c r="L81" s="262">
        <f t="shared" ref="L81" si="316">F81+F82</f>
        <v>0</v>
      </c>
      <c r="M81" s="262">
        <f t="shared" ref="M81" si="317">G81+G82</f>
        <v>0</v>
      </c>
      <c r="N81" s="262">
        <f t="shared" ref="N81" si="318">L81+M81</f>
        <v>0</v>
      </c>
      <c r="O81" s="262">
        <f t="shared" ref="O81" si="319">I81+I82</f>
        <v>0</v>
      </c>
      <c r="P81" s="262">
        <f t="shared" ref="P81" si="320">N81-O81</f>
        <v>0</v>
      </c>
      <c r="Q81" s="263" t="e">
        <f t="shared" ref="Q81" si="321">O81/N81</f>
        <v>#DIV/0!</v>
      </c>
    </row>
    <row r="82" spans="2:17" ht="15" customHeight="1" x14ac:dyDescent="0.25">
      <c r="B82" s="369"/>
      <c r="C82" s="371"/>
      <c r="D82" s="96" t="s">
        <v>42</v>
      </c>
      <c r="E82" s="362"/>
      <c r="F82" s="11">
        <f t="shared" ref="F82" si="322">E81/100*$D$5</f>
        <v>0</v>
      </c>
      <c r="G82" s="11"/>
      <c r="H82" s="11">
        <f t="shared" ref="H82" si="323">F82+G82+J81</f>
        <v>0</v>
      </c>
      <c r="I82" s="11"/>
      <c r="J82" s="11">
        <f t="shared" si="314"/>
        <v>0</v>
      </c>
      <c r="K82" s="12" t="e">
        <f t="shared" si="315"/>
        <v>#DIV/0!</v>
      </c>
      <c r="L82" s="361"/>
      <c r="M82" s="361"/>
      <c r="N82" s="361"/>
      <c r="O82" s="361"/>
      <c r="P82" s="361"/>
      <c r="Q82" s="263"/>
    </row>
    <row r="83" spans="2:17" ht="15" customHeight="1" x14ac:dyDescent="0.25">
      <c r="B83" s="369"/>
      <c r="C83" s="371" t="s">
        <v>110</v>
      </c>
      <c r="D83" s="96" t="s">
        <v>40</v>
      </c>
      <c r="E83" s="362">
        <v>1.5</v>
      </c>
      <c r="F83" s="11">
        <f t="shared" ref="F83" si="324">E83/100*$D$4</f>
        <v>22.68</v>
      </c>
      <c r="G83" s="11"/>
      <c r="H83" s="11">
        <f t="shared" ref="H83" si="325">F83+G83</f>
        <v>22.68</v>
      </c>
      <c r="I83" s="11"/>
      <c r="J83" s="11">
        <f t="shared" si="314"/>
        <v>22.68</v>
      </c>
      <c r="K83" s="12">
        <f t="shared" si="315"/>
        <v>0</v>
      </c>
      <c r="L83" s="262">
        <f t="shared" ref="L83" si="326">F83+F84</f>
        <v>25.2</v>
      </c>
      <c r="M83" s="262">
        <f t="shared" ref="M83" si="327">G83+G84</f>
        <v>0</v>
      </c>
      <c r="N83" s="262">
        <f t="shared" ref="N83" si="328">L83+M83</f>
        <v>25.2</v>
      </c>
      <c r="O83" s="262">
        <f t="shared" ref="O83" si="329">I83+I84</f>
        <v>0</v>
      </c>
      <c r="P83" s="262">
        <f t="shared" ref="P83" si="330">N83-O83</f>
        <v>25.2</v>
      </c>
      <c r="Q83" s="263">
        <f t="shared" ref="Q83" si="331">O83/N83</f>
        <v>0</v>
      </c>
    </row>
    <row r="84" spans="2:17" ht="15" customHeight="1" x14ac:dyDescent="0.25">
      <c r="B84" s="369"/>
      <c r="C84" s="371"/>
      <c r="D84" s="96" t="s">
        <v>42</v>
      </c>
      <c r="E84" s="362"/>
      <c r="F84" s="11">
        <f t="shared" ref="F84" si="332">E83/100*$D$5</f>
        <v>2.52</v>
      </c>
      <c r="G84" s="11"/>
      <c r="H84" s="11">
        <f t="shared" ref="H84" si="333">F84+G84+J83</f>
        <v>25.2</v>
      </c>
      <c r="I84" s="11"/>
      <c r="J84" s="11">
        <f t="shared" si="314"/>
        <v>25.2</v>
      </c>
      <c r="K84" s="12">
        <f t="shared" si="315"/>
        <v>0</v>
      </c>
      <c r="L84" s="361"/>
      <c r="M84" s="361"/>
      <c r="N84" s="361"/>
      <c r="O84" s="361"/>
      <c r="P84" s="361"/>
      <c r="Q84" s="263"/>
    </row>
    <row r="85" spans="2:17" ht="15" customHeight="1" x14ac:dyDescent="0.25">
      <c r="B85" s="369"/>
      <c r="C85" s="366" t="s">
        <v>111</v>
      </c>
      <c r="D85" s="96" t="s">
        <v>40</v>
      </c>
      <c r="E85" s="359">
        <v>5.0000000000000001E-3</v>
      </c>
      <c r="F85" s="11">
        <f t="shared" ref="F85" si="334">E85/100*$D$4</f>
        <v>7.5600000000000001E-2</v>
      </c>
      <c r="G85" s="11"/>
      <c r="H85" s="11">
        <f t="shared" ref="H85" si="335">F85+G85</f>
        <v>7.5600000000000001E-2</v>
      </c>
      <c r="I85" s="413">
        <v>7.2999999999999995E-2</v>
      </c>
      <c r="J85" s="11">
        <f t="shared" ref="J85:J86" si="336">H85-I85</f>
        <v>2.6000000000000051E-3</v>
      </c>
      <c r="K85" s="12">
        <f t="shared" ref="K85:K86" si="337">I85/H85</f>
        <v>0.96560846560846558</v>
      </c>
      <c r="L85" s="262">
        <f t="shared" ref="L85" si="338">F85+F86</f>
        <v>8.4000000000000005E-2</v>
      </c>
      <c r="M85" s="262">
        <f t="shared" ref="M85" si="339">G85+G86</f>
        <v>0</v>
      </c>
      <c r="N85" s="262">
        <f t="shared" ref="N85" si="340">L85+M85</f>
        <v>8.4000000000000005E-2</v>
      </c>
      <c r="O85" s="262">
        <f t="shared" ref="O85" si="341">I85+I86</f>
        <v>7.2999999999999995E-2</v>
      </c>
      <c r="P85" s="262">
        <f t="shared" ref="P85" si="342">N85-O85</f>
        <v>1.100000000000001E-2</v>
      </c>
      <c r="Q85" s="263">
        <f t="shared" ref="Q85" si="343">O85/N85</f>
        <v>0.86904761904761896</v>
      </c>
    </row>
    <row r="86" spans="2:17" ht="15.75" customHeight="1" x14ac:dyDescent="0.25">
      <c r="B86" s="369"/>
      <c r="C86" s="375"/>
      <c r="D86" s="96" t="s">
        <v>42</v>
      </c>
      <c r="E86" s="372"/>
      <c r="F86" s="11">
        <f t="shared" ref="F86" si="344">E85/100*$D$5</f>
        <v>8.4000000000000012E-3</v>
      </c>
      <c r="G86" s="11"/>
      <c r="H86" s="11">
        <f t="shared" ref="H86" si="345">F86+G86+J85</f>
        <v>1.1000000000000006E-2</v>
      </c>
      <c r="I86" s="11"/>
      <c r="J86" s="11">
        <f t="shared" si="336"/>
        <v>1.1000000000000006E-2</v>
      </c>
      <c r="K86" s="12">
        <f t="shared" si="337"/>
        <v>0</v>
      </c>
      <c r="L86" s="361"/>
      <c r="M86" s="361"/>
      <c r="N86" s="361"/>
      <c r="O86" s="361"/>
      <c r="P86" s="361"/>
      <c r="Q86" s="263"/>
    </row>
    <row r="87" spans="2:17" ht="15.75" customHeight="1" x14ac:dyDescent="0.25">
      <c r="B87" s="369"/>
      <c r="C87" s="366" t="s">
        <v>112</v>
      </c>
      <c r="D87" s="96" t="s">
        <v>40</v>
      </c>
      <c r="E87" s="359">
        <v>27.747319000000001</v>
      </c>
      <c r="F87" s="11">
        <f t="shared" ref="F87" si="346">E87/100*$D$4</f>
        <v>419.53946328000006</v>
      </c>
      <c r="G87" s="11">
        <f>33.6</f>
        <v>33.6</v>
      </c>
      <c r="H87" s="11">
        <f t="shared" ref="H87" si="347">F87+G87</f>
        <v>453.13946328000009</v>
      </c>
      <c r="I87" s="413">
        <v>141.77099999999999</v>
      </c>
      <c r="J87" s="11">
        <f t="shared" ref="J87:J88" si="348">H87-I87</f>
        <v>311.36846328000013</v>
      </c>
      <c r="K87" s="12">
        <f t="shared" ref="K87:K88" si="349">I87/H87</f>
        <v>0.31286394474188195</v>
      </c>
      <c r="L87" s="262">
        <f t="shared" ref="L87" si="350">F87+F88</f>
        <v>466.15495920000006</v>
      </c>
      <c r="M87" s="262">
        <f t="shared" ref="M87" si="351">G87+G88</f>
        <v>33.6</v>
      </c>
      <c r="N87" s="262">
        <f t="shared" ref="N87" si="352">L87+M87</f>
        <v>499.75495920000009</v>
      </c>
      <c r="O87" s="262">
        <f t="shared" ref="O87" si="353">I87+I88</f>
        <v>141.77099999999999</v>
      </c>
      <c r="P87" s="262">
        <f t="shared" ref="P87" si="354">N87-O87</f>
        <v>357.98395920000007</v>
      </c>
      <c r="Q87" s="263">
        <f t="shared" ref="Q87" si="355">O87/N87</f>
        <v>0.28368102685152896</v>
      </c>
    </row>
    <row r="88" spans="2:17" ht="15.75" customHeight="1" thickBot="1" x14ac:dyDescent="0.3">
      <c r="B88" s="370"/>
      <c r="C88" s="367"/>
      <c r="D88" s="216" t="s">
        <v>42</v>
      </c>
      <c r="E88" s="360"/>
      <c r="F88" s="192">
        <f t="shared" ref="F88" si="356">E87/100*$D$5</f>
        <v>46.615495920000008</v>
      </c>
      <c r="G88" s="192"/>
      <c r="H88" s="192">
        <f t="shared" ref="H88" si="357">F88+G88+J87</f>
        <v>357.98395920000013</v>
      </c>
      <c r="I88" s="192"/>
      <c r="J88" s="192">
        <f t="shared" si="348"/>
        <v>357.98395920000013</v>
      </c>
      <c r="K88" s="74">
        <f t="shared" si="349"/>
        <v>0</v>
      </c>
      <c r="L88" s="357"/>
      <c r="M88" s="357"/>
      <c r="N88" s="357"/>
      <c r="O88" s="357"/>
      <c r="P88" s="357"/>
      <c r="Q88" s="358"/>
    </row>
    <row r="89" spans="2:17" ht="12.6" thickBot="1" x14ac:dyDescent="0.3">
      <c r="B89" s="382" t="s">
        <v>22</v>
      </c>
      <c r="C89" s="383"/>
      <c r="D89" s="81" t="s">
        <v>50</v>
      </c>
      <c r="E89" s="178">
        <f>SUM(E51:E88)</f>
        <v>88.588884000000007</v>
      </c>
      <c r="F89" s="178">
        <f>SUM(F13:F88)</f>
        <v>2705.5045173600015</v>
      </c>
      <c r="G89" s="178">
        <f>SUM(G13:G88)</f>
        <v>0</v>
      </c>
      <c r="H89" s="178">
        <f>F89+G89</f>
        <v>2705.5045173600015</v>
      </c>
      <c r="I89" s="178">
        <f>SUM(I13:I88)</f>
        <v>450.36299999999994</v>
      </c>
      <c r="J89" s="178">
        <f>H89-I89</f>
        <v>2255.1415173600017</v>
      </c>
      <c r="K89" s="179">
        <f>I89/H89</f>
        <v>0.16646174386707685</v>
      </c>
      <c r="L89" s="178">
        <f>SUM(L13:L88)</f>
        <v>2705.5045173600001</v>
      </c>
      <c r="M89" s="178">
        <f>SUM(M13:M88)</f>
        <v>0</v>
      </c>
      <c r="N89" s="178">
        <f>L89+M89</f>
        <v>2705.5045173600001</v>
      </c>
      <c r="O89" s="178">
        <f>SUM(O13:O88)</f>
        <v>450.36299999999994</v>
      </c>
      <c r="P89" s="178">
        <f>N89-O89</f>
        <v>2255.1415173600003</v>
      </c>
      <c r="Q89" s="180">
        <f>O89/N89</f>
        <v>0.16646174386707693</v>
      </c>
    </row>
    <row r="92" spans="2:17" x14ac:dyDescent="0.25">
      <c r="G92" s="3" t="s">
        <v>114</v>
      </c>
    </row>
  </sheetData>
  <mergeCells count="309">
    <mergeCell ref="L83:L84"/>
    <mergeCell ref="M83:M84"/>
    <mergeCell ref="N83:N84"/>
    <mergeCell ref="O83:O84"/>
    <mergeCell ref="E63:E64"/>
    <mergeCell ref="M65:M66"/>
    <mergeCell ref="N65:N66"/>
    <mergeCell ref="Q39:Q40"/>
    <mergeCell ref="Q59:Q60"/>
    <mergeCell ref="Q75:Q76"/>
    <mergeCell ref="L57:L58"/>
    <mergeCell ref="M57:M58"/>
    <mergeCell ref="N57:N58"/>
    <mergeCell ref="O57:O58"/>
    <mergeCell ref="P57:P58"/>
    <mergeCell ref="Q57:Q58"/>
    <mergeCell ref="L55:L56"/>
    <mergeCell ref="M55:M56"/>
    <mergeCell ref="E41:E42"/>
    <mergeCell ref="E57:E58"/>
    <mergeCell ref="N55:N56"/>
    <mergeCell ref="O55:O56"/>
    <mergeCell ref="P55:P56"/>
    <mergeCell ref="Q55:Q56"/>
    <mergeCell ref="C77:C78"/>
    <mergeCell ref="P39:P40"/>
    <mergeCell ref="P67:P68"/>
    <mergeCell ref="P65:P66"/>
    <mergeCell ref="P63:P64"/>
    <mergeCell ref="P73:P74"/>
    <mergeCell ref="E77:E78"/>
    <mergeCell ref="L77:L78"/>
    <mergeCell ref="M77:M78"/>
    <mergeCell ref="N77:N78"/>
    <mergeCell ref="N61:N62"/>
    <mergeCell ref="O61:O62"/>
    <mergeCell ref="P61:P62"/>
    <mergeCell ref="E73:E74"/>
    <mergeCell ref="L61:L62"/>
    <mergeCell ref="E51:E52"/>
    <mergeCell ref="N41:N42"/>
    <mergeCell ref="O41:O42"/>
    <mergeCell ref="P41:P42"/>
    <mergeCell ref="L75:L76"/>
    <mergeCell ref="M75:M76"/>
    <mergeCell ref="N75:N76"/>
    <mergeCell ref="O75:O76"/>
    <mergeCell ref="P75:P76"/>
    <mergeCell ref="B89:C89"/>
    <mergeCell ref="C63:C64"/>
    <mergeCell ref="C65:C66"/>
    <mergeCell ref="C67:C68"/>
    <mergeCell ref="C69:C70"/>
    <mergeCell ref="C71:C72"/>
    <mergeCell ref="C79:C80"/>
    <mergeCell ref="O63:O64"/>
    <mergeCell ref="L59:L60"/>
    <mergeCell ref="M59:M60"/>
    <mergeCell ref="N59:N60"/>
    <mergeCell ref="O59:O60"/>
    <mergeCell ref="N67:N68"/>
    <mergeCell ref="O67:O68"/>
    <mergeCell ref="M63:M64"/>
    <mergeCell ref="L65:L66"/>
    <mergeCell ref="L85:L86"/>
    <mergeCell ref="M85:M86"/>
    <mergeCell ref="N85:N86"/>
    <mergeCell ref="O85:O86"/>
    <mergeCell ref="C85:C86"/>
    <mergeCell ref="E85:E86"/>
    <mergeCell ref="C81:C82"/>
    <mergeCell ref="C83:C84"/>
    <mergeCell ref="B9:Q9"/>
    <mergeCell ref="B10:Q10"/>
    <mergeCell ref="L79:L80"/>
    <mergeCell ref="M79:M80"/>
    <mergeCell ref="N79:N80"/>
    <mergeCell ref="O79:O80"/>
    <mergeCell ref="P79:P80"/>
    <mergeCell ref="Q79:Q80"/>
    <mergeCell ref="Q67:Q68"/>
    <mergeCell ref="L69:L70"/>
    <mergeCell ref="M69:M70"/>
    <mergeCell ref="N69:N70"/>
    <mergeCell ref="O69:O70"/>
    <mergeCell ref="P69:P70"/>
    <mergeCell ref="Q69:Q70"/>
    <mergeCell ref="L71:L72"/>
    <mergeCell ref="M71:M72"/>
    <mergeCell ref="N71:N72"/>
    <mergeCell ref="M43:M44"/>
    <mergeCell ref="N43:N44"/>
    <mergeCell ref="O43:O44"/>
    <mergeCell ref="N53:N54"/>
    <mergeCell ref="L47:L48"/>
    <mergeCell ref="M47:M48"/>
    <mergeCell ref="C13:C14"/>
    <mergeCell ref="C15:C16"/>
    <mergeCell ref="C17:C18"/>
    <mergeCell ref="C19:C20"/>
    <mergeCell ref="C21:C22"/>
    <mergeCell ref="C51:C52"/>
    <mergeCell ref="C41:C42"/>
    <mergeCell ref="C23:C24"/>
    <mergeCell ref="C25:C26"/>
    <mergeCell ref="C27:C28"/>
    <mergeCell ref="C29:C30"/>
    <mergeCell ref="C35:C36"/>
    <mergeCell ref="C37:C38"/>
    <mergeCell ref="C39:C40"/>
    <mergeCell ref="C43:C44"/>
    <mergeCell ref="C45:C46"/>
    <mergeCell ref="C31:C32"/>
    <mergeCell ref="C47:C48"/>
    <mergeCell ref="L23:L24"/>
    <mergeCell ref="L29:L30"/>
    <mergeCell ref="L31:L32"/>
    <mergeCell ref="L27:L28"/>
    <mergeCell ref="P25:P26"/>
    <mergeCell ref="E21:E22"/>
    <mergeCell ref="E23:E24"/>
    <mergeCell ref="E25:E26"/>
    <mergeCell ref="P23:P24"/>
    <mergeCell ref="L21:L22"/>
    <mergeCell ref="L25:L26"/>
    <mergeCell ref="E13:E14"/>
    <mergeCell ref="E15:E16"/>
    <mergeCell ref="E17:E18"/>
    <mergeCell ref="E19:E20"/>
    <mergeCell ref="L17:L18"/>
    <mergeCell ref="L19:L20"/>
    <mergeCell ref="M21:M22"/>
    <mergeCell ref="N21:N22"/>
    <mergeCell ref="Q13:Q14"/>
    <mergeCell ref="L15:L16"/>
    <mergeCell ref="M15:M16"/>
    <mergeCell ref="N15:N16"/>
    <mergeCell ref="O15:O16"/>
    <mergeCell ref="P15:P16"/>
    <mergeCell ref="Q15:Q16"/>
    <mergeCell ref="L13:L14"/>
    <mergeCell ref="Q17:Q18"/>
    <mergeCell ref="M17:M18"/>
    <mergeCell ref="N17:N18"/>
    <mergeCell ref="O17:O18"/>
    <mergeCell ref="P17:P18"/>
    <mergeCell ref="M13:M14"/>
    <mergeCell ref="N13:N14"/>
    <mergeCell ref="O13:O14"/>
    <mergeCell ref="P13:P14"/>
    <mergeCell ref="Q25:Q26"/>
    <mergeCell ref="M27:M28"/>
    <mergeCell ref="N27:N28"/>
    <mergeCell ref="O27:O28"/>
    <mergeCell ref="P27:P28"/>
    <mergeCell ref="Q27:Q28"/>
    <mergeCell ref="Q21:Q22"/>
    <mergeCell ref="M19:M20"/>
    <mergeCell ref="N19:N20"/>
    <mergeCell ref="O19:O20"/>
    <mergeCell ref="P19:P20"/>
    <mergeCell ref="M23:M24"/>
    <mergeCell ref="N23:N24"/>
    <mergeCell ref="O23:O24"/>
    <mergeCell ref="Q23:Q24"/>
    <mergeCell ref="Q19:Q20"/>
    <mergeCell ref="O25:O26"/>
    <mergeCell ref="O21:O22"/>
    <mergeCell ref="P21:P22"/>
    <mergeCell ref="M25:M26"/>
    <mergeCell ref="N25:N26"/>
    <mergeCell ref="Q29:Q30"/>
    <mergeCell ref="Q31:Q32"/>
    <mergeCell ref="L41:L42"/>
    <mergeCell ref="L35:L36"/>
    <mergeCell ref="L37:L38"/>
    <mergeCell ref="M35:M36"/>
    <mergeCell ref="N35:N36"/>
    <mergeCell ref="O35:O36"/>
    <mergeCell ref="P35:P36"/>
    <mergeCell ref="N33:N34"/>
    <mergeCell ref="O33:O34"/>
    <mergeCell ref="P33:P34"/>
    <mergeCell ref="M29:M30"/>
    <mergeCell ref="N29:N30"/>
    <mergeCell ref="O29:O30"/>
    <mergeCell ref="P29:P30"/>
    <mergeCell ref="M31:M32"/>
    <mergeCell ref="N31:N32"/>
    <mergeCell ref="O31:O32"/>
    <mergeCell ref="P31:P32"/>
    <mergeCell ref="O39:O40"/>
    <mergeCell ref="Q35:Q36"/>
    <mergeCell ref="M41:M42"/>
    <mergeCell ref="Q41:Q42"/>
    <mergeCell ref="Q33:Q34"/>
    <mergeCell ref="P47:P48"/>
    <mergeCell ref="Q47:Q48"/>
    <mergeCell ref="E43:E44"/>
    <mergeCell ref="E45:E46"/>
    <mergeCell ref="L43:L44"/>
    <mergeCell ref="M37:M38"/>
    <mergeCell ref="N37:N38"/>
    <mergeCell ref="O37:O38"/>
    <mergeCell ref="P37:P38"/>
    <mergeCell ref="Q37:Q38"/>
    <mergeCell ref="E35:E36"/>
    <mergeCell ref="E37:E38"/>
    <mergeCell ref="P43:P44"/>
    <mergeCell ref="Q43:Q44"/>
    <mergeCell ref="O45:O46"/>
    <mergeCell ref="P45:P46"/>
    <mergeCell ref="Q45:Q46"/>
    <mergeCell ref="P53:P54"/>
    <mergeCell ref="Q53:Q54"/>
    <mergeCell ref="C61:C62"/>
    <mergeCell ref="L67:L68"/>
    <mergeCell ref="M67:M68"/>
    <mergeCell ref="E27:E28"/>
    <mergeCell ref="E29:E30"/>
    <mergeCell ref="E31:E32"/>
    <mergeCell ref="E59:E60"/>
    <mergeCell ref="E61:E62"/>
    <mergeCell ref="L51:L52"/>
    <mergeCell ref="C33:C34"/>
    <mergeCell ref="E39:E40"/>
    <mergeCell ref="L39:L40"/>
    <mergeCell ref="M39:M40"/>
    <mergeCell ref="N39:N40"/>
    <mergeCell ref="L45:L46"/>
    <mergeCell ref="M45:M46"/>
    <mergeCell ref="N45:N46"/>
    <mergeCell ref="L53:L54"/>
    <mergeCell ref="E33:E34"/>
    <mergeCell ref="L33:L34"/>
    <mergeCell ref="M33:M34"/>
    <mergeCell ref="N47:N48"/>
    <mergeCell ref="Q81:Q82"/>
    <mergeCell ref="Q51:Q52"/>
    <mergeCell ref="N51:N52"/>
    <mergeCell ref="O51:O52"/>
    <mergeCell ref="P51:P52"/>
    <mergeCell ref="M51:M52"/>
    <mergeCell ref="P59:P60"/>
    <mergeCell ref="O77:O78"/>
    <mergeCell ref="P77:P78"/>
    <mergeCell ref="Q77:Q78"/>
    <mergeCell ref="Q73:Q74"/>
    <mergeCell ref="Q63:Q64"/>
    <mergeCell ref="Q65:Q66"/>
    <mergeCell ref="M53:M54"/>
    <mergeCell ref="O71:O72"/>
    <mergeCell ref="P71:P72"/>
    <mergeCell ref="Q71:Q72"/>
    <mergeCell ref="Q61:Q62"/>
    <mergeCell ref="N63:N64"/>
    <mergeCell ref="O65:O66"/>
    <mergeCell ref="M73:M74"/>
    <mergeCell ref="N73:N74"/>
    <mergeCell ref="M61:M62"/>
    <mergeCell ref="O53:O54"/>
    <mergeCell ref="B13:B50"/>
    <mergeCell ref="C49:C50"/>
    <mergeCell ref="B51:B88"/>
    <mergeCell ref="C87:C88"/>
    <mergeCell ref="E87:E88"/>
    <mergeCell ref="L87:L88"/>
    <mergeCell ref="M87:M88"/>
    <mergeCell ref="N87:N88"/>
    <mergeCell ref="O87:O88"/>
    <mergeCell ref="C75:C76"/>
    <mergeCell ref="E75:E76"/>
    <mergeCell ref="C73:C74"/>
    <mergeCell ref="E65:E66"/>
    <mergeCell ref="E67:E68"/>
    <mergeCell ref="E69:E70"/>
    <mergeCell ref="E71:E72"/>
    <mergeCell ref="C53:C54"/>
    <mergeCell ref="C55:C56"/>
    <mergeCell ref="C57:C58"/>
    <mergeCell ref="E53:E54"/>
    <mergeCell ref="E55:E56"/>
    <mergeCell ref="C59:C60"/>
    <mergeCell ref="O47:O48"/>
    <mergeCell ref="E47:E48"/>
    <mergeCell ref="P87:P88"/>
    <mergeCell ref="Q87:Q88"/>
    <mergeCell ref="E49:E50"/>
    <mergeCell ref="L49:L50"/>
    <mergeCell ref="M49:M50"/>
    <mergeCell ref="N49:N50"/>
    <mergeCell ref="O49:O50"/>
    <mergeCell ref="P49:P50"/>
    <mergeCell ref="Q49:Q50"/>
    <mergeCell ref="Q83:Q84"/>
    <mergeCell ref="P83:P84"/>
    <mergeCell ref="L63:L64"/>
    <mergeCell ref="L73:L74"/>
    <mergeCell ref="O73:O74"/>
    <mergeCell ref="E79:E80"/>
    <mergeCell ref="P85:P86"/>
    <mergeCell ref="Q85:Q86"/>
    <mergeCell ref="E81:E82"/>
    <mergeCell ref="E83:E84"/>
    <mergeCell ref="L81:L82"/>
    <mergeCell ref="M81:M82"/>
    <mergeCell ref="N81:N82"/>
    <mergeCell ref="O81:O82"/>
    <mergeCell ref="P81:P82"/>
  </mergeCells>
  <conditionalFormatting sqref="K13:K88">
    <cfRule type="cellIs" dxfId="2" priority="5" operator="greaterThan">
      <formula>0.95</formula>
    </cfRule>
  </conditionalFormatting>
  <conditionalFormatting sqref="Q13:Q88">
    <cfRule type="cellIs" dxfId="1" priority="3" operator="greaterThan">
      <formula>1</formula>
    </cfRule>
  </conditionalFormatting>
  <conditionalFormatting sqref="Q13:Q89">
    <cfRule type="cellIs" dxfId="0" priority="26" operator="greaterThan">
      <formula>1</formula>
    </cfRule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{E306D713-3B5F-4993-BA84-978D96DC8A33}</x14:id>
        </ext>
      </extLst>
    </cfRule>
  </conditionalFormatting>
  <pageMargins left="0.7" right="0.7" top="0.75" bottom="0.75" header="0.3" footer="0.3"/>
  <pageSetup orientation="portrait" r:id="rId1"/>
  <ignoredErrors>
    <ignoredError sqref="F41:F42 N79:N80 H14:H18 F79 H19:H22 H79:H80 H24:H28 H30:H34 N13:N18 F15:F18 H51:H56 F52:F56 N51:N56 N41:N42 H41:H42 F19:F34 H57:H72 F57:F72 N57:N72 N19:N34" 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06D713-3B5F-4993-BA84-978D96DC8A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Q13:Q89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H11"/>
  <sheetViews>
    <sheetView showGridLines="0" workbookViewId="0">
      <selection activeCell="I16" sqref="I16"/>
    </sheetView>
  </sheetViews>
  <sheetFormatPr baseColWidth="10" defaultColWidth="11.44140625" defaultRowHeight="14.4" x14ac:dyDescent="0.3"/>
  <cols>
    <col min="1" max="1" width="18.109375" customWidth="1"/>
    <col min="2" max="2" width="12.44140625" bestFit="1" customWidth="1"/>
    <col min="3" max="3" width="18.33203125" bestFit="1" customWidth="1"/>
    <col min="4" max="4" width="6" bestFit="1" customWidth="1"/>
    <col min="5" max="5" width="7.6640625" bestFit="1" customWidth="1"/>
    <col min="6" max="6" width="12.6640625" bestFit="1" customWidth="1"/>
    <col min="7" max="7" width="7" bestFit="1" customWidth="1"/>
    <col min="8" max="8" width="8.6640625" bestFit="1" customWidth="1"/>
  </cols>
  <sheetData>
    <row r="4" spans="2:8" x14ac:dyDescent="0.3">
      <c r="B4" s="387" t="s">
        <v>115</v>
      </c>
      <c r="C4" s="388"/>
      <c r="D4" s="388"/>
      <c r="E4" s="388"/>
      <c r="F4" s="388"/>
      <c r="G4" s="388"/>
      <c r="H4" s="389"/>
    </row>
    <row r="5" spans="2:8" x14ac:dyDescent="0.3">
      <c r="B5" s="384"/>
      <c r="C5" s="385"/>
      <c r="D5" s="385"/>
      <c r="E5" s="385"/>
      <c r="F5" s="385"/>
      <c r="G5" s="385"/>
      <c r="H5" s="386"/>
    </row>
    <row r="6" spans="2:8" x14ac:dyDescent="0.3">
      <c r="B6" s="29"/>
      <c r="C6" s="29"/>
      <c r="D6" s="29"/>
      <c r="E6" s="29"/>
      <c r="F6" s="29"/>
      <c r="G6" s="29"/>
      <c r="H6" s="29"/>
    </row>
    <row r="7" spans="2:8" x14ac:dyDescent="0.3">
      <c r="B7" s="390" t="s">
        <v>115</v>
      </c>
      <c r="C7" s="391"/>
      <c r="D7" s="391"/>
      <c r="E7" s="391"/>
      <c r="F7" s="391"/>
      <c r="G7" s="391"/>
      <c r="H7" s="392"/>
    </row>
    <row r="8" spans="2:8" x14ac:dyDescent="0.3">
      <c r="B8" s="214" t="s">
        <v>116</v>
      </c>
      <c r="C8" s="214" t="s">
        <v>117</v>
      </c>
      <c r="D8" s="214" t="s">
        <v>118</v>
      </c>
      <c r="E8" s="214" t="s">
        <v>119</v>
      </c>
      <c r="F8" s="214" t="s">
        <v>120</v>
      </c>
      <c r="G8" s="214" t="s">
        <v>121</v>
      </c>
      <c r="H8" s="214" t="s">
        <v>122</v>
      </c>
    </row>
    <row r="9" spans="2:8" x14ac:dyDescent="0.3">
      <c r="B9" s="393"/>
      <c r="C9" s="202"/>
      <c r="D9" s="393"/>
      <c r="E9" s="204"/>
      <c r="F9" s="393"/>
      <c r="G9" s="393"/>
      <c r="H9" s="396"/>
    </row>
    <row r="10" spans="2:8" x14ac:dyDescent="0.3">
      <c r="B10" s="394"/>
      <c r="C10" s="202"/>
      <c r="D10" s="394"/>
      <c r="E10" s="204"/>
      <c r="F10" s="394"/>
      <c r="G10" s="394"/>
      <c r="H10" s="397"/>
    </row>
    <row r="11" spans="2:8" x14ac:dyDescent="0.3">
      <c r="B11" s="395"/>
      <c r="C11" s="202"/>
      <c r="D11" s="395"/>
      <c r="E11" s="204"/>
      <c r="F11" s="395"/>
      <c r="G11" s="395"/>
      <c r="H11" s="398"/>
    </row>
  </sheetData>
  <mergeCells count="8">
    <mergeCell ref="B5:H5"/>
    <mergeCell ref="B4:H4"/>
    <mergeCell ref="B7:H7"/>
    <mergeCell ref="B9:B11"/>
    <mergeCell ref="D9:D11"/>
    <mergeCell ref="F9:F11"/>
    <mergeCell ref="G9:G11"/>
    <mergeCell ref="H9:H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H4"/>
  <sheetViews>
    <sheetView showGridLines="0" workbookViewId="0">
      <selection activeCell="C10" sqref="C10"/>
    </sheetView>
  </sheetViews>
  <sheetFormatPr baseColWidth="10" defaultColWidth="11.44140625" defaultRowHeight="14.4" x14ac:dyDescent="0.3"/>
  <cols>
    <col min="2" max="2" width="13.33203125" bestFit="1" customWidth="1"/>
    <col min="3" max="3" width="7" bestFit="1" customWidth="1"/>
    <col min="4" max="4" width="12.109375" bestFit="1" customWidth="1"/>
    <col min="5" max="5" width="6.5546875" bestFit="1" customWidth="1"/>
    <col min="6" max="6" width="7.88671875" bestFit="1" customWidth="1"/>
    <col min="7" max="7" width="6.5546875" bestFit="1" customWidth="1"/>
    <col min="8" max="8" width="9.33203125" bestFit="1" customWidth="1"/>
  </cols>
  <sheetData>
    <row r="3" spans="2:8" ht="15.6" x14ac:dyDescent="0.3">
      <c r="B3" s="399" t="s">
        <v>123</v>
      </c>
      <c r="C3" s="399"/>
      <c r="D3" s="399"/>
      <c r="E3" s="399"/>
      <c r="F3" s="399"/>
      <c r="G3" s="399"/>
      <c r="H3" s="399"/>
    </row>
    <row r="4" spans="2:8" x14ac:dyDescent="0.3">
      <c r="B4" s="193" t="s">
        <v>124</v>
      </c>
      <c r="C4" s="193" t="s">
        <v>125</v>
      </c>
      <c r="D4" s="193" t="s">
        <v>126</v>
      </c>
      <c r="E4" s="193" t="s">
        <v>127</v>
      </c>
      <c r="F4" s="193" t="s">
        <v>128</v>
      </c>
      <c r="G4" s="193" t="s">
        <v>129</v>
      </c>
      <c r="H4" s="193" t="s">
        <v>130</v>
      </c>
    </row>
  </sheetData>
  <mergeCells count="1">
    <mergeCell ref="B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5"/>
  <sheetViews>
    <sheetView topLeftCell="M1" workbookViewId="0">
      <selection activeCell="P14" sqref="P14"/>
    </sheetView>
  </sheetViews>
  <sheetFormatPr baseColWidth="10" defaultColWidth="11.44140625" defaultRowHeight="14.4" x14ac:dyDescent="0.3"/>
  <cols>
    <col min="1" max="1" width="0" hidden="1" customWidth="1"/>
    <col min="2" max="2" width="27.109375" hidden="1" customWidth="1"/>
    <col min="3" max="3" width="21.5546875" hidden="1" customWidth="1"/>
    <col min="4" max="4" width="19.5546875" hidden="1" customWidth="1"/>
    <col min="5" max="5" width="16.33203125" hidden="1" customWidth="1"/>
    <col min="6" max="6" width="14.44140625" hidden="1" customWidth="1"/>
    <col min="7" max="7" width="15.33203125" hidden="1" customWidth="1"/>
    <col min="8" max="12" width="0" hidden="1" customWidth="1"/>
    <col min="16" max="16" width="18" bestFit="1" customWidth="1"/>
    <col min="17" max="17" width="16.6640625" bestFit="1" customWidth="1"/>
    <col min="18" max="18" width="14.6640625" style="167" customWidth="1"/>
    <col min="19" max="20" width="12.44140625" style="167" bestFit="1" customWidth="1"/>
    <col min="21" max="21" width="11.44140625" style="167"/>
  </cols>
  <sheetData>
    <row r="1" spans="1:22" ht="15" thickBot="1" x14ac:dyDescent="0.35">
      <c r="C1" t="s">
        <v>131</v>
      </c>
      <c r="D1" t="s">
        <v>132</v>
      </c>
      <c r="E1" t="s">
        <v>133</v>
      </c>
      <c r="F1" t="s">
        <v>134</v>
      </c>
      <c r="G1">
        <v>98</v>
      </c>
    </row>
    <row r="2" spans="1:22" x14ac:dyDescent="0.3">
      <c r="A2" s="403" t="s">
        <v>53</v>
      </c>
      <c r="B2" s="405" t="s">
        <v>54</v>
      </c>
      <c r="C2" s="405">
        <v>0.33248030000000001</v>
      </c>
      <c r="D2" s="405">
        <f>0.00975+0.00975+0.002+0.01425</f>
        <v>3.5749999999999997E-2</v>
      </c>
      <c r="E2" s="405">
        <f>C2+D2</f>
        <v>0.36823030000000001</v>
      </c>
      <c r="F2" s="405">
        <f>E2*$G$1</f>
        <v>36.086569400000002</v>
      </c>
      <c r="G2" s="405">
        <v>36.086570000000002</v>
      </c>
      <c r="H2" s="411">
        <f>F2-G2</f>
        <v>-5.999999999062311E-7</v>
      </c>
      <c r="K2" s="84" t="s">
        <v>135</v>
      </c>
      <c r="L2" s="85">
        <v>2022</v>
      </c>
      <c r="N2" s="168" t="s">
        <v>36</v>
      </c>
      <c r="O2" s="169" t="s">
        <v>94</v>
      </c>
      <c r="P2" s="169" t="s">
        <v>95</v>
      </c>
      <c r="Q2" s="220" t="s">
        <v>96</v>
      </c>
      <c r="S2" s="168" t="s">
        <v>36</v>
      </c>
      <c r="T2" s="169" t="s">
        <v>68</v>
      </c>
      <c r="U2" s="169" t="s">
        <v>70</v>
      </c>
      <c r="V2" s="90" t="s">
        <v>96</v>
      </c>
    </row>
    <row r="3" spans="1:22" ht="15" thickBot="1" x14ac:dyDescent="0.35">
      <c r="A3" s="404"/>
      <c r="B3" s="406"/>
      <c r="C3" s="406"/>
      <c r="D3" s="406"/>
      <c r="E3" s="406"/>
      <c r="F3" s="406"/>
      <c r="G3" s="406"/>
      <c r="H3" s="412"/>
      <c r="K3" s="86" t="s">
        <v>136</v>
      </c>
      <c r="L3" s="87">
        <v>20.604255900000002</v>
      </c>
      <c r="N3" s="91" t="s">
        <v>40</v>
      </c>
      <c r="O3" s="171">
        <v>1237</v>
      </c>
      <c r="P3" s="171">
        <v>1512</v>
      </c>
      <c r="Q3" s="217">
        <f>SUM(O3:P3)</f>
        <v>2749</v>
      </c>
      <c r="S3" s="170" t="s">
        <v>40</v>
      </c>
      <c r="T3" s="171"/>
      <c r="U3" s="171"/>
      <c r="V3" s="92">
        <f>SUM(T3:U3)</f>
        <v>0</v>
      </c>
    </row>
    <row r="4" spans="1:22" x14ac:dyDescent="0.3">
      <c r="A4" s="404"/>
      <c r="B4" s="406" t="s">
        <v>55</v>
      </c>
      <c r="C4" s="406">
        <f>0.0239553+0.0058632+0.0026566+0.027652</f>
        <v>6.0127100000000003E-2</v>
      </c>
      <c r="D4" s="406">
        <f>0.00645</f>
        <v>6.45E-3</v>
      </c>
      <c r="E4" s="405">
        <f>C4+D4</f>
        <v>6.65771E-2</v>
      </c>
      <c r="F4" s="405">
        <f t="shared" ref="F4" si="0">E4*$G$1</f>
        <v>6.5245557999999999</v>
      </c>
      <c r="G4" s="406">
        <v>6.5245600000000001</v>
      </c>
      <c r="H4" s="411">
        <f t="shared" ref="H4" si="1">F4-G4</f>
        <v>-4.2000000002317961E-6</v>
      </c>
      <c r="K4" s="86" t="s">
        <v>137</v>
      </c>
      <c r="L4" s="87">
        <v>3.3374200000000003</v>
      </c>
      <c r="N4" s="91" t="s">
        <v>42</v>
      </c>
      <c r="O4" s="171">
        <v>137</v>
      </c>
      <c r="P4" s="171">
        <v>168</v>
      </c>
      <c r="Q4" s="217">
        <f t="shared" ref="Q4:Q5" si="2">SUM(O4:P4)</f>
        <v>305</v>
      </c>
      <c r="S4" s="170" t="s">
        <v>42</v>
      </c>
      <c r="T4" s="171"/>
      <c r="U4" s="171"/>
      <c r="V4" s="92">
        <f>SUM(T4:U4)</f>
        <v>0</v>
      </c>
    </row>
    <row r="5" spans="1:22" ht="15" thickBot="1" x14ac:dyDescent="0.35">
      <c r="A5" s="404"/>
      <c r="B5" s="406"/>
      <c r="C5" s="406"/>
      <c r="D5" s="406"/>
      <c r="E5" s="406"/>
      <c r="F5" s="406"/>
      <c r="G5" s="406"/>
      <c r="H5" s="412"/>
      <c r="K5" s="86" t="s">
        <v>138</v>
      </c>
      <c r="L5" s="87">
        <v>20.394539999999999</v>
      </c>
      <c r="N5" s="196" t="s">
        <v>96</v>
      </c>
      <c r="O5" s="218">
        <f>SUM(O3:O4)</f>
        <v>1374</v>
      </c>
      <c r="P5" s="218">
        <f>SUM(P3:P4)</f>
        <v>1680</v>
      </c>
      <c r="Q5" s="219">
        <f t="shared" si="2"/>
        <v>3054</v>
      </c>
      <c r="S5" s="172" t="s">
        <v>96</v>
      </c>
      <c r="T5" s="173">
        <f>SUM(T3:T4)</f>
        <v>0</v>
      </c>
      <c r="U5" s="173">
        <f>SUM(U3:U4)</f>
        <v>0</v>
      </c>
      <c r="V5" s="93">
        <f>SUM(V3:V4)</f>
        <v>0</v>
      </c>
    </row>
    <row r="6" spans="1:22" x14ac:dyDescent="0.3">
      <c r="A6" s="404"/>
      <c r="B6" s="406" t="s">
        <v>56</v>
      </c>
      <c r="C6" s="406">
        <v>3.0000000000000001E-5</v>
      </c>
      <c r="D6" s="406"/>
      <c r="E6" s="405">
        <f t="shared" ref="E6" si="3">C6+D6</f>
        <v>3.0000000000000001E-5</v>
      </c>
      <c r="F6" s="405">
        <f t="shared" ref="F6" si="4">E6*$G$1</f>
        <v>2.9399999999999999E-3</v>
      </c>
      <c r="G6" s="406">
        <v>2.9400000000000003E-3</v>
      </c>
      <c r="H6" s="411">
        <f t="shared" ref="H6" si="5">F6-G6</f>
        <v>0</v>
      </c>
      <c r="K6" s="86" t="s">
        <v>139</v>
      </c>
      <c r="L6" s="87">
        <v>16.654620000000001</v>
      </c>
    </row>
    <row r="7" spans="1:22" ht="15" thickBot="1" x14ac:dyDescent="0.35">
      <c r="A7" s="404"/>
      <c r="B7" s="406"/>
      <c r="C7" s="406"/>
      <c r="D7" s="406"/>
      <c r="E7" s="406"/>
      <c r="F7" s="406"/>
      <c r="G7" s="406"/>
      <c r="H7" s="412"/>
      <c r="K7" s="86" t="s">
        <v>140</v>
      </c>
      <c r="L7" s="87">
        <v>7.59</v>
      </c>
    </row>
    <row r="8" spans="1:22" ht="15" thickBot="1" x14ac:dyDescent="0.35">
      <c r="A8" s="404"/>
      <c r="B8" s="406" t="s">
        <v>57</v>
      </c>
      <c r="C8" s="406">
        <v>0.34622619999999998</v>
      </c>
      <c r="D8" s="406">
        <f>0.00775+0.00026+0.01125+0.01425</f>
        <v>3.3509999999999998E-2</v>
      </c>
      <c r="E8" s="405">
        <f t="shared" ref="E8" si="6">C8+D8</f>
        <v>0.37973619999999997</v>
      </c>
      <c r="F8" s="405">
        <f t="shared" ref="F8" si="7">E8*$G$1</f>
        <v>37.214147599999997</v>
      </c>
      <c r="G8" s="406">
        <v>37.214149999999997</v>
      </c>
      <c r="H8" s="411">
        <f t="shared" ref="H8" si="8">F8-G8</f>
        <v>-2.3999999996249244E-6</v>
      </c>
      <c r="K8" s="86" t="s">
        <v>141</v>
      </c>
      <c r="L8" s="87">
        <v>8.0000000000000002E-3</v>
      </c>
      <c r="N8" s="400" t="s">
        <v>142</v>
      </c>
      <c r="O8" s="401"/>
      <c r="P8" s="401"/>
      <c r="Q8" s="401"/>
      <c r="R8" s="401"/>
      <c r="S8" s="401"/>
      <c r="T8" s="401"/>
      <c r="U8" s="402"/>
    </row>
    <row r="9" spans="1:22" ht="15" thickBot="1" x14ac:dyDescent="0.35">
      <c r="A9" s="404"/>
      <c r="B9" s="406"/>
      <c r="C9" s="406"/>
      <c r="D9" s="406"/>
      <c r="E9" s="406"/>
      <c r="F9" s="406"/>
      <c r="G9" s="406"/>
      <c r="H9" s="412"/>
      <c r="K9" s="86" t="s">
        <v>143</v>
      </c>
      <c r="L9" s="88">
        <v>0.26877200000000001</v>
      </c>
      <c r="N9" s="198" t="s">
        <v>144</v>
      </c>
      <c r="O9" s="199" t="s">
        <v>145</v>
      </c>
      <c r="P9" s="199" t="s">
        <v>146</v>
      </c>
      <c r="Q9" s="199" t="s">
        <v>147</v>
      </c>
      <c r="R9" s="200" t="s">
        <v>148</v>
      </c>
      <c r="S9" s="200" t="s">
        <v>94</v>
      </c>
      <c r="T9" s="200" t="s">
        <v>149</v>
      </c>
      <c r="U9" s="201" t="s">
        <v>150</v>
      </c>
    </row>
    <row r="10" spans="1:22" x14ac:dyDescent="0.3">
      <c r="A10" s="404"/>
      <c r="B10" s="406" t="s">
        <v>84</v>
      </c>
      <c r="C10" s="406">
        <v>6.0000000000000002E-5</v>
      </c>
      <c r="D10" s="406"/>
      <c r="E10" s="405">
        <f t="shared" ref="E10" si="9">C10+D10</f>
        <v>6.0000000000000002E-5</v>
      </c>
      <c r="F10" s="405">
        <f t="shared" ref="F10" si="10">E10*$G$1</f>
        <v>5.8799999999999998E-3</v>
      </c>
      <c r="G10" s="406">
        <v>5.8800000000000007E-3</v>
      </c>
      <c r="H10" s="411">
        <f t="shared" ref="H10" si="11">F10-G10</f>
        <v>0</v>
      </c>
      <c r="K10" s="84" t="s">
        <v>96</v>
      </c>
      <c r="L10" s="89">
        <v>80.000299899999973</v>
      </c>
      <c r="N10" s="204">
        <v>228</v>
      </c>
      <c r="O10" s="222">
        <v>45722</v>
      </c>
      <c r="P10" s="204" t="s">
        <v>183</v>
      </c>
      <c r="Q10" s="204" t="s">
        <v>184</v>
      </c>
      <c r="R10" s="203">
        <f>U10/Q5</f>
        <v>4.944335297969876E-4</v>
      </c>
      <c r="S10" s="205">
        <f>R10*O5</f>
        <v>0.679351669941061</v>
      </c>
      <c r="T10" s="205">
        <f>R10*P5</f>
        <v>0.83064833005893912</v>
      </c>
      <c r="U10" s="204">
        <f>1.51</f>
        <v>1.51</v>
      </c>
    </row>
    <row r="11" spans="1:22" ht="15" thickBot="1" x14ac:dyDescent="0.35">
      <c r="A11" s="404"/>
      <c r="B11" s="406"/>
      <c r="C11" s="406"/>
      <c r="D11" s="406"/>
      <c r="E11" s="406"/>
      <c r="F11" s="406"/>
      <c r="G11" s="406"/>
      <c r="H11" s="412"/>
      <c r="N11" s="202">
        <v>293</v>
      </c>
      <c r="O11" s="221">
        <v>45733</v>
      </c>
      <c r="P11" s="202" t="s">
        <v>185</v>
      </c>
      <c r="Q11" s="202" t="s">
        <v>186</v>
      </c>
      <c r="R11" s="204">
        <f>U11/Q5</f>
        <v>0.02</v>
      </c>
      <c r="S11" s="205">
        <f>R11*O5</f>
        <v>27.48</v>
      </c>
      <c r="T11" s="205">
        <f>R11*P5</f>
        <v>33.6</v>
      </c>
      <c r="U11" s="205">
        <v>61.08</v>
      </c>
    </row>
    <row r="12" spans="1:22" x14ac:dyDescent="0.3">
      <c r="A12" s="404"/>
      <c r="B12" s="406" t="s">
        <v>151</v>
      </c>
      <c r="C12" s="406">
        <v>2.2440600000000002E-2</v>
      </c>
      <c r="D12" s="406">
        <f>0.00075+0.00375+0.00375+0.00525+0.00525+0.00675+0.00825+0.00405+0.00006+0.00069+0.01425</f>
        <v>5.28E-2</v>
      </c>
      <c r="E12" s="405">
        <f t="shared" ref="E12" si="12">C12+D12</f>
        <v>7.5240600000000005E-2</v>
      </c>
      <c r="F12" s="405">
        <f t="shared" ref="F12" si="13">E12*$G$1</f>
        <v>7.3735788000000007</v>
      </c>
      <c r="G12" s="406">
        <v>7.3735699999999991</v>
      </c>
      <c r="H12" s="411">
        <f t="shared" ref="H12" si="14">F12-G12</f>
        <v>8.8000000015853175E-6</v>
      </c>
    </row>
    <row r="13" spans="1:22" x14ac:dyDescent="0.3">
      <c r="A13" s="404"/>
      <c r="B13" s="406"/>
      <c r="C13" s="406"/>
      <c r="D13" s="406"/>
      <c r="E13" s="406"/>
      <c r="F13" s="406"/>
      <c r="G13" s="406"/>
      <c r="H13" s="412"/>
    </row>
    <row r="14" spans="1:22" ht="15" thickBot="1" x14ac:dyDescent="0.35">
      <c r="A14" s="404"/>
      <c r="B14" s="97"/>
      <c r="C14" s="97"/>
      <c r="D14" s="97"/>
      <c r="E14" s="97"/>
      <c r="F14" s="97"/>
      <c r="G14" s="97"/>
      <c r="H14" s="166"/>
    </row>
    <row r="15" spans="1:22" x14ac:dyDescent="0.3">
      <c r="A15" s="404"/>
      <c r="B15" s="406" t="s">
        <v>55</v>
      </c>
      <c r="C15" s="406">
        <f>0.0239553+0.0058632+0.0026566+0.027652</f>
        <v>6.0127100000000003E-2</v>
      </c>
      <c r="D15" s="406">
        <f>0.00645</f>
        <v>6.45E-3</v>
      </c>
      <c r="E15" s="405">
        <f>C15+D15</f>
        <v>6.65771E-2</v>
      </c>
      <c r="F15" s="405" t="e">
        <f>E15*#REF!</f>
        <v>#REF!</v>
      </c>
      <c r="G15" s="406">
        <v>58.85416</v>
      </c>
      <c r="H15" s="409" t="e">
        <f t="shared" ref="H15" si="15">F15-G15</f>
        <v>#REF!</v>
      </c>
    </row>
    <row r="16" spans="1:22" ht="15" thickBot="1" x14ac:dyDescent="0.35">
      <c r="A16" s="404"/>
      <c r="B16" s="406"/>
      <c r="C16" s="406"/>
      <c r="D16" s="406"/>
      <c r="E16" s="406"/>
      <c r="F16" s="406"/>
      <c r="G16" s="406"/>
      <c r="H16" s="410"/>
    </row>
    <row r="17" spans="1:8" x14ac:dyDescent="0.3">
      <c r="A17" s="404"/>
      <c r="B17" s="406" t="s">
        <v>56</v>
      </c>
      <c r="C17" s="406">
        <v>3.0000000000000001E-5</v>
      </c>
      <c r="D17" s="406"/>
      <c r="E17" s="405">
        <f t="shared" ref="E17" si="16">C17+D17</f>
        <v>3.0000000000000001E-5</v>
      </c>
      <c r="F17" s="405" t="e">
        <f>E17*#REF!</f>
        <v>#REF!</v>
      </c>
      <c r="G17" s="406">
        <v>2.6519999999999998E-2</v>
      </c>
      <c r="H17" s="409" t="e">
        <f t="shared" ref="H17" si="17">F17-G17</f>
        <v>#REF!</v>
      </c>
    </row>
    <row r="18" spans="1:8" ht="15" thickBot="1" x14ac:dyDescent="0.35">
      <c r="A18" s="404"/>
      <c r="B18" s="406"/>
      <c r="C18" s="406"/>
      <c r="D18" s="406"/>
      <c r="E18" s="406"/>
      <c r="F18" s="406"/>
      <c r="G18" s="406"/>
      <c r="H18" s="410"/>
    </row>
    <row r="19" spans="1:8" x14ac:dyDescent="0.3">
      <c r="A19" s="404"/>
      <c r="B19" s="406" t="s">
        <v>57</v>
      </c>
      <c r="C19" s="406">
        <v>0.34622619999999998</v>
      </c>
      <c r="D19" s="406">
        <f>0.00775+0.00026+0.01125+0.01425</f>
        <v>3.3509999999999998E-2</v>
      </c>
      <c r="E19" s="405">
        <f>C19+D19</f>
        <v>0.37973619999999997</v>
      </c>
      <c r="F19" s="405" t="e">
        <f>E19*#REF!</f>
        <v>#REF!</v>
      </c>
      <c r="G19" s="406">
        <v>338.50676999999996</v>
      </c>
      <c r="H19" s="409" t="e">
        <f t="shared" ref="H19" si="18">F19-G19</f>
        <v>#REF!</v>
      </c>
    </row>
    <row r="20" spans="1:8" ht="15" thickBot="1" x14ac:dyDescent="0.35">
      <c r="A20" s="404"/>
      <c r="B20" s="406"/>
      <c r="C20" s="406"/>
      <c r="D20" s="406"/>
      <c r="E20" s="406"/>
      <c r="F20" s="406"/>
      <c r="G20" s="406"/>
      <c r="H20" s="410"/>
    </row>
    <row r="21" spans="1:8" x14ac:dyDescent="0.3">
      <c r="A21" s="404"/>
      <c r="B21" s="406" t="s">
        <v>58</v>
      </c>
      <c r="C21" s="406">
        <v>1.7310000000000001E-4</v>
      </c>
      <c r="D21" s="406"/>
      <c r="E21" s="405">
        <f t="shared" ref="E21" si="19">C21+D21</f>
        <v>1.7310000000000001E-4</v>
      </c>
      <c r="F21" s="405" t="e">
        <f>E21*#REF!</f>
        <v>#REF!</v>
      </c>
      <c r="G21" s="406">
        <v>0.15301999999999999</v>
      </c>
      <c r="H21" s="409" t="e">
        <f t="shared" ref="H21" si="20">F21-G21</f>
        <v>#REF!</v>
      </c>
    </row>
    <row r="22" spans="1:8" ht="15" thickBot="1" x14ac:dyDescent="0.35">
      <c r="A22" s="404"/>
      <c r="B22" s="406"/>
      <c r="C22" s="406"/>
      <c r="D22" s="406"/>
      <c r="E22" s="406"/>
      <c r="F22" s="406"/>
      <c r="G22" s="406"/>
      <c r="H22" s="410"/>
    </row>
    <row r="23" spans="1:8" x14ac:dyDescent="0.3">
      <c r="A23" s="404"/>
      <c r="B23" s="406" t="s">
        <v>59</v>
      </c>
      <c r="C23" s="406">
        <f>0.0438706+0.022+0.0216617</f>
        <v>8.7532300000000007E-2</v>
      </c>
      <c r="D23" s="406">
        <f>0.00225+0.009+0.00705</f>
        <v>1.83E-2</v>
      </c>
      <c r="E23" s="405">
        <f t="shared" ref="E23" si="21">C23+D23</f>
        <v>0.1058323</v>
      </c>
      <c r="F23" s="405" t="e">
        <f>E23*#REF!</f>
        <v>#REF!</v>
      </c>
      <c r="G23" s="406">
        <v>93.555749999999989</v>
      </c>
      <c r="H23" s="409" t="e">
        <f t="shared" ref="H23" si="22">F23-G23</f>
        <v>#REF!</v>
      </c>
    </row>
    <row r="24" spans="1:8" ht="15" thickBot="1" x14ac:dyDescent="0.35">
      <c r="A24" s="404"/>
      <c r="B24" s="406"/>
      <c r="C24" s="406"/>
      <c r="D24" s="406"/>
      <c r="E24" s="406"/>
      <c r="F24" s="406"/>
      <c r="G24" s="406"/>
      <c r="H24" s="410"/>
    </row>
    <row r="25" spans="1:8" x14ac:dyDescent="0.3">
      <c r="A25" s="404"/>
      <c r="B25" s="406" t="s">
        <v>60</v>
      </c>
      <c r="C25" s="406">
        <v>1.0009999999999999E-4</v>
      </c>
      <c r="D25" s="406"/>
      <c r="E25" s="405">
        <f t="shared" ref="E25" si="23">C25+D25</f>
        <v>1.0009999999999999E-4</v>
      </c>
      <c r="F25" s="405" t="e">
        <f>E25*#REF!</f>
        <v>#REF!</v>
      </c>
      <c r="G25" s="406">
        <v>8.8489999999999999E-2</v>
      </c>
      <c r="H25" s="409" t="e">
        <f t="shared" ref="H25" si="24">F25-G25</f>
        <v>#REF!</v>
      </c>
    </row>
    <row r="26" spans="1:8" ht="15" thickBot="1" x14ac:dyDescent="0.35">
      <c r="A26" s="404"/>
      <c r="B26" s="406"/>
      <c r="C26" s="406"/>
      <c r="D26" s="406"/>
      <c r="E26" s="406"/>
      <c r="F26" s="406"/>
      <c r="G26" s="406"/>
      <c r="H26" s="410"/>
    </row>
    <row r="27" spans="1:8" x14ac:dyDescent="0.3">
      <c r="A27" s="404"/>
      <c r="B27" s="406" t="s">
        <v>61</v>
      </c>
      <c r="C27" s="406">
        <v>2.0100000000000001E-5</v>
      </c>
      <c r="D27" s="406"/>
      <c r="E27" s="405">
        <f t="shared" ref="E27" si="25">C27+D27</f>
        <v>2.0100000000000001E-5</v>
      </c>
      <c r="F27" s="405" t="e">
        <f>E27*#REF!</f>
        <v>#REF!</v>
      </c>
      <c r="G27" s="406">
        <v>1.7770000000000001E-2</v>
      </c>
      <c r="H27" s="409" t="e">
        <f t="shared" ref="H27" si="26">F27-G27</f>
        <v>#REF!</v>
      </c>
    </row>
    <row r="28" spans="1:8" ht="15" thickBot="1" x14ac:dyDescent="0.35">
      <c r="A28" s="404"/>
      <c r="B28" s="406"/>
      <c r="C28" s="406"/>
      <c r="D28" s="406"/>
      <c r="E28" s="406"/>
      <c r="F28" s="406"/>
      <c r="G28" s="406"/>
      <c r="H28" s="410"/>
    </row>
    <row r="29" spans="1:8" x14ac:dyDescent="0.3">
      <c r="A29" s="404"/>
      <c r="B29" s="406" t="s">
        <v>84</v>
      </c>
      <c r="C29" s="406">
        <v>6.0000000000000002E-5</v>
      </c>
      <c r="D29" s="406"/>
      <c r="E29" s="405">
        <f t="shared" ref="E29" si="27">C29+D29</f>
        <v>6.0000000000000002E-5</v>
      </c>
      <c r="F29" s="405" t="e">
        <f>E29*#REF!</f>
        <v>#REF!</v>
      </c>
      <c r="G29" s="406">
        <v>5.3039999999999997E-2</v>
      </c>
      <c r="H29" s="409" t="e">
        <f t="shared" ref="H29" si="28">F29-G29</f>
        <v>#REF!</v>
      </c>
    </row>
    <row r="30" spans="1:8" ht="15" thickBot="1" x14ac:dyDescent="0.35">
      <c r="A30" s="404"/>
      <c r="B30" s="406"/>
      <c r="C30" s="406"/>
      <c r="D30" s="406"/>
      <c r="E30" s="406"/>
      <c r="F30" s="406"/>
      <c r="G30" s="406"/>
      <c r="H30" s="410"/>
    </row>
    <row r="31" spans="1:8" x14ac:dyDescent="0.3">
      <c r="A31" s="404"/>
      <c r="B31" s="406" t="s">
        <v>151</v>
      </c>
      <c r="C31" s="406">
        <v>2.2440600000000002E-2</v>
      </c>
      <c r="D31" s="406">
        <f>0.00075+0.00375+0.00375+0.00525+0.00525+0.00675+0.00825+0.00405+0.00006+0.00069+0.01425</f>
        <v>5.28E-2</v>
      </c>
      <c r="E31" s="405">
        <f t="shared" ref="E31" si="29">C31+D31</f>
        <v>7.5240600000000005E-2</v>
      </c>
      <c r="F31" s="405" t="e">
        <f>E31*#REF!</f>
        <v>#REF!</v>
      </c>
      <c r="G31" s="406">
        <v>66.511089999999982</v>
      </c>
      <c r="H31" s="409" t="e">
        <f t="shared" ref="H31" si="30">F31-G31</f>
        <v>#REF!</v>
      </c>
    </row>
    <row r="32" spans="1:8" ht="15" thickBot="1" x14ac:dyDescent="0.35">
      <c r="A32" s="404"/>
      <c r="B32" s="406"/>
      <c r="C32" s="406"/>
      <c r="D32" s="406"/>
      <c r="E32" s="406"/>
      <c r="F32" s="406"/>
      <c r="G32" s="406"/>
      <c r="H32" s="410"/>
    </row>
    <row r="33" spans="1:8" x14ac:dyDescent="0.3">
      <c r="A33" s="404"/>
      <c r="B33" s="406" t="s">
        <v>64</v>
      </c>
      <c r="C33" s="406">
        <v>8.1010000000000001E-4</v>
      </c>
      <c r="D33" s="406"/>
      <c r="E33" s="405">
        <f t="shared" ref="E33" si="31">C33+D33</f>
        <v>8.1010000000000001E-4</v>
      </c>
      <c r="F33" s="405" t="e">
        <f>E33*#REF!</f>
        <v>#REF!</v>
      </c>
      <c r="G33" s="406">
        <v>0.71612999999999993</v>
      </c>
      <c r="H33" s="409" t="e">
        <f t="shared" ref="H33" si="32">F33-G33</f>
        <v>#REF!</v>
      </c>
    </row>
    <row r="34" spans="1:8" ht="15" thickBot="1" x14ac:dyDescent="0.35">
      <c r="A34" s="407"/>
      <c r="B34" s="408"/>
      <c r="C34" s="408"/>
      <c r="D34" s="408"/>
      <c r="E34" s="406"/>
      <c r="F34" s="406"/>
      <c r="G34" s="408"/>
      <c r="H34" s="410"/>
    </row>
    <row r="35" spans="1:8" x14ac:dyDescent="0.3">
      <c r="C35">
        <f t="shared" ref="C35:H35" si="33">SUM(C14:C34)</f>
        <v>0.51751960000000008</v>
      </c>
      <c r="D35">
        <f t="shared" si="33"/>
        <v>0.11105999999999999</v>
      </c>
      <c r="E35">
        <f t="shared" si="33"/>
        <v>0.62857960000000002</v>
      </c>
      <c r="F35" t="e">
        <f t="shared" si="33"/>
        <v>#REF!</v>
      </c>
      <c r="G35">
        <f t="shared" si="33"/>
        <v>558.48273999999992</v>
      </c>
      <c r="H35" t="e">
        <f t="shared" si="33"/>
        <v>#REF!</v>
      </c>
    </row>
  </sheetData>
  <mergeCells count="115">
    <mergeCell ref="H33:H34"/>
    <mergeCell ref="H15:H16"/>
    <mergeCell ref="H17:H18"/>
    <mergeCell ref="H19:H20"/>
    <mergeCell ref="H21:H22"/>
    <mergeCell ref="H23:H24"/>
    <mergeCell ref="H25:H26"/>
    <mergeCell ref="H2:H3"/>
    <mergeCell ref="H4:H5"/>
    <mergeCell ref="H6:H7"/>
    <mergeCell ref="H8:H9"/>
    <mergeCell ref="H27:H28"/>
    <mergeCell ref="H29:H30"/>
    <mergeCell ref="H31:H32"/>
    <mergeCell ref="H10:H11"/>
    <mergeCell ref="H12:H13"/>
    <mergeCell ref="D15:D16"/>
    <mergeCell ref="E10:E11"/>
    <mergeCell ref="E12:E13"/>
    <mergeCell ref="F25:F26"/>
    <mergeCell ref="G25:G26"/>
    <mergeCell ref="G15:G16"/>
    <mergeCell ref="C15:C16"/>
    <mergeCell ref="C12:C13"/>
    <mergeCell ref="D12:D13"/>
    <mergeCell ref="E15:E16"/>
    <mergeCell ref="F15:F16"/>
    <mergeCell ref="F12:F13"/>
    <mergeCell ref="B33:B34"/>
    <mergeCell ref="C33:C34"/>
    <mergeCell ref="D33:D34"/>
    <mergeCell ref="E33:E34"/>
    <mergeCell ref="F33:F34"/>
    <mergeCell ref="G33:G34"/>
    <mergeCell ref="B31:B32"/>
    <mergeCell ref="C31:C32"/>
    <mergeCell ref="D31:D32"/>
    <mergeCell ref="E31:E32"/>
    <mergeCell ref="F31:F32"/>
    <mergeCell ref="G31:G32"/>
    <mergeCell ref="B29:B30"/>
    <mergeCell ref="C29:C30"/>
    <mergeCell ref="D29:D30"/>
    <mergeCell ref="E29:E30"/>
    <mergeCell ref="F29:F30"/>
    <mergeCell ref="G29:G30"/>
    <mergeCell ref="B27:B28"/>
    <mergeCell ref="B21:B22"/>
    <mergeCell ref="C21:C22"/>
    <mergeCell ref="D21:D22"/>
    <mergeCell ref="E21:E22"/>
    <mergeCell ref="F21:F22"/>
    <mergeCell ref="G21:G22"/>
    <mergeCell ref="C27:C28"/>
    <mergeCell ref="D27:D28"/>
    <mergeCell ref="E27:E28"/>
    <mergeCell ref="F27:F28"/>
    <mergeCell ref="G27:G28"/>
    <mergeCell ref="B19:B20"/>
    <mergeCell ref="A14:A34"/>
    <mergeCell ref="B23:B24"/>
    <mergeCell ref="C23:C24"/>
    <mergeCell ref="D23:D24"/>
    <mergeCell ref="B25:B26"/>
    <mergeCell ref="E23:E24"/>
    <mergeCell ref="F23:F24"/>
    <mergeCell ref="G23:G24"/>
    <mergeCell ref="C19:C20"/>
    <mergeCell ref="D19:D20"/>
    <mergeCell ref="E19:E20"/>
    <mergeCell ref="F19:F20"/>
    <mergeCell ref="G19:G20"/>
    <mergeCell ref="G17:G18"/>
    <mergeCell ref="C25:C26"/>
    <mergeCell ref="D25:D26"/>
    <mergeCell ref="E25:E26"/>
    <mergeCell ref="B17:B18"/>
    <mergeCell ref="C17:C18"/>
    <mergeCell ref="D17:D18"/>
    <mergeCell ref="E17:E18"/>
    <mergeCell ref="F17:F18"/>
    <mergeCell ref="B15:B16"/>
    <mergeCell ref="D6:D7"/>
    <mergeCell ref="G10:G11"/>
    <mergeCell ref="G12:G13"/>
    <mergeCell ref="B12:B13"/>
    <mergeCell ref="C10:C11"/>
    <mergeCell ref="G6:G7"/>
    <mergeCell ref="G8:G9"/>
    <mergeCell ref="F10:F11"/>
    <mergeCell ref="D10:D11"/>
    <mergeCell ref="N8:U8"/>
    <mergeCell ref="A2:A13"/>
    <mergeCell ref="B2:B3"/>
    <mergeCell ref="B4:B5"/>
    <mergeCell ref="B6:B7"/>
    <mergeCell ref="B8:B9"/>
    <mergeCell ref="B10:B11"/>
    <mergeCell ref="E2:E3"/>
    <mergeCell ref="E4:E5"/>
    <mergeCell ref="E6:E7"/>
    <mergeCell ref="E8:E9"/>
    <mergeCell ref="C6:C7"/>
    <mergeCell ref="C8:C9"/>
    <mergeCell ref="G2:G3"/>
    <mergeCell ref="G4:G5"/>
    <mergeCell ref="C2:C3"/>
    <mergeCell ref="C4:C5"/>
    <mergeCell ref="F2:F3"/>
    <mergeCell ref="F4:F5"/>
    <mergeCell ref="F6:F7"/>
    <mergeCell ref="F8:F9"/>
    <mergeCell ref="D8:D9"/>
    <mergeCell ref="D2:D3"/>
    <mergeCell ref="D4:D5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91"/>
  <sheetViews>
    <sheetView showGridLines="0" workbookViewId="0">
      <selection activeCell="M195" sqref="M195"/>
    </sheetView>
  </sheetViews>
  <sheetFormatPr baseColWidth="10" defaultColWidth="11.44140625" defaultRowHeight="12" x14ac:dyDescent="0.25"/>
  <cols>
    <col min="1" max="1" width="23.33203125" style="13" bestFit="1" customWidth="1"/>
    <col min="2" max="2" width="18.88671875" style="13" bestFit="1" customWidth="1"/>
    <col min="3" max="3" width="4.88671875" style="13" bestFit="1" customWidth="1"/>
    <col min="4" max="4" width="14.44140625" style="13" bestFit="1" customWidth="1"/>
    <col min="5" max="5" width="33" style="13" bestFit="1" customWidth="1"/>
    <col min="6" max="6" width="10.88671875" style="13" bestFit="1" customWidth="1"/>
    <col min="7" max="7" width="10.33203125" style="13" bestFit="1" customWidth="1"/>
    <col min="8" max="8" width="8.109375" style="14" bestFit="1" customWidth="1"/>
    <col min="9" max="9" width="16" style="14" bestFit="1" customWidth="1"/>
    <col min="10" max="10" width="11.6640625" style="14" bestFit="1" customWidth="1"/>
    <col min="11" max="11" width="6.5546875" style="14" bestFit="1" customWidth="1"/>
    <col min="12" max="12" width="7.44140625" style="14" bestFit="1" customWidth="1"/>
    <col min="13" max="13" width="15.88671875" style="24" bestFit="1" customWidth="1"/>
    <col min="14" max="14" width="10.88671875" style="28" customWidth="1"/>
    <col min="15" max="15" width="9" style="13" bestFit="1" customWidth="1"/>
    <col min="16" max="16" width="4.44140625" style="13" bestFit="1" customWidth="1"/>
    <col min="17" max="16384" width="11.44140625" style="13"/>
  </cols>
  <sheetData>
    <row r="1" spans="1:17" x14ac:dyDescent="0.25">
      <c r="A1" s="5" t="s">
        <v>152</v>
      </c>
      <c r="B1" s="5" t="s">
        <v>153</v>
      </c>
      <c r="C1" s="5" t="s">
        <v>154</v>
      </c>
      <c r="D1" s="6" t="s">
        <v>155</v>
      </c>
      <c r="E1" s="5" t="s">
        <v>156</v>
      </c>
      <c r="F1" s="5" t="s">
        <v>157</v>
      </c>
      <c r="G1" s="5" t="s">
        <v>158</v>
      </c>
      <c r="H1" s="7" t="s">
        <v>159</v>
      </c>
      <c r="I1" s="7" t="s">
        <v>160</v>
      </c>
      <c r="J1" s="7" t="s">
        <v>161</v>
      </c>
      <c r="K1" s="7" t="s">
        <v>162</v>
      </c>
      <c r="L1" s="7" t="s">
        <v>163</v>
      </c>
      <c r="M1" s="21" t="s">
        <v>164</v>
      </c>
      <c r="N1" s="8" t="s">
        <v>165</v>
      </c>
      <c r="O1" s="9" t="s">
        <v>166</v>
      </c>
      <c r="P1" s="10" t="s">
        <v>167</v>
      </c>
      <c r="Q1" s="10" t="s">
        <v>168</v>
      </c>
    </row>
    <row r="2" spans="1:17" x14ac:dyDescent="0.25">
      <c r="A2" s="15" t="s">
        <v>10</v>
      </c>
      <c r="B2" s="15" t="s">
        <v>169</v>
      </c>
      <c r="C2" s="15" t="s">
        <v>68</v>
      </c>
      <c r="D2" s="15" t="s">
        <v>170</v>
      </c>
      <c r="E2" s="15" t="s">
        <v>170</v>
      </c>
      <c r="F2" s="17">
        <v>45717</v>
      </c>
      <c r="G2" s="17">
        <v>45900</v>
      </c>
      <c r="H2" s="16">
        <f>'CUOTA ARTESANAL'!E6</f>
        <v>10</v>
      </c>
      <c r="I2" s="16">
        <f>'CUOTA ARTESANAL'!F6</f>
        <v>0</v>
      </c>
      <c r="J2" s="16">
        <f>'CUOTA ARTESANAL'!G6</f>
        <v>10</v>
      </c>
      <c r="K2" s="16">
        <f>'CUOTA ARTESANAL'!H6</f>
        <v>0</v>
      </c>
      <c r="L2" s="16">
        <f>'CUOTA ARTESANAL'!I6</f>
        <v>10</v>
      </c>
      <c r="M2" s="22">
        <f>'CUOTA ARTESANAL'!J6</f>
        <v>0</v>
      </c>
      <c r="N2" s="17" t="str">
        <f>'CUOTA ARTESANAL'!K6</f>
        <v>-</v>
      </c>
      <c r="O2" s="17">
        <f>'RESUMEN '!$B$3</f>
        <v>45789</v>
      </c>
      <c r="P2" s="15">
        <v>2025</v>
      </c>
      <c r="Q2" s="15"/>
    </row>
    <row r="3" spans="1:17" x14ac:dyDescent="0.25">
      <c r="A3" s="15" t="s">
        <v>10</v>
      </c>
      <c r="B3" s="15" t="s">
        <v>169</v>
      </c>
      <c r="C3" s="15" t="s">
        <v>68</v>
      </c>
      <c r="D3" s="15" t="s">
        <v>170</v>
      </c>
      <c r="E3" s="15" t="s">
        <v>170</v>
      </c>
      <c r="F3" s="17">
        <v>45931</v>
      </c>
      <c r="G3" s="17">
        <v>46022</v>
      </c>
      <c r="H3" s="16">
        <f>'CUOTA ARTESANAL'!E7</f>
        <v>1</v>
      </c>
      <c r="I3" s="16">
        <f>'CUOTA ARTESANAL'!F7</f>
        <v>0</v>
      </c>
      <c r="J3" s="16">
        <f>'CUOTA ARTESANAL'!G7</f>
        <v>11</v>
      </c>
      <c r="K3" s="16">
        <f>'CUOTA ARTESANAL'!H7</f>
        <v>0</v>
      </c>
      <c r="L3" s="16">
        <f>'CUOTA ARTESANAL'!I7</f>
        <v>11</v>
      </c>
      <c r="M3" s="22">
        <f>'CUOTA ARTESANAL'!J7</f>
        <v>0</v>
      </c>
      <c r="N3" s="17" t="str">
        <f>'CUOTA ARTESANAL'!K7</f>
        <v>-</v>
      </c>
      <c r="O3" s="17">
        <f>'RESUMEN '!$B$3</f>
        <v>45789</v>
      </c>
      <c r="P3" s="15">
        <v>2025</v>
      </c>
      <c r="Q3" s="15"/>
    </row>
    <row r="4" spans="1:17" x14ac:dyDescent="0.25">
      <c r="A4" s="15" t="s">
        <v>10</v>
      </c>
      <c r="B4" s="15" t="s">
        <v>169</v>
      </c>
      <c r="C4" s="15" t="s">
        <v>68</v>
      </c>
      <c r="D4" s="15" t="s">
        <v>170</v>
      </c>
      <c r="E4" s="15" t="s">
        <v>170</v>
      </c>
      <c r="F4" s="17">
        <v>45658</v>
      </c>
      <c r="G4" s="17">
        <v>46022</v>
      </c>
      <c r="H4" s="16">
        <f>'CUOTA ARTESANAL'!L6</f>
        <v>11</v>
      </c>
      <c r="I4" s="16">
        <f>'CUOTA ARTESANAL'!M6</f>
        <v>0</v>
      </c>
      <c r="J4" s="16">
        <f>'CUOTA ARTESANAL'!N6</f>
        <v>11</v>
      </c>
      <c r="K4" s="16">
        <f>'CUOTA ARTESANAL'!O6</f>
        <v>0</v>
      </c>
      <c r="L4" s="16">
        <f>'CUOTA ARTESANAL'!P6</f>
        <v>11</v>
      </c>
      <c r="M4" s="22">
        <f>'CUOTA ARTESANAL'!Q6</f>
        <v>0</v>
      </c>
      <c r="N4" s="17" t="s">
        <v>41</v>
      </c>
      <c r="O4" s="17">
        <f>'RESUMEN '!$B$3</f>
        <v>45789</v>
      </c>
      <c r="P4" s="15">
        <v>2025</v>
      </c>
      <c r="Q4" s="15"/>
    </row>
    <row r="5" spans="1:17" x14ac:dyDescent="0.25">
      <c r="A5" s="15" t="s">
        <v>10</v>
      </c>
      <c r="B5" s="15" t="s">
        <v>169</v>
      </c>
      <c r="C5" s="15" t="s">
        <v>70</v>
      </c>
      <c r="D5" s="15" t="s">
        <v>171</v>
      </c>
      <c r="E5" s="15" t="str">
        <f>'CUOTA ARTESANAL'!C8</f>
        <v>PUNTA TALCA</v>
      </c>
      <c r="F5" s="17">
        <v>45717</v>
      </c>
      <c r="G5" s="17">
        <v>45900</v>
      </c>
      <c r="H5" s="16">
        <f>'CUOTA ARTESANAL'!E8</f>
        <v>131.976</v>
      </c>
      <c r="I5" s="16">
        <f>'CUOTA ARTESANAL'!F8</f>
        <v>-73.319999999999993</v>
      </c>
      <c r="J5" s="16">
        <f>'CUOTA ARTESANAL'!G8</f>
        <v>58.656000000000006</v>
      </c>
      <c r="K5" s="16">
        <f>'CUOTA ARTESANAL'!H8</f>
        <v>52.790999999999997</v>
      </c>
      <c r="L5" s="16">
        <f>'CUOTA ARTESANAL'!I8</f>
        <v>5.8650000000000091</v>
      </c>
      <c r="M5" s="22">
        <f>'CUOTA ARTESANAL'!J8</f>
        <v>0.90001022913256945</v>
      </c>
      <c r="N5" s="17" t="str">
        <f>'CUOTA ARTESANAL'!K8</f>
        <v>-</v>
      </c>
      <c r="O5" s="17">
        <f>'RESUMEN '!$B$3</f>
        <v>45789</v>
      </c>
      <c r="P5" s="15">
        <v>2025</v>
      </c>
      <c r="Q5" s="15"/>
    </row>
    <row r="6" spans="1:17" x14ac:dyDescent="0.25">
      <c r="A6" s="15" t="s">
        <v>10</v>
      </c>
      <c r="B6" s="15" t="s">
        <v>169</v>
      </c>
      <c r="C6" s="15" t="s">
        <v>70</v>
      </c>
      <c r="D6" s="15" t="s">
        <v>171</v>
      </c>
      <c r="E6" s="15" t="str">
        <f>'CUOTA ARTESANAL'!C8</f>
        <v>PUNTA TALCA</v>
      </c>
      <c r="F6" s="17">
        <v>45931</v>
      </c>
      <c r="G6" s="17">
        <v>46022</v>
      </c>
      <c r="H6" s="16">
        <f>'CUOTA ARTESANAL'!E9</f>
        <v>14.664</v>
      </c>
      <c r="I6" s="16">
        <f>'CUOTA ARTESANAL'!F9</f>
        <v>0</v>
      </c>
      <c r="J6" s="16">
        <f>'CUOTA ARTESANAL'!G9</f>
        <v>20.529000000000011</v>
      </c>
      <c r="K6" s="16">
        <f>'CUOTA ARTESANAL'!H9</f>
        <v>0</v>
      </c>
      <c r="L6" s="16">
        <f>'CUOTA ARTESANAL'!I9</f>
        <v>20.529000000000011</v>
      </c>
      <c r="M6" s="22">
        <f>'CUOTA ARTESANAL'!J9</f>
        <v>0</v>
      </c>
      <c r="N6" s="17" t="str">
        <f>'CUOTA ARTESANAL'!K9</f>
        <v>-</v>
      </c>
      <c r="O6" s="17">
        <f>'RESUMEN '!$B$3</f>
        <v>45789</v>
      </c>
      <c r="P6" s="15">
        <v>2025</v>
      </c>
      <c r="Q6" s="15"/>
    </row>
    <row r="7" spans="1:17" x14ac:dyDescent="0.25">
      <c r="A7" s="15" t="s">
        <v>10</v>
      </c>
      <c r="B7" s="15" t="s">
        <v>169</v>
      </c>
      <c r="C7" s="15" t="s">
        <v>70</v>
      </c>
      <c r="D7" s="15" t="s">
        <v>171</v>
      </c>
      <c r="E7" s="15" t="str">
        <f>'CUOTA ARTESANAL'!C8</f>
        <v>PUNTA TALCA</v>
      </c>
      <c r="F7" s="17">
        <v>45658</v>
      </c>
      <c r="G7" s="17">
        <v>46022</v>
      </c>
      <c r="H7" s="16">
        <f>'CUOTA ARTESANAL'!L8</f>
        <v>146.63999999999999</v>
      </c>
      <c r="I7" s="16">
        <f>'CUOTA ARTESANAL'!M8</f>
        <v>-73.319999999999993</v>
      </c>
      <c r="J7" s="16">
        <f>'CUOTA ARTESANAL'!N8</f>
        <v>73.319999999999993</v>
      </c>
      <c r="K7" s="16">
        <f>'CUOTA ARTESANAL'!O8</f>
        <v>52.790999999999997</v>
      </c>
      <c r="L7" s="16">
        <f>'CUOTA ARTESANAL'!P8</f>
        <v>20.528999999999996</v>
      </c>
      <c r="M7" s="22">
        <f>'CUOTA ARTESANAL'!Q8</f>
        <v>0.72000818330605565</v>
      </c>
      <c r="N7" s="17" t="s">
        <v>41</v>
      </c>
      <c r="O7" s="17">
        <f>'RESUMEN '!$B$3</f>
        <v>45789</v>
      </c>
      <c r="P7" s="15">
        <v>2025</v>
      </c>
      <c r="Q7" s="15"/>
    </row>
    <row r="8" spans="1:17" x14ac:dyDescent="0.25">
      <c r="A8" s="15" t="s">
        <v>10</v>
      </c>
      <c r="B8" s="15" t="s">
        <v>169</v>
      </c>
      <c r="C8" s="15" t="s">
        <v>70</v>
      </c>
      <c r="D8" s="15" t="s">
        <v>171</v>
      </c>
      <c r="E8" s="15" t="str">
        <f>'CUOTA ARTESANAL'!C10</f>
        <v>TRAUWUN I</v>
      </c>
      <c r="F8" s="17">
        <v>45717</v>
      </c>
      <c r="G8" s="17">
        <v>45900</v>
      </c>
      <c r="H8" s="16">
        <f>'CUOTA ARTESANAL'!E10</f>
        <v>123.084</v>
      </c>
      <c r="I8" s="16">
        <f>'CUOTA ARTESANAL'!F10</f>
        <v>0</v>
      </c>
      <c r="J8" s="16">
        <f>'CUOTA ARTESANAL'!G10</f>
        <v>123.084</v>
      </c>
      <c r="K8" s="16">
        <f>'CUOTA ARTESANAL'!H10</f>
        <v>0</v>
      </c>
      <c r="L8" s="16">
        <f>'CUOTA ARTESANAL'!I10</f>
        <v>123.084</v>
      </c>
      <c r="M8" s="22">
        <f>'CUOTA ARTESANAL'!J10</f>
        <v>0</v>
      </c>
      <c r="N8" s="17" t="str">
        <f>'CUOTA ARTESANAL'!K10</f>
        <v>-</v>
      </c>
      <c r="O8" s="17">
        <f>'RESUMEN '!$B$3</f>
        <v>45789</v>
      </c>
      <c r="P8" s="15">
        <v>2025</v>
      </c>
      <c r="Q8" s="15"/>
    </row>
    <row r="9" spans="1:17" x14ac:dyDescent="0.25">
      <c r="A9" s="15" t="s">
        <v>10</v>
      </c>
      <c r="B9" s="15" t="s">
        <v>169</v>
      </c>
      <c r="C9" s="15" t="s">
        <v>70</v>
      </c>
      <c r="D9" s="15" t="s">
        <v>171</v>
      </c>
      <c r="E9" s="15" t="str">
        <f>'CUOTA ARTESANAL'!C10</f>
        <v>TRAUWUN I</v>
      </c>
      <c r="F9" s="17">
        <v>45931</v>
      </c>
      <c r="G9" s="17">
        <v>46022</v>
      </c>
      <c r="H9" s="16">
        <f>'CUOTA ARTESANAL'!E11</f>
        <v>13.676</v>
      </c>
      <c r="I9" s="16">
        <f>'CUOTA ARTESANAL'!F11</f>
        <v>0</v>
      </c>
      <c r="J9" s="16">
        <f>'CUOTA ARTESANAL'!G11</f>
        <v>136.76</v>
      </c>
      <c r="K9" s="16">
        <f>'CUOTA ARTESANAL'!H11</f>
        <v>0</v>
      </c>
      <c r="L9" s="16">
        <f>'CUOTA ARTESANAL'!I11</f>
        <v>136.76</v>
      </c>
      <c r="M9" s="22">
        <f>'CUOTA ARTESANAL'!J11</f>
        <v>0</v>
      </c>
      <c r="N9" s="17" t="str">
        <f>'CUOTA ARTESANAL'!K11</f>
        <v>-</v>
      </c>
      <c r="O9" s="17">
        <f>'RESUMEN '!$B$3</f>
        <v>45789</v>
      </c>
      <c r="P9" s="15">
        <v>2025</v>
      </c>
      <c r="Q9" s="15"/>
    </row>
    <row r="10" spans="1:17" x14ac:dyDescent="0.25">
      <c r="A10" s="15" t="s">
        <v>10</v>
      </c>
      <c r="B10" s="15" t="s">
        <v>169</v>
      </c>
      <c r="C10" s="15" t="s">
        <v>70</v>
      </c>
      <c r="D10" s="15" t="s">
        <v>171</v>
      </c>
      <c r="E10" s="15" t="str">
        <f>'CUOTA ARTESANAL'!C10</f>
        <v>TRAUWUN I</v>
      </c>
      <c r="F10" s="17">
        <v>45658</v>
      </c>
      <c r="G10" s="17">
        <v>46022</v>
      </c>
      <c r="H10" s="16">
        <f>'CUOTA ARTESANAL'!L10</f>
        <v>136.76</v>
      </c>
      <c r="I10" s="16">
        <f>'CUOTA ARTESANAL'!M10</f>
        <v>0</v>
      </c>
      <c r="J10" s="16">
        <f>'CUOTA ARTESANAL'!N10</f>
        <v>136.76</v>
      </c>
      <c r="K10" s="16">
        <f>'CUOTA ARTESANAL'!O10</f>
        <v>0</v>
      </c>
      <c r="L10" s="16">
        <f>'CUOTA ARTESANAL'!P10</f>
        <v>136.76</v>
      </c>
      <c r="M10" s="22">
        <f>'CUOTA ARTESANAL'!Q10</f>
        <v>0</v>
      </c>
      <c r="N10" s="17" t="s">
        <v>41</v>
      </c>
      <c r="O10" s="17">
        <f>'RESUMEN '!$B$3</f>
        <v>45789</v>
      </c>
      <c r="P10" s="15">
        <v>2025</v>
      </c>
      <c r="Q10" s="15"/>
    </row>
    <row r="11" spans="1:17" x14ac:dyDescent="0.25">
      <c r="A11" s="15" t="s">
        <v>10</v>
      </c>
      <c r="B11" s="15" t="s">
        <v>169</v>
      </c>
      <c r="C11" s="15" t="s">
        <v>70</v>
      </c>
      <c r="D11" s="15" t="s">
        <v>171</v>
      </c>
      <c r="E11" s="15" t="str">
        <f>'CUOTA ARTESANAL'!C12</f>
        <v>CHAFIC I</v>
      </c>
      <c r="F11" s="17">
        <v>45717</v>
      </c>
      <c r="G11" s="17">
        <v>45900</v>
      </c>
      <c r="H11" s="16">
        <f>'CUOTA ARTESANAL'!E12</f>
        <v>95.004000000000005</v>
      </c>
      <c r="I11" s="16">
        <f>'CUOTA ARTESANAL'!F12</f>
        <v>0</v>
      </c>
      <c r="J11" s="16">
        <f>'CUOTA ARTESANAL'!G12</f>
        <v>95.004000000000005</v>
      </c>
      <c r="K11" s="16">
        <f>'CUOTA ARTESANAL'!H12</f>
        <v>78.789000000000001</v>
      </c>
      <c r="L11" s="16">
        <f>'CUOTA ARTESANAL'!I12</f>
        <v>16.215000000000003</v>
      </c>
      <c r="M11" s="22">
        <f>'CUOTA ARTESANAL'!J12</f>
        <v>0.82932297587469994</v>
      </c>
      <c r="N11" s="17" t="str">
        <f>'CUOTA ARTESANAL'!K12</f>
        <v>-</v>
      </c>
      <c r="O11" s="17">
        <f>'RESUMEN '!$B$3</f>
        <v>45789</v>
      </c>
      <c r="P11" s="15">
        <v>2025</v>
      </c>
      <c r="Q11" s="15"/>
    </row>
    <row r="12" spans="1:17" x14ac:dyDescent="0.25">
      <c r="A12" s="15" t="s">
        <v>10</v>
      </c>
      <c r="B12" s="15" t="s">
        <v>169</v>
      </c>
      <c r="C12" s="15" t="s">
        <v>70</v>
      </c>
      <c r="D12" s="15" t="s">
        <v>171</v>
      </c>
      <c r="E12" s="15" t="str">
        <f>'CUOTA ARTESANAL'!C12</f>
        <v>CHAFIC I</v>
      </c>
      <c r="F12" s="17">
        <v>45931</v>
      </c>
      <c r="G12" s="17">
        <v>46022</v>
      </c>
      <c r="H12" s="16">
        <f>'CUOTA ARTESANAL'!E13</f>
        <v>10.555999999999999</v>
      </c>
      <c r="I12" s="16">
        <f>'CUOTA ARTESANAL'!F13</f>
        <v>0</v>
      </c>
      <c r="J12" s="16">
        <f>'CUOTA ARTESANAL'!G13</f>
        <v>26.771000000000001</v>
      </c>
      <c r="K12" s="16">
        <f>'CUOTA ARTESANAL'!H13</f>
        <v>0</v>
      </c>
      <c r="L12" s="16">
        <f>'CUOTA ARTESANAL'!I13</f>
        <v>26.771000000000001</v>
      </c>
      <c r="M12" s="22">
        <f>'CUOTA ARTESANAL'!J13</f>
        <v>0</v>
      </c>
      <c r="N12" s="17" t="str">
        <f>'CUOTA ARTESANAL'!K13</f>
        <v>-</v>
      </c>
      <c r="O12" s="17">
        <f>'RESUMEN '!$B$3</f>
        <v>45789</v>
      </c>
      <c r="P12" s="15">
        <v>2025</v>
      </c>
      <c r="Q12" s="15"/>
    </row>
    <row r="13" spans="1:17" x14ac:dyDescent="0.25">
      <c r="A13" s="15" t="s">
        <v>10</v>
      </c>
      <c r="B13" s="15" t="s">
        <v>169</v>
      </c>
      <c r="C13" s="15" t="s">
        <v>70</v>
      </c>
      <c r="D13" s="15" t="s">
        <v>171</v>
      </c>
      <c r="E13" s="15" t="str">
        <f>'CUOTA ARTESANAL'!C12</f>
        <v>CHAFIC I</v>
      </c>
      <c r="F13" s="17">
        <v>45658</v>
      </c>
      <c r="G13" s="17">
        <v>46022</v>
      </c>
      <c r="H13" s="16">
        <f>'CUOTA ARTESANAL'!L12</f>
        <v>105.56</v>
      </c>
      <c r="I13" s="16">
        <f>'CUOTA ARTESANAL'!M12</f>
        <v>0</v>
      </c>
      <c r="J13" s="16">
        <f>'CUOTA ARTESANAL'!N12</f>
        <v>105.56</v>
      </c>
      <c r="K13" s="16">
        <f>'CUOTA ARTESANAL'!O12</f>
        <v>78.789000000000001</v>
      </c>
      <c r="L13" s="16">
        <f>'CUOTA ARTESANAL'!P12</f>
        <v>26.771000000000001</v>
      </c>
      <c r="M13" s="22">
        <f>'CUOTA ARTESANAL'!Q12</f>
        <v>0.74639067828723005</v>
      </c>
      <c r="N13" s="17" t="s">
        <v>41</v>
      </c>
      <c r="O13" s="17">
        <f>'RESUMEN '!$B$3</f>
        <v>45789</v>
      </c>
      <c r="P13" s="15">
        <v>2025</v>
      </c>
      <c r="Q13" s="15"/>
    </row>
    <row r="14" spans="1:17" x14ac:dyDescent="0.25">
      <c r="A14" s="15" t="s">
        <v>10</v>
      </c>
      <c r="B14" s="15" t="s">
        <v>169</v>
      </c>
      <c r="C14" s="15" t="s">
        <v>70</v>
      </c>
      <c r="D14" s="15" t="s">
        <v>171</v>
      </c>
      <c r="E14" s="15" t="str">
        <f>'CUOTA ARTESANAL'!C14:C15</f>
        <v>ISLA TABON</v>
      </c>
      <c r="F14" s="17">
        <v>45717</v>
      </c>
      <c r="G14" s="17">
        <v>45900</v>
      </c>
      <c r="H14" s="16">
        <f>'CUOTA ARTESANAL'!E14</f>
        <v>89.855999999999995</v>
      </c>
      <c r="I14" s="16">
        <f>'CUOTA ARTESANAL'!F14</f>
        <v>0</v>
      </c>
      <c r="J14" s="16">
        <f>'CUOTA ARTESANAL'!G14</f>
        <v>89.855999999999995</v>
      </c>
      <c r="K14" s="16">
        <f>'CUOTA ARTESANAL'!H14</f>
        <v>0</v>
      </c>
      <c r="L14" s="16">
        <f>'CUOTA ARTESANAL'!I14</f>
        <v>89.855999999999995</v>
      </c>
      <c r="M14" s="22">
        <f>'CUOTA ARTESANAL'!J14</f>
        <v>0</v>
      </c>
      <c r="N14" s="17" t="str">
        <f>'CUOTA ARTESANAL'!K14</f>
        <v>-</v>
      </c>
      <c r="O14" s="17">
        <f>'RESUMEN '!$B$3</f>
        <v>45789</v>
      </c>
      <c r="P14" s="15">
        <v>2025</v>
      </c>
      <c r="Q14" s="15"/>
    </row>
    <row r="15" spans="1:17" x14ac:dyDescent="0.25">
      <c r="A15" s="15" t="s">
        <v>10</v>
      </c>
      <c r="B15" s="15" t="s">
        <v>169</v>
      </c>
      <c r="C15" s="15" t="s">
        <v>70</v>
      </c>
      <c r="D15" s="15" t="s">
        <v>171</v>
      </c>
      <c r="E15" s="15" t="str">
        <f>'CUOTA ARTESANAL'!C14</f>
        <v>ISLA TABON</v>
      </c>
      <c r="F15" s="17">
        <v>45931</v>
      </c>
      <c r="G15" s="17">
        <v>46022</v>
      </c>
      <c r="H15" s="16">
        <f>'CUOTA ARTESANAL'!E15</f>
        <v>9.984</v>
      </c>
      <c r="I15" s="16">
        <f>'CUOTA ARTESANAL'!F15</f>
        <v>0</v>
      </c>
      <c r="J15" s="16">
        <f>'CUOTA ARTESANAL'!G15</f>
        <v>99.839999999999989</v>
      </c>
      <c r="K15" s="16">
        <f>'CUOTA ARTESANAL'!H15</f>
        <v>0</v>
      </c>
      <c r="L15" s="16">
        <f>'CUOTA ARTESANAL'!I15</f>
        <v>99.839999999999989</v>
      </c>
      <c r="M15" s="22">
        <f>'CUOTA ARTESANAL'!J15</f>
        <v>0</v>
      </c>
      <c r="N15" s="17" t="str">
        <f>'CUOTA ARTESANAL'!K15</f>
        <v>-</v>
      </c>
      <c r="O15" s="17">
        <f>'RESUMEN '!$B$3</f>
        <v>45789</v>
      </c>
      <c r="P15" s="15">
        <v>2025</v>
      </c>
      <c r="Q15" s="15"/>
    </row>
    <row r="16" spans="1:17" x14ac:dyDescent="0.25">
      <c r="A16" s="15" t="s">
        <v>10</v>
      </c>
      <c r="B16" s="15" t="s">
        <v>169</v>
      </c>
      <c r="C16" s="15" t="s">
        <v>70</v>
      </c>
      <c r="D16" s="15" t="s">
        <v>171</v>
      </c>
      <c r="E16" s="15" t="str">
        <f>'CUOTA ARTESANAL'!C14</f>
        <v>ISLA TABON</v>
      </c>
      <c r="F16" s="17">
        <v>45658</v>
      </c>
      <c r="G16" s="17">
        <v>46022</v>
      </c>
      <c r="H16" s="16">
        <f>'CUOTA ARTESANAL'!L14</f>
        <v>99.839999999999989</v>
      </c>
      <c r="I16" s="16">
        <f>'CUOTA ARTESANAL'!M14</f>
        <v>0</v>
      </c>
      <c r="J16" s="16">
        <f>'CUOTA ARTESANAL'!N14</f>
        <v>99.839999999999989</v>
      </c>
      <c r="K16" s="16">
        <f>'CUOTA ARTESANAL'!O14</f>
        <v>0</v>
      </c>
      <c r="L16" s="16">
        <f>'CUOTA ARTESANAL'!P14</f>
        <v>99.839999999999989</v>
      </c>
      <c r="M16" s="22">
        <f>'CUOTA ARTESANAL'!Q14</f>
        <v>0</v>
      </c>
      <c r="N16" s="17" t="s">
        <v>41</v>
      </c>
      <c r="O16" s="17">
        <f>'RESUMEN '!$B$3</f>
        <v>45789</v>
      </c>
      <c r="P16" s="15">
        <v>2025</v>
      </c>
      <c r="Q16" s="15"/>
    </row>
    <row r="17" spans="1:17" x14ac:dyDescent="0.25">
      <c r="A17" s="15" t="s">
        <v>10</v>
      </c>
      <c r="B17" s="15" t="s">
        <v>169</v>
      </c>
      <c r="C17" s="15" t="s">
        <v>70</v>
      </c>
      <c r="D17" s="15" t="s">
        <v>171</v>
      </c>
      <c r="E17" s="15" t="str">
        <f>'CUOTA ARTESANAL'!C16</f>
        <v>RESIDUAL</v>
      </c>
      <c r="F17" s="17">
        <v>45717</v>
      </c>
      <c r="G17" s="17">
        <v>45900</v>
      </c>
      <c r="H17" s="16">
        <f>'CUOTA ARTESANAL'!E16</f>
        <v>28.08</v>
      </c>
      <c r="I17" s="16">
        <f>'CUOTA ARTESANAL'!F16</f>
        <v>0</v>
      </c>
      <c r="J17" s="16">
        <f>'CUOTA ARTESANAL'!G16</f>
        <v>28.08</v>
      </c>
      <c r="K17" s="16">
        <f>'CUOTA ARTESANAL'!H16</f>
        <v>2.8980000000000001</v>
      </c>
      <c r="L17" s="16">
        <f>'CUOTA ARTESANAL'!I16</f>
        <v>25.181999999999999</v>
      </c>
      <c r="M17" s="22">
        <f>'CUOTA ARTESANAL'!J16</f>
        <v>0.10320512820512821</v>
      </c>
      <c r="N17" s="17" t="str">
        <f>'CUOTA ARTESANAL'!K16</f>
        <v>-</v>
      </c>
      <c r="O17" s="17">
        <f>'RESUMEN '!$B$3</f>
        <v>45789</v>
      </c>
      <c r="P17" s="15">
        <v>2025</v>
      </c>
      <c r="Q17" s="15"/>
    </row>
    <row r="18" spans="1:17" x14ac:dyDescent="0.25">
      <c r="A18" s="15" t="s">
        <v>10</v>
      </c>
      <c r="B18" s="15" t="s">
        <v>169</v>
      </c>
      <c r="C18" s="15" t="s">
        <v>70</v>
      </c>
      <c r="D18" s="15" t="s">
        <v>171</v>
      </c>
      <c r="E18" s="15" t="str">
        <f>'CUOTA ARTESANAL'!C16</f>
        <v>RESIDUAL</v>
      </c>
      <c r="F18" s="17">
        <v>45931</v>
      </c>
      <c r="G18" s="17">
        <v>46022</v>
      </c>
      <c r="H18" s="16">
        <f>'CUOTA ARTESANAL'!E17</f>
        <v>3.12</v>
      </c>
      <c r="I18" s="16">
        <f>'CUOTA ARTESANAL'!F17</f>
        <v>0</v>
      </c>
      <c r="J18" s="16">
        <f>'CUOTA ARTESANAL'!G17</f>
        <v>28.302</v>
      </c>
      <c r="K18" s="16">
        <f>'CUOTA ARTESANAL'!H17</f>
        <v>0</v>
      </c>
      <c r="L18" s="16">
        <f>'CUOTA ARTESANAL'!I17</f>
        <v>28.302</v>
      </c>
      <c r="M18" s="22">
        <f>'CUOTA ARTESANAL'!J17</f>
        <v>0</v>
      </c>
      <c r="N18" s="17" t="str">
        <f>'CUOTA ARTESANAL'!K17</f>
        <v>-</v>
      </c>
      <c r="O18" s="17">
        <f>'RESUMEN '!$B$3</f>
        <v>45789</v>
      </c>
      <c r="P18" s="15">
        <v>2025</v>
      </c>
      <c r="Q18" s="15"/>
    </row>
    <row r="19" spans="1:17" x14ac:dyDescent="0.25">
      <c r="A19" s="15" t="s">
        <v>10</v>
      </c>
      <c r="B19" s="15" t="s">
        <v>169</v>
      </c>
      <c r="C19" s="15" t="s">
        <v>70</v>
      </c>
      <c r="D19" s="15" t="s">
        <v>171</v>
      </c>
      <c r="E19" s="15" t="str">
        <f>'CUOTA ARTESANAL'!C16</f>
        <v>RESIDUAL</v>
      </c>
      <c r="F19" s="17">
        <v>45658</v>
      </c>
      <c r="G19" s="17">
        <v>46022</v>
      </c>
      <c r="H19" s="16">
        <f>'CUOTA ARTESANAL'!L16</f>
        <v>31.2</v>
      </c>
      <c r="I19" s="16">
        <f>'CUOTA ARTESANAL'!M16</f>
        <v>0</v>
      </c>
      <c r="J19" s="16">
        <f>'CUOTA ARTESANAL'!N16</f>
        <v>31.2</v>
      </c>
      <c r="K19" s="16">
        <f>'CUOTA ARTESANAL'!O16</f>
        <v>2.8980000000000001</v>
      </c>
      <c r="L19" s="16">
        <f>'CUOTA ARTESANAL'!P16</f>
        <v>28.302</v>
      </c>
      <c r="M19" s="22">
        <f>'CUOTA ARTESANAL'!Q16</f>
        <v>9.2884615384615385E-2</v>
      </c>
      <c r="N19" s="17" t="s">
        <v>41</v>
      </c>
      <c r="O19" s="17">
        <f>'RESUMEN '!$B$3</f>
        <v>45789</v>
      </c>
      <c r="P19" s="15">
        <v>2025</v>
      </c>
      <c r="Q19" s="15"/>
    </row>
    <row r="20" spans="1:17" x14ac:dyDescent="0.25">
      <c r="A20" s="15" t="s">
        <v>10</v>
      </c>
      <c r="B20" s="15" t="s">
        <v>169</v>
      </c>
      <c r="C20" s="15" t="s">
        <v>172</v>
      </c>
      <c r="D20" s="15" t="s">
        <v>11</v>
      </c>
      <c r="E20" s="15" t="s">
        <v>14</v>
      </c>
      <c r="F20" s="17">
        <v>45658</v>
      </c>
      <c r="G20" s="17">
        <v>46022</v>
      </c>
      <c r="H20" s="16">
        <f>'CUOTA ARTESANAL'!E18</f>
        <v>15</v>
      </c>
      <c r="I20" s="16">
        <f>'CUOTA ARTESANAL'!F18</f>
        <v>0</v>
      </c>
      <c r="J20" s="16">
        <f>'CUOTA ARTESANAL'!G18</f>
        <v>15</v>
      </c>
      <c r="K20" s="16">
        <f>'CUOTA ARTESANAL'!H18</f>
        <v>0</v>
      </c>
      <c r="L20" s="16">
        <f>'CUOTA ARTESANAL'!I18</f>
        <v>15</v>
      </c>
      <c r="M20" s="22">
        <f>'CUOTA ARTESANAL'!J18</f>
        <v>0</v>
      </c>
      <c r="N20" s="17" t="str">
        <f>'CUOTA ARTESANAL'!K18</f>
        <v>-</v>
      </c>
      <c r="O20" s="17">
        <f>'RESUMEN '!$B$3</f>
        <v>45789</v>
      </c>
      <c r="P20" s="15">
        <v>2025</v>
      </c>
      <c r="Q20" s="15"/>
    </row>
    <row r="21" spans="1:17" x14ac:dyDescent="0.25">
      <c r="A21" s="18" t="s">
        <v>10</v>
      </c>
      <c r="B21" s="18" t="s">
        <v>169</v>
      </c>
      <c r="C21" s="18" t="s">
        <v>172</v>
      </c>
      <c r="D21" s="18" t="s">
        <v>173</v>
      </c>
      <c r="E21" s="18" t="s">
        <v>174</v>
      </c>
      <c r="F21" s="20">
        <v>45658</v>
      </c>
      <c r="G21" s="20">
        <v>46022</v>
      </c>
      <c r="H21" s="19">
        <f>'CUOTA ARTESANAL'!E19</f>
        <v>546</v>
      </c>
      <c r="I21" s="19">
        <f>'CUOTA ARTESANAL'!F19</f>
        <v>-73.319999999999993</v>
      </c>
      <c r="J21" s="19">
        <f>'CUOTA ARTESANAL'!G19</f>
        <v>472.68</v>
      </c>
      <c r="K21" s="19">
        <f>'CUOTA ARTESANAL'!H19</f>
        <v>134.47799999999998</v>
      </c>
      <c r="L21" s="19">
        <f>'CUOTA ARTESANAL'!I19</f>
        <v>338.202</v>
      </c>
      <c r="M21" s="23">
        <f>'CUOTA ARTESANAL'!J19</f>
        <v>0.28450114242193447</v>
      </c>
      <c r="N21" s="20" t="str">
        <f>'CUOTA ARTESANAL'!K19</f>
        <v>-</v>
      </c>
      <c r="O21" s="20">
        <f>'RESUMEN '!$B$3</f>
        <v>45789</v>
      </c>
      <c r="P21" s="15">
        <v>2025</v>
      </c>
      <c r="Q21" s="15"/>
    </row>
    <row r="22" spans="1:17" x14ac:dyDescent="0.25">
      <c r="A22" s="15" t="s">
        <v>10</v>
      </c>
      <c r="B22" s="15" t="s">
        <v>169</v>
      </c>
      <c r="C22" s="15" t="s">
        <v>68</v>
      </c>
      <c r="D22" s="15" t="s">
        <v>175</v>
      </c>
      <c r="E22" s="15" t="str">
        <f>'CUOTA LTP'!C6</f>
        <v>ANTARTIC SEAFOOD S.A.</v>
      </c>
      <c r="F22" s="17">
        <v>45717</v>
      </c>
      <c r="G22" s="17">
        <v>45900</v>
      </c>
      <c r="H22" s="16">
        <f>'CUOTA LTP'!E6</f>
        <v>18.411519999999999</v>
      </c>
      <c r="I22" s="16">
        <f>'CUOTA LTP'!F6</f>
        <v>0</v>
      </c>
      <c r="J22" s="16">
        <f>'CUOTA LTP'!G6</f>
        <v>18.411519999999999</v>
      </c>
      <c r="K22" s="16">
        <f>'CUOTA LTP'!H6</f>
        <v>0</v>
      </c>
      <c r="L22" s="16">
        <f>'CUOTA LTP'!I6</f>
        <v>18.411519999999999</v>
      </c>
      <c r="M22" s="22">
        <f>'CUOTA LTP'!J6</f>
        <v>0</v>
      </c>
      <c r="N22" s="17" t="s">
        <v>41</v>
      </c>
      <c r="O22" s="17">
        <f>'RESUMEN '!$B$3</f>
        <v>45789</v>
      </c>
      <c r="P22" s="15">
        <v>2025</v>
      </c>
      <c r="Q22" s="15"/>
    </row>
    <row r="23" spans="1:17" x14ac:dyDescent="0.25">
      <c r="A23" s="15" t="s">
        <v>10</v>
      </c>
      <c r="B23" s="15" t="s">
        <v>169</v>
      </c>
      <c r="C23" s="15" t="s">
        <v>68</v>
      </c>
      <c r="D23" s="15" t="s">
        <v>175</v>
      </c>
      <c r="E23" s="15" t="str">
        <f>'CUOTA LTP'!C6</f>
        <v>ANTARTIC SEAFOOD S.A.</v>
      </c>
      <c r="F23" s="17">
        <v>45931</v>
      </c>
      <c r="G23" s="17">
        <v>46022</v>
      </c>
      <c r="H23" s="16">
        <f>'CUOTA LTP'!E7</f>
        <v>1.8411500000000001</v>
      </c>
      <c r="I23" s="16">
        <f>'CUOTA LTP'!F7</f>
        <v>0</v>
      </c>
      <c r="J23" s="16">
        <f>'CUOTA LTP'!G7</f>
        <v>20.252669999999998</v>
      </c>
      <c r="K23" s="16">
        <f>'CUOTA LTP'!H7</f>
        <v>0</v>
      </c>
      <c r="L23" s="16">
        <f>'CUOTA LTP'!I7</f>
        <v>20.252669999999998</v>
      </c>
      <c r="M23" s="22">
        <f>'CUOTA LTP'!J7</f>
        <v>0</v>
      </c>
      <c r="N23" s="17" t="s">
        <v>41</v>
      </c>
      <c r="O23" s="17">
        <f>'RESUMEN '!$B$3</f>
        <v>45789</v>
      </c>
      <c r="P23" s="15">
        <v>2025</v>
      </c>
      <c r="Q23" s="15"/>
    </row>
    <row r="24" spans="1:17" x14ac:dyDescent="0.25">
      <c r="A24" s="15" t="s">
        <v>10</v>
      </c>
      <c r="B24" s="15" t="s">
        <v>169</v>
      </c>
      <c r="C24" s="15" t="s">
        <v>68</v>
      </c>
      <c r="D24" s="15" t="s">
        <v>175</v>
      </c>
      <c r="E24" s="15" t="str">
        <f>'CUOTA LTP'!C6</f>
        <v>ANTARTIC SEAFOOD S.A.</v>
      </c>
      <c r="F24" s="17">
        <v>45658</v>
      </c>
      <c r="G24" s="17">
        <v>46022</v>
      </c>
      <c r="H24" s="16">
        <f>'CUOTA LTP'!K6</f>
        <v>20.252669999999998</v>
      </c>
      <c r="I24" s="16">
        <f>'CUOTA LTP'!L6</f>
        <v>0</v>
      </c>
      <c r="J24" s="16">
        <f>'CUOTA LTP'!M6</f>
        <v>20.252669999999998</v>
      </c>
      <c r="K24" s="16">
        <f>'CUOTA LTP'!N6</f>
        <v>0</v>
      </c>
      <c r="L24" s="16">
        <f>'CUOTA LTP'!O6</f>
        <v>20.252669999999998</v>
      </c>
      <c r="M24" s="22">
        <f>'CUOTA LTP'!P6</f>
        <v>0</v>
      </c>
      <c r="N24" s="17" t="s">
        <v>41</v>
      </c>
      <c r="O24" s="17">
        <f>'RESUMEN '!$B$3</f>
        <v>45789</v>
      </c>
      <c r="P24" s="15">
        <v>2025</v>
      </c>
      <c r="Q24" s="15"/>
    </row>
    <row r="25" spans="1:17" x14ac:dyDescent="0.25">
      <c r="A25" s="15" t="s">
        <v>10</v>
      </c>
      <c r="B25" s="15" t="s">
        <v>169</v>
      </c>
      <c r="C25" s="15" t="s">
        <v>68</v>
      </c>
      <c r="D25" s="15" t="s">
        <v>175</v>
      </c>
      <c r="E25" s="15" t="str">
        <f>'CUOTA LTP'!C8</f>
        <v>QUINTERO S.A. PESQ.</v>
      </c>
      <c r="F25" s="17">
        <v>45717</v>
      </c>
      <c r="G25" s="17">
        <v>45900</v>
      </c>
      <c r="H25" s="16">
        <f>'CUOTA LTP'!E8</f>
        <v>3.3288600000000002</v>
      </c>
      <c r="I25" s="16">
        <f>'CUOTA LTP'!F8</f>
        <v>0</v>
      </c>
      <c r="J25" s="16">
        <f>'CUOTA LTP'!G8</f>
        <v>3.3288600000000002</v>
      </c>
      <c r="K25" s="16">
        <f>'CUOTA LTP'!H8</f>
        <v>0</v>
      </c>
      <c r="L25" s="16">
        <f>'CUOTA LTP'!I8</f>
        <v>3.3288600000000002</v>
      </c>
      <c r="M25" s="22">
        <f>'CUOTA LTP'!J8</f>
        <v>0</v>
      </c>
      <c r="N25" s="17" t="s">
        <v>41</v>
      </c>
      <c r="O25" s="17">
        <f>'RESUMEN '!$B$3</f>
        <v>45789</v>
      </c>
      <c r="P25" s="15">
        <v>2025</v>
      </c>
      <c r="Q25" s="15"/>
    </row>
    <row r="26" spans="1:17" x14ac:dyDescent="0.25">
      <c r="A26" s="15" t="s">
        <v>10</v>
      </c>
      <c r="B26" s="15" t="s">
        <v>169</v>
      </c>
      <c r="C26" s="15" t="s">
        <v>68</v>
      </c>
      <c r="D26" s="15" t="s">
        <v>175</v>
      </c>
      <c r="E26" s="15" t="str">
        <f>'CUOTA LTP'!C8</f>
        <v>QUINTERO S.A. PESQ.</v>
      </c>
      <c r="F26" s="17">
        <v>45931</v>
      </c>
      <c r="G26" s="17">
        <v>46022</v>
      </c>
      <c r="H26" s="16">
        <f>'CUOTA LTP'!E9</f>
        <v>0.33289000000000002</v>
      </c>
      <c r="I26" s="16">
        <f>'CUOTA LTP'!F9</f>
        <v>0</v>
      </c>
      <c r="J26" s="16">
        <f>'CUOTA LTP'!G9</f>
        <v>3.6617500000000001</v>
      </c>
      <c r="K26" s="16">
        <f>'CUOTA LTP'!H9</f>
        <v>0</v>
      </c>
      <c r="L26" s="16">
        <f>'CUOTA LTP'!I9</f>
        <v>3.6617500000000001</v>
      </c>
      <c r="M26" s="22">
        <f>'CUOTA LTP'!J9</f>
        <v>0</v>
      </c>
      <c r="N26" s="17" t="s">
        <v>41</v>
      </c>
      <c r="O26" s="17">
        <f>'RESUMEN '!$B$3</f>
        <v>45789</v>
      </c>
      <c r="P26" s="15">
        <v>2025</v>
      </c>
      <c r="Q26" s="15"/>
    </row>
    <row r="27" spans="1:17" x14ac:dyDescent="0.25">
      <c r="A27" s="15" t="s">
        <v>10</v>
      </c>
      <c r="B27" s="15" t="s">
        <v>169</v>
      </c>
      <c r="C27" s="15" t="s">
        <v>68</v>
      </c>
      <c r="D27" s="15" t="s">
        <v>175</v>
      </c>
      <c r="E27" s="15" t="str">
        <f>'CUOTA LTP'!C8</f>
        <v>QUINTERO S.A. PESQ.</v>
      </c>
      <c r="F27" s="17">
        <v>45658</v>
      </c>
      <c r="G27" s="17">
        <v>46022</v>
      </c>
      <c r="H27" s="16">
        <f>'CUOTA LTP'!K8</f>
        <v>3.6617500000000001</v>
      </c>
      <c r="I27" s="16">
        <f>'CUOTA LTP'!L8</f>
        <v>0</v>
      </c>
      <c r="J27" s="16">
        <f>'CUOTA LTP'!M8</f>
        <v>3.6617500000000001</v>
      </c>
      <c r="K27" s="16">
        <f>'CUOTA LTP'!N8</f>
        <v>0</v>
      </c>
      <c r="L27" s="16">
        <f>'CUOTA LTP'!O8</f>
        <v>3.6617500000000001</v>
      </c>
      <c r="M27" s="22">
        <f>'CUOTA LTP'!P8</f>
        <v>0</v>
      </c>
      <c r="N27" s="17" t="s">
        <v>41</v>
      </c>
      <c r="O27" s="17">
        <f>'RESUMEN '!$B$3</f>
        <v>45789</v>
      </c>
      <c r="P27" s="15">
        <v>2025</v>
      </c>
      <c r="Q27" s="15"/>
    </row>
    <row r="28" spans="1:17" x14ac:dyDescent="0.25">
      <c r="A28" s="15" t="s">
        <v>10</v>
      </c>
      <c r="B28" s="15" t="s">
        <v>169</v>
      </c>
      <c r="C28" s="15" t="s">
        <v>68</v>
      </c>
      <c r="D28" s="15" t="s">
        <v>175</v>
      </c>
      <c r="E28" s="15" t="str">
        <f>'CUOTA LTP'!C10</f>
        <v>BAYCIC BAYCIC MARIA</v>
      </c>
      <c r="F28" s="17">
        <v>45717</v>
      </c>
      <c r="G28" s="17">
        <v>45900</v>
      </c>
      <c r="H28" s="16">
        <f>'CUOTA LTP'!E10</f>
        <v>1.5E-3</v>
      </c>
      <c r="I28" s="16">
        <f>'CUOTA LTP'!F10</f>
        <v>0</v>
      </c>
      <c r="J28" s="16">
        <f>'CUOTA LTP'!G10</f>
        <v>1.5E-3</v>
      </c>
      <c r="K28" s="16">
        <f>'CUOTA LTP'!H10</f>
        <v>0</v>
      </c>
      <c r="L28" s="16">
        <f>'CUOTA LTP'!I10</f>
        <v>1.5E-3</v>
      </c>
      <c r="M28" s="22">
        <f>'CUOTA LTP'!J10</f>
        <v>0</v>
      </c>
      <c r="N28" s="17" t="s">
        <v>41</v>
      </c>
      <c r="O28" s="17">
        <f>'RESUMEN '!$B$3</f>
        <v>45789</v>
      </c>
      <c r="P28" s="15">
        <v>2025</v>
      </c>
      <c r="Q28" s="15"/>
    </row>
    <row r="29" spans="1:17" x14ac:dyDescent="0.25">
      <c r="A29" s="15" t="s">
        <v>10</v>
      </c>
      <c r="B29" s="15" t="s">
        <v>169</v>
      </c>
      <c r="C29" s="15" t="s">
        <v>68</v>
      </c>
      <c r="D29" s="15" t="s">
        <v>175</v>
      </c>
      <c r="E29" s="15" t="str">
        <f>'CUOTA LTP'!C10</f>
        <v>BAYCIC BAYCIC MARIA</v>
      </c>
      <c r="F29" s="17">
        <v>45931</v>
      </c>
      <c r="G29" s="17">
        <v>46022</v>
      </c>
      <c r="H29" s="16">
        <f>'CUOTA LTP'!E11</f>
        <v>1.4999999999999999E-4</v>
      </c>
      <c r="I29" s="16">
        <f>'CUOTA LTP'!F11</f>
        <v>0</v>
      </c>
      <c r="J29" s="16">
        <f>'CUOTA LTP'!G11</f>
        <v>1.65E-3</v>
      </c>
      <c r="K29" s="16">
        <f>'CUOTA LTP'!H11</f>
        <v>0</v>
      </c>
      <c r="L29" s="16">
        <f>'CUOTA LTP'!I11</f>
        <v>1.65E-3</v>
      </c>
      <c r="M29" s="22">
        <f>'CUOTA LTP'!J11</f>
        <v>0</v>
      </c>
      <c r="N29" s="17" t="s">
        <v>41</v>
      </c>
      <c r="O29" s="17">
        <f>'RESUMEN '!$B$3</f>
        <v>45789</v>
      </c>
      <c r="P29" s="15">
        <v>2025</v>
      </c>
      <c r="Q29" s="15"/>
    </row>
    <row r="30" spans="1:17" x14ac:dyDescent="0.25">
      <c r="A30" s="15" t="s">
        <v>10</v>
      </c>
      <c r="B30" s="15" t="s">
        <v>169</v>
      </c>
      <c r="C30" s="15" t="s">
        <v>68</v>
      </c>
      <c r="D30" s="15" t="s">
        <v>175</v>
      </c>
      <c r="E30" s="15" t="str">
        <f>'CUOTA LTP'!C10</f>
        <v>BAYCIC BAYCIC MARIA</v>
      </c>
      <c r="F30" s="17">
        <v>45658</v>
      </c>
      <c r="G30" s="17">
        <v>46022</v>
      </c>
      <c r="H30" s="16">
        <f>'CUOTA LTP'!K10</f>
        <v>1.65E-3</v>
      </c>
      <c r="I30" s="16">
        <f>'CUOTA LTP'!L10</f>
        <v>0</v>
      </c>
      <c r="J30" s="16">
        <f>'CUOTA LTP'!M10</f>
        <v>1.65E-3</v>
      </c>
      <c r="K30" s="16">
        <f>'CUOTA LTP'!N10</f>
        <v>0</v>
      </c>
      <c r="L30" s="16">
        <f>'CUOTA LTP'!O10</f>
        <v>1.65E-3</v>
      </c>
      <c r="M30" s="22">
        <f>'CUOTA LTP'!P10</f>
        <v>0</v>
      </c>
      <c r="N30" s="17" t="s">
        <v>41</v>
      </c>
      <c r="O30" s="17">
        <f>'RESUMEN '!$B$3</f>
        <v>45789</v>
      </c>
      <c r="P30" s="15">
        <v>2025</v>
      </c>
      <c r="Q30" s="15"/>
    </row>
    <row r="31" spans="1:17" x14ac:dyDescent="0.25">
      <c r="A31" s="15" t="s">
        <v>10</v>
      </c>
      <c r="B31" s="15" t="s">
        <v>169</v>
      </c>
      <c r="C31" s="15" t="s">
        <v>68</v>
      </c>
      <c r="D31" s="15" t="s">
        <v>175</v>
      </c>
      <c r="E31" s="15" t="str">
        <f>'CUOTA LTP'!C12</f>
        <v>BRACPESCA S.A.</v>
      </c>
      <c r="F31" s="17">
        <v>45717</v>
      </c>
      <c r="G31" s="17">
        <v>45900</v>
      </c>
      <c r="H31" s="16">
        <f>'CUOTA LTP'!E12</f>
        <v>19.14631</v>
      </c>
      <c r="I31" s="16">
        <f>'CUOTA LTP'!F12</f>
        <v>0</v>
      </c>
      <c r="J31" s="16">
        <f>'CUOTA LTP'!G12</f>
        <v>19.14631</v>
      </c>
      <c r="K31" s="16">
        <f>'CUOTA LTP'!H12</f>
        <v>0</v>
      </c>
      <c r="L31" s="16">
        <f>'CUOTA LTP'!I12</f>
        <v>19.14631</v>
      </c>
      <c r="M31" s="22">
        <f>'CUOTA LTP'!J12</f>
        <v>0</v>
      </c>
      <c r="N31" s="17" t="s">
        <v>41</v>
      </c>
      <c r="O31" s="17">
        <f>'RESUMEN '!$B$3</f>
        <v>45789</v>
      </c>
      <c r="P31" s="15">
        <v>2025</v>
      </c>
      <c r="Q31" s="15"/>
    </row>
    <row r="32" spans="1:17" x14ac:dyDescent="0.25">
      <c r="A32" s="15" t="s">
        <v>10</v>
      </c>
      <c r="B32" s="15" t="s">
        <v>169</v>
      </c>
      <c r="C32" s="15" t="s">
        <v>68</v>
      </c>
      <c r="D32" s="15" t="s">
        <v>175</v>
      </c>
      <c r="E32" s="15" t="str">
        <f>'CUOTA LTP'!C12</f>
        <v>BRACPESCA S.A.</v>
      </c>
      <c r="F32" s="17">
        <v>45931</v>
      </c>
      <c r="G32" s="17">
        <v>46022</v>
      </c>
      <c r="H32" s="16">
        <f>'CUOTA LTP'!E13</f>
        <v>1.9146300000000001</v>
      </c>
      <c r="I32" s="16">
        <f>'CUOTA LTP'!F13</f>
        <v>0</v>
      </c>
      <c r="J32" s="16">
        <f>'CUOTA LTP'!G13</f>
        <v>21.060939999999999</v>
      </c>
      <c r="K32" s="16">
        <f>'CUOTA LTP'!H13</f>
        <v>0</v>
      </c>
      <c r="L32" s="16">
        <f>'CUOTA LTP'!I13</f>
        <v>21.060939999999999</v>
      </c>
      <c r="M32" s="22">
        <f>'CUOTA LTP'!J13</f>
        <v>0</v>
      </c>
      <c r="N32" s="17" t="s">
        <v>41</v>
      </c>
      <c r="O32" s="17">
        <f>'RESUMEN '!$B$3</f>
        <v>45789</v>
      </c>
      <c r="P32" s="15">
        <v>2025</v>
      </c>
      <c r="Q32" s="15"/>
    </row>
    <row r="33" spans="1:17" x14ac:dyDescent="0.25">
      <c r="A33" s="15" t="s">
        <v>10</v>
      </c>
      <c r="B33" s="15" t="s">
        <v>169</v>
      </c>
      <c r="C33" s="15" t="s">
        <v>68</v>
      </c>
      <c r="D33" s="15" t="s">
        <v>175</v>
      </c>
      <c r="E33" s="15" t="str">
        <f>'CUOTA LTP'!C12</f>
        <v>BRACPESCA S.A.</v>
      </c>
      <c r="F33" s="17">
        <v>45658</v>
      </c>
      <c r="G33" s="17">
        <v>46022</v>
      </c>
      <c r="H33" s="16">
        <f>'CUOTA LTP'!K12</f>
        <v>21.060939999999999</v>
      </c>
      <c r="I33" s="16">
        <f>'CUOTA LTP'!L12</f>
        <v>0</v>
      </c>
      <c r="J33" s="16">
        <f>'CUOTA LTP'!M12</f>
        <v>21.060939999999999</v>
      </c>
      <c r="K33" s="16">
        <f>'CUOTA LTP'!N12</f>
        <v>0</v>
      </c>
      <c r="L33" s="16">
        <f>'CUOTA LTP'!O12</f>
        <v>21.060939999999999</v>
      </c>
      <c r="M33" s="22">
        <f>'CUOTA LTP'!P12</f>
        <v>0</v>
      </c>
      <c r="N33" s="17" t="s">
        <v>41</v>
      </c>
      <c r="O33" s="17">
        <f>'RESUMEN '!$B$3</f>
        <v>45789</v>
      </c>
      <c r="P33" s="15">
        <v>2025</v>
      </c>
      <c r="Q33" s="15"/>
    </row>
    <row r="34" spans="1:17" x14ac:dyDescent="0.25">
      <c r="A34" s="15" t="s">
        <v>10</v>
      </c>
      <c r="B34" s="15" t="s">
        <v>169</v>
      </c>
      <c r="C34" s="15" t="s">
        <v>68</v>
      </c>
      <c r="D34" s="15" t="s">
        <v>175</v>
      </c>
      <c r="E34" s="15" t="str">
        <f>'CUOTA LTP'!C14</f>
        <v>GRIMAR S.A. PESQ.</v>
      </c>
      <c r="F34" s="17">
        <v>45717</v>
      </c>
      <c r="G34" s="17">
        <v>45900</v>
      </c>
      <c r="H34" s="16">
        <f>'CUOTA LTP'!E14</f>
        <v>8.6599999999999993E-3</v>
      </c>
      <c r="I34" s="16">
        <f>'CUOTA LTP'!F14</f>
        <v>0</v>
      </c>
      <c r="J34" s="16">
        <f>'CUOTA LTP'!G14</f>
        <v>8.6599999999999993E-3</v>
      </c>
      <c r="K34" s="16">
        <f>'CUOTA LTP'!H14</f>
        <v>0</v>
      </c>
      <c r="L34" s="16">
        <f>'CUOTA LTP'!I14</f>
        <v>8.6599999999999993E-3</v>
      </c>
      <c r="M34" s="22">
        <f>'CUOTA LTP'!J14</f>
        <v>0</v>
      </c>
      <c r="N34" s="17" t="s">
        <v>41</v>
      </c>
      <c r="O34" s="17">
        <f>'RESUMEN '!$B$3</f>
        <v>45789</v>
      </c>
      <c r="P34" s="15">
        <v>2025</v>
      </c>
      <c r="Q34" s="15"/>
    </row>
    <row r="35" spans="1:17" x14ac:dyDescent="0.25">
      <c r="A35" s="15" t="s">
        <v>10</v>
      </c>
      <c r="B35" s="15" t="s">
        <v>169</v>
      </c>
      <c r="C35" s="15" t="s">
        <v>68</v>
      </c>
      <c r="D35" s="15" t="s">
        <v>175</v>
      </c>
      <c r="E35" s="15" t="str">
        <f>'CUOTA LTP'!C14</f>
        <v>GRIMAR S.A. PESQ.</v>
      </c>
      <c r="F35" s="17">
        <v>45931</v>
      </c>
      <c r="G35" s="17">
        <v>46022</v>
      </c>
      <c r="H35" s="16">
        <f>'CUOTA LTP'!E15</f>
        <v>8.7000000000000001E-4</v>
      </c>
      <c r="I35" s="16">
        <f>'CUOTA LTP'!F15</f>
        <v>0</v>
      </c>
      <c r="J35" s="16">
        <f>'CUOTA LTP'!G15</f>
        <v>9.5299999999999985E-3</v>
      </c>
      <c r="K35" s="16">
        <f>'CUOTA LTP'!H15</f>
        <v>0</v>
      </c>
      <c r="L35" s="16">
        <f>'CUOTA LTP'!I15</f>
        <v>9.5299999999999985E-3</v>
      </c>
      <c r="M35" s="22">
        <f>'CUOTA LTP'!J15</f>
        <v>0</v>
      </c>
      <c r="N35" s="17" t="s">
        <v>41</v>
      </c>
      <c r="O35" s="17">
        <f>'RESUMEN '!$B$3</f>
        <v>45789</v>
      </c>
      <c r="P35" s="15">
        <v>2025</v>
      </c>
      <c r="Q35" s="15"/>
    </row>
    <row r="36" spans="1:17" x14ac:dyDescent="0.25">
      <c r="A36" s="15" t="s">
        <v>10</v>
      </c>
      <c r="B36" s="15" t="s">
        <v>169</v>
      </c>
      <c r="C36" s="15" t="s">
        <v>68</v>
      </c>
      <c r="D36" s="15" t="s">
        <v>175</v>
      </c>
      <c r="E36" s="15" t="str">
        <f>'CUOTA LTP'!C14</f>
        <v>GRIMAR S.A. PESQ.</v>
      </c>
      <c r="F36" s="17">
        <v>45658</v>
      </c>
      <c r="G36" s="17">
        <v>46022</v>
      </c>
      <c r="H36" s="16">
        <f>'CUOTA LTP'!K14</f>
        <v>9.5299999999999985E-3</v>
      </c>
      <c r="I36" s="16">
        <f>'CUOTA LTP'!L14</f>
        <v>0</v>
      </c>
      <c r="J36" s="16">
        <f>'CUOTA LTP'!M14</f>
        <v>9.5299999999999985E-3</v>
      </c>
      <c r="K36" s="16">
        <f>'CUOTA LTP'!N14</f>
        <v>0</v>
      </c>
      <c r="L36" s="16">
        <f>'CUOTA LTP'!O14</f>
        <v>9.5299999999999985E-3</v>
      </c>
      <c r="M36" s="22">
        <f>'CUOTA LTP'!P14</f>
        <v>0</v>
      </c>
      <c r="N36" s="17" t="s">
        <v>41</v>
      </c>
      <c r="O36" s="17">
        <f>'RESUMEN '!$B$3</f>
        <v>45789</v>
      </c>
      <c r="P36" s="15">
        <v>2025</v>
      </c>
      <c r="Q36" s="15"/>
    </row>
    <row r="37" spans="1:17" x14ac:dyDescent="0.25">
      <c r="A37" s="15" t="s">
        <v>10</v>
      </c>
      <c r="B37" s="15" t="s">
        <v>169</v>
      </c>
      <c r="C37" s="15" t="s">
        <v>68</v>
      </c>
      <c r="D37" s="15" t="s">
        <v>175</v>
      </c>
      <c r="E37" s="15" t="str">
        <f>'CUOTA LTP'!C16</f>
        <v>ISLADAMAS S.A. PESQ.</v>
      </c>
      <c r="F37" s="17">
        <v>45717</v>
      </c>
      <c r="G37" s="17">
        <v>45900</v>
      </c>
      <c r="H37" s="16">
        <f>'CUOTA LTP'!E16</f>
        <v>5.29162</v>
      </c>
      <c r="I37" s="16">
        <f>'CUOTA LTP'!F16</f>
        <v>0</v>
      </c>
      <c r="J37" s="16">
        <f>'CUOTA LTP'!G16</f>
        <v>5.29162</v>
      </c>
      <c r="K37" s="16">
        <f>'CUOTA LTP'!H16</f>
        <v>0</v>
      </c>
      <c r="L37" s="16">
        <f>'CUOTA LTP'!I16</f>
        <v>5.29162</v>
      </c>
      <c r="M37" s="22">
        <f>'CUOTA LTP'!J16</f>
        <v>0</v>
      </c>
      <c r="N37" s="17" t="s">
        <v>41</v>
      </c>
      <c r="O37" s="17">
        <f>'RESUMEN '!$B$3</f>
        <v>45789</v>
      </c>
      <c r="P37" s="15">
        <v>2025</v>
      </c>
      <c r="Q37" s="15"/>
    </row>
    <row r="38" spans="1:17" x14ac:dyDescent="0.25">
      <c r="A38" s="15" t="s">
        <v>10</v>
      </c>
      <c r="B38" s="15" t="s">
        <v>169</v>
      </c>
      <c r="C38" s="15" t="s">
        <v>68</v>
      </c>
      <c r="D38" s="15" t="s">
        <v>175</v>
      </c>
      <c r="E38" s="15" t="str">
        <f>'CUOTA LTP'!C16</f>
        <v>ISLADAMAS S.A. PESQ.</v>
      </c>
      <c r="F38" s="17">
        <v>45931</v>
      </c>
      <c r="G38" s="17">
        <v>46022</v>
      </c>
      <c r="H38" s="16">
        <f>'CUOTA LTP'!E17</f>
        <v>0.52915999999999996</v>
      </c>
      <c r="I38" s="16">
        <f>'CUOTA LTP'!F17</f>
        <v>0</v>
      </c>
      <c r="J38" s="16">
        <f>'CUOTA LTP'!G17</f>
        <v>5.8207800000000001</v>
      </c>
      <c r="K38" s="16">
        <f>'CUOTA LTP'!H17</f>
        <v>0</v>
      </c>
      <c r="L38" s="16">
        <f>'CUOTA LTP'!I17</f>
        <v>5.8207800000000001</v>
      </c>
      <c r="M38" s="22">
        <f>'CUOTA LTP'!J17</f>
        <v>0</v>
      </c>
      <c r="N38" s="17" t="s">
        <v>41</v>
      </c>
      <c r="O38" s="17">
        <f>'RESUMEN '!$B$3</f>
        <v>45789</v>
      </c>
      <c r="P38" s="15">
        <v>2025</v>
      </c>
      <c r="Q38" s="15"/>
    </row>
    <row r="39" spans="1:17" x14ac:dyDescent="0.25">
      <c r="A39" s="15" t="s">
        <v>10</v>
      </c>
      <c r="B39" s="15" t="s">
        <v>169</v>
      </c>
      <c r="C39" s="15" t="s">
        <v>68</v>
      </c>
      <c r="D39" s="15" t="s">
        <v>175</v>
      </c>
      <c r="E39" s="15" t="str">
        <f>'CUOTA LTP'!C16</f>
        <v>ISLADAMAS S.A. PESQ.</v>
      </c>
      <c r="F39" s="17">
        <v>45658</v>
      </c>
      <c r="G39" s="17">
        <v>46022</v>
      </c>
      <c r="H39" s="16">
        <f>'CUOTA LTP'!K16</f>
        <v>5.8207800000000001</v>
      </c>
      <c r="I39" s="16">
        <f>'CUOTA LTP'!L16</f>
        <v>0</v>
      </c>
      <c r="J39" s="16">
        <f>'CUOTA LTP'!M16</f>
        <v>5.8207800000000001</v>
      </c>
      <c r="K39" s="16">
        <f>'CUOTA LTP'!N16</f>
        <v>0</v>
      </c>
      <c r="L39" s="16">
        <f>'CUOTA LTP'!O16</f>
        <v>5.8207800000000001</v>
      </c>
      <c r="M39" s="22">
        <f>'CUOTA LTP'!P16</f>
        <v>0</v>
      </c>
      <c r="N39" s="17" t="s">
        <v>41</v>
      </c>
      <c r="O39" s="17">
        <f>'RESUMEN '!$B$3</f>
        <v>45789</v>
      </c>
      <c r="P39" s="15">
        <v>2025</v>
      </c>
      <c r="Q39" s="15"/>
    </row>
    <row r="40" spans="1:17" x14ac:dyDescent="0.25">
      <c r="A40" s="15" t="s">
        <v>10</v>
      </c>
      <c r="B40" s="15" t="s">
        <v>169</v>
      </c>
      <c r="C40" s="15" t="s">
        <v>68</v>
      </c>
      <c r="D40" s="15" t="s">
        <v>175</v>
      </c>
      <c r="E40" s="15" t="str">
        <f>'CUOTA LTP'!C18</f>
        <v>MOROZIN BAYCIC MARIA ANA</v>
      </c>
      <c r="F40" s="17">
        <v>45717</v>
      </c>
      <c r="G40" s="17">
        <v>45900</v>
      </c>
      <c r="H40" s="16">
        <f>'CUOTA LTP'!E18</f>
        <v>5.0099999999999997E-3</v>
      </c>
      <c r="I40" s="16">
        <f>'CUOTA LTP'!F18</f>
        <v>0</v>
      </c>
      <c r="J40" s="16">
        <f>'CUOTA LTP'!G18</f>
        <v>5.0099999999999997E-3</v>
      </c>
      <c r="K40" s="16">
        <f>'CUOTA LTP'!H18</f>
        <v>0</v>
      </c>
      <c r="L40" s="16">
        <f>'CUOTA LTP'!I18</f>
        <v>5.0099999999999997E-3</v>
      </c>
      <c r="M40" s="22">
        <f>'CUOTA LTP'!J18</f>
        <v>0</v>
      </c>
      <c r="N40" s="17" t="s">
        <v>41</v>
      </c>
      <c r="O40" s="17">
        <f>'RESUMEN '!$B$3</f>
        <v>45789</v>
      </c>
      <c r="P40" s="15">
        <v>2025</v>
      </c>
      <c r="Q40" s="15"/>
    </row>
    <row r="41" spans="1:17" x14ac:dyDescent="0.25">
      <c r="A41" s="15" t="s">
        <v>10</v>
      </c>
      <c r="B41" s="15" t="s">
        <v>169</v>
      </c>
      <c r="C41" s="15" t="s">
        <v>68</v>
      </c>
      <c r="D41" s="15" t="s">
        <v>175</v>
      </c>
      <c r="E41" s="15" t="str">
        <f>'CUOTA LTP'!C18</f>
        <v>MOROZIN BAYCIC MARIA ANA</v>
      </c>
      <c r="F41" s="17">
        <v>45931</v>
      </c>
      <c r="G41" s="17">
        <v>46022</v>
      </c>
      <c r="H41" s="16">
        <f>'CUOTA LTP'!E19</f>
        <v>5.0000000000000001E-4</v>
      </c>
      <c r="I41" s="16">
        <f>'CUOTA LTP'!F19</f>
        <v>0</v>
      </c>
      <c r="J41" s="16">
        <f>'CUOTA LTP'!G19</f>
        <v>5.5099999999999993E-3</v>
      </c>
      <c r="K41" s="16">
        <f>'CUOTA LTP'!H19</f>
        <v>0</v>
      </c>
      <c r="L41" s="16">
        <f>'CUOTA LTP'!I19</f>
        <v>5.5099999999999993E-3</v>
      </c>
      <c r="M41" s="22">
        <f>'CUOTA LTP'!J19</f>
        <v>0</v>
      </c>
      <c r="N41" s="17" t="s">
        <v>41</v>
      </c>
      <c r="O41" s="17">
        <f>'RESUMEN '!$B$3</f>
        <v>45789</v>
      </c>
      <c r="P41" s="15">
        <v>2025</v>
      </c>
      <c r="Q41" s="15"/>
    </row>
    <row r="42" spans="1:17" x14ac:dyDescent="0.25">
      <c r="A42" s="15" t="s">
        <v>10</v>
      </c>
      <c r="B42" s="15" t="s">
        <v>169</v>
      </c>
      <c r="C42" s="15" t="s">
        <v>68</v>
      </c>
      <c r="D42" s="15" t="s">
        <v>175</v>
      </c>
      <c r="E42" s="15" t="str">
        <f>'CUOTA LTP'!C18</f>
        <v>MOROZIN BAYCIC MARIA ANA</v>
      </c>
      <c r="F42" s="17">
        <v>45658</v>
      </c>
      <c r="G42" s="17">
        <v>46022</v>
      </c>
      <c r="H42" s="16">
        <f>'CUOTA LTP'!K18</f>
        <v>5.5099999999999993E-3</v>
      </c>
      <c r="I42" s="16">
        <f>'CUOTA LTP'!L18</f>
        <v>0</v>
      </c>
      <c r="J42" s="16">
        <f>'CUOTA LTP'!M18</f>
        <v>5.5099999999999993E-3</v>
      </c>
      <c r="K42" s="16">
        <f>'CUOTA LTP'!N18</f>
        <v>0</v>
      </c>
      <c r="L42" s="16">
        <f>'CUOTA LTP'!O18</f>
        <v>5.5099999999999993E-3</v>
      </c>
      <c r="M42" s="22">
        <f>'CUOTA LTP'!P18</f>
        <v>0</v>
      </c>
      <c r="N42" s="17" t="s">
        <v>41</v>
      </c>
      <c r="O42" s="17">
        <f>'RESUMEN '!$B$3</f>
        <v>45789</v>
      </c>
      <c r="P42" s="15">
        <v>2025</v>
      </c>
      <c r="Q42" s="15"/>
    </row>
    <row r="43" spans="1:17" x14ac:dyDescent="0.25">
      <c r="A43" s="15" t="s">
        <v>10</v>
      </c>
      <c r="B43" s="15" t="s">
        <v>169</v>
      </c>
      <c r="C43" s="15" t="s">
        <v>68</v>
      </c>
      <c r="D43" s="15" t="s">
        <v>175</v>
      </c>
      <c r="E43" s="15" t="str">
        <f>'CUOTA LTP'!C20</f>
        <v>MOROZIN YURECIC MARIO</v>
      </c>
      <c r="F43" s="17">
        <v>45717</v>
      </c>
      <c r="G43" s="17">
        <v>45900</v>
      </c>
      <c r="H43" s="16">
        <f>'CUOTA LTP'!E20</f>
        <v>1.01E-3</v>
      </c>
      <c r="I43" s="16">
        <f>'CUOTA LTP'!F20</f>
        <v>0</v>
      </c>
      <c r="J43" s="16">
        <f>'CUOTA LTP'!G20</f>
        <v>1.01E-3</v>
      </c>
      <c r="K43" s="16">
        <f>'CUOTA LTP'!H20</f>
        <v>0</v>
      </c>
      <c r="L43" s="16">
        <f>'CUOTA LTP'!I20</f>
        <v>1.01E-3</v>
      </c>
      <c r="M43" s="22">
        <f>'CUOTA LTP'!J20</f>
        <v>0</v>
      </c>
      <c r="N43" s="17" t="s">
        <v>41</v>
      </c>
      <c r="O43" s="17">
        <f>'RESUMEN '!$B$3</f>
        <v>45789</v>
      </c>
      <c r="P43" s="15">
        <v>2025</v>
      </c>
      <c r="Q43" s="15"/>
    </row>
    <row r="44" spans="1:17" x14ac:dyDescent="0.25">
      <c r="A44" s="15" t="s">
        <v>10</v>
      </c>
      <c r="B44" s="15" t="s">
        <v>169</v>
      </c>
      <c r="C44" s="15" t="s">
        <v>68</v>
      </c>
      <c r="D44" s="15" t="s">
        <v>175</v>
      </c>
      <c r="E44" s="15" t="str">
        <f>'CUOTA LTP'!C20</f>
        <v>MOROZIN YURECIC MARIO</v>
      </c>
      <c r="F44" s="17">
        <v>45931</v>
      </c>
      <c r="G44" s="17">
        <v>46022</v>
      </c>
      <c r="H44" s="16">
        <f>'CUOTA LTP'!E21</f>
        <v>1E-4</v>
      </c>
      <c r="I44" s="16">
        <f>'CUOTA LTP'!F21</f>
        <v>0</v>
      </c>
      <c r="J44" s="16">
        <f>'CUOTA LTP'!G21</f>
        <v>1.1100000000000001E-3</v>
      </c>
      <c r="K44" s="16">
        <f>'CUOTA LTP'!H21</f>
        <v>0</v>
      </c>
      <c r="L44" s="16">
        <f>'CUOTA LTP'!I21</f>
        <v>1.1100000000000001E-3</v>
      </c>
      <c r="M44" s="22">
        <f>'CUOTA LTP'!J21</f>
        <v>0</v>
      </c>
      <c r="N44" s="17" t="s">
        <v>41</v>
      </c>
      <c r="O44" s="17">
        <f>'RESUMEN '!$B$3</f>
        <v>45789</v>
      </c>
      <c r="P44" s="15">
        <v>2025</v>
      </c>
      <c r="Q44" s="15"/>
    </row>
    <row r="45" spans="1:17" x14ac:dyDescent="0.25">
      <c r="A45" s="15" t="s">
        <v>10</v>
      </c>
      <c r="B45" s="15" t="s">
        <v>169</v>
      </c>
      <c r="C45" s="15" t="s">
        <v>68</v>
      </c>
      <c r="D45" s="15" t="s">
        <v>175</v>
      </c>
      <c r="E45" s="15" t="str">
        <f>'CUOTA LTP'!C20</f>
        <v>MOROZIN YURECIC MARIO</v>
      </c>
      <c r="F45" s="17">
        <v>45658</v>
      </c>
      <c r="G45" s="17">
        <v>46022</v>
      </c>
      <c r="H45" s="16">
        <f>'CUOTA LTP'!K20</f>
        <v>1.1100000000000001E-3</v>
      </c>
      <c r="I45" s="16">
        <f>'CUOTA LTP'!L20</f>
        <v>0</v>
      </c>
      <c r="J45" s="16">
        <f>'CUOTA LTP'!M20</f>
        <v>1.1100000000000001E-3</v>
      </c>
      <c r="K45" s="16">
        <f>'CUOTA LTP'!N20</f>
        <v>0</v>
      </c>
      <c r="L45" s="16">
        <f>'CUOTA LTP'!O20</f>
        <v>1.1100000000000001E-3</v>
      </c>
      <c r="M45" s="22">
        <f>'CUOTA LTP'!P20</f>
        <v>0</v>
      </c>
      <c r="N45" s="17" t="s">
        <v>41</v>
      </c>
      <c r="O45" s="17">
        <f>'RESUMEN '!$B$3</f>
        <v>45789</v>
      </c>
      <c r="P45" s="15">
        <v>2025</v>
      </c>
      <c r="Q45" s="15"/>
    </row>
    <row r="46" spans="1:17" x14ac:dyDescent="0.25">
      <c r="A46" s="15" t="s">
        <v>10</v>
      </c>
      <c r="B46" s="15" t="s">
        <v>169</v>
      </c>
      <c r="C46" s="15" t="s">
        <v>68</v>
      </c>
      <c r="D46" s="15" t="s">
        <v>175</v>
      </c>
      <c r="E46" s="15" t="str">
        <f>'CUOTA LTP'!C22</f>
        <v>NAKAL SPA INV.</v>
      </c>
      <c r="F46" s="17">
        <v>45717</v>
      </c>
      <c r="G46" s="17">
        <v>45900</v>
      </c>
      <c r="H46" s="16">
        <f>'CUOTA LTP'!E22</f>
        <v>3.7620300000000002</v>
      </c>
      <c r="I46" s="16">
        <f>'CUOTA LTP'!F22</f>
        <v>0</v>
      </c>
      <c r="J46" s="16">
        <f>'CUOTA LTP'!G22</f>
        <v>3.7620300000000002</v>
      </c>
      <c r="K46" s="16">
        <f>'CUOTA LTP'!H22</f>
        <v>0</v>
      </c>
      <c r="L46" s="16">
        <f>'CUOTA LTP'!I22</f>
        <v>3.7620300000000002</v>
      </c>
      <c r="M46" s="22">
        <f>'CUOTA LTP'!J22</f>
        <v>0</v>
      </c>
      <c r="N46" s="17" t="s">
        <v>41</v>
      </c>
      <c r="O46" s="17">
        <f>'RESUMEN '!$B$3</f>
        <v>45789</v>
      </c>
      <c r="P46" s="15">
        <v>2025</v>
      </c>
      <c r="Q46" s="15"/>
    </row>
    <row r="47" spans="1:17" x14ac:dyDescent="0.25">
      <c r="A47" s="15" t="s">
        <v>10</v>
      </c>
      <c r="B47" s="15" t="s">
        <v>169</v>
      </c>
      <c r="C47" s="15" t="s">
        <v>68</v>
      </c>
      <c r="D47" s="15" t="s">
        <v>175</v>
      </c>
      <c r="E47" s="15" t="str">
        <f>'CUOTA LTP'!C22</f>
        <v>NAKAL SPA INV.</v>
      </c>
      <c r="F47" s="17">
        <v>45931</v>
      </c>
      <c r="G47" s="17">
        <v>46022</v>
      </c>
      <c r="H47" s="16">
        <f>'CUOTA LTP'!E23</f>
        <v>0.37619999999999998</v>
      </c>
      <c r="I47" s="16">
        <f>'CUOTA LTP'!F23</f>
        <v>0</v>
      </c>
      <c r="J47" s="16">
        <f>'CUOTA LTP'!G23</f>
        <v>4.1382300000000001</v>
      </c>
      <c r="K47" s="16">
        <f>'CUOTA LTP'!H23</f>
        <v>0</v>
      </c>
      <c r="L47" s="16">
        <f>'CUOTA LTP'!I23</f>
        <v>4.1382300000000001</v>
      </c>
      <c r="M47" s="22">
        <f>'CUOTA LTP'!J23</f>
        <v>0</v>
      </c>
      <c r="N47" s="17" t="s">
        <v>41</v>
      </c>
      <c r="O47" s="17">
        <f>'RESUMEN '!$B$3</f>
        <v>45789</v>
      </c>
      <c r="P47" s="15">
        <v>2025</v>
      </c>
      <c r="Q47" s="15"/>
    </row>
    <row r="48" spans="1:17" x14ac:dyDescent="0.25">
      <c r="A48" s="15" t="s">
        <v>10</v>
      </c>
      <c r="B48" s="15" t="s">
        <v>169</v>
      </c>
      <c r="C48" s="15" t="s">
        <v>68</v>
      </c>
      <c r="D48" s="15" t="s">
        <v>175</v>
      </c>
      <c r="E48" s="15" t="str">
        <f>'CUOTA LTP'!C22</f>
        <v>NAKAL SPA INV.</v>
      </c>
      <c r="F48" s="17">
        <v>45658</v>
      </c>
      <c r="G48" s="17">
        <v>46022</v>
      </c>
      <c r="H48" s="16">
        <f>'CUOTA LTP'!K22</f>
        <v>4.1382300000000001</v>
      </c>
      <c r="I48" s="16">
        <f>'CUOTA LTP'!L22</f>
        <v>0</v>
      </c>
      <c r="J48" s="16">
        <f>'CUOTA LTP'!M22</f>
        <v>4.1382300000000001</v>
      </c>
      <c r="K48" s="16">
        <f>'CUOTA LTP'!N22</f>
        <v>0</v>
      </c>
      <c r="L48" s="16">
        <f>'CUOTA LTP'!O22</f>
        <v>4.1382300000000001</v>
      </c>
      <c r="M48" s="22">
        <f>'CUOTA LTP'!P22</f>
        <v>0</v>
      </c>
      <c r="N48" s="17" t="s">
        <v>41</v>
      </c>
      <c r="O48" s="17">
        <f>'RESUMEN '!$B$3</f>
        <v>45789</v>
      </c>
      <c r="P48" s="15">
        <v>2025</v>
      </c>
      <c r="Q48" s="15"/>
    </row>
    <row r="49" spans="1:17" x14ac:dyDescent="0.25">
      <c r="A49" s="15" t="s">
        <v>10</v>
      </c>
      <c r="B49" s="15" t="s">
        <v>169</v>
      </c>
      <c r="C49" s="15" t="s">
        <v>68</v>
      </c>
      <c r="D49" s="15" t="s">
        <v>175</v>
      </c>
      <c r="E49" s="15" t="str">
        <f>'CUOTA LTP'!C24</f>
        <v xml:space="preserve">NORDIOMAR SPA SOC. PESQ. </v>
      </c>
      <c r="F49" s="17">
        <v>45717</v>
      </c>
      <c r="G49" s="17">
        <v>45900</v>
      </c>
      <c r="H49" s="16">
        <f>'CUOTA LTP'!E24</f>
        <v>0.02</v>
      </c>
      <c r="I49" s="16">
        <f>'CUOTA LTP'!F24</f>
        <v>0</v>
      </c>
      <c r="J49" s="16">
        <f>'CUOTA LTP'!G24</f>
        <v>0.02</v>
      </c>
      <c r="K49" s="16">
        <f>'CUOTA LTP'!H24</f>
        <v>0</v>
      </c>
      <c r="L49" s="16">
        <f>'CUOTA LTP'!I24</f>
        <v>0.02</v>
      </c>
      <c r="M49" s="22">
        <f>'CUOTA LTP'!J24</f>
        <v>0</v>
      </c>
      <c r="N49" s="17" t="s">
        <v>41</v>
      </c>
      <c r="O49" s="17">
        <f>'RESUMEN '!$B$3</f>
        <v>45789</v>
      </c>
      <c r="P49" s="15">
        <v>2025</v>
      </c>
      <c r="Q49" s="15"/>
    </row>
    <row r="50" spans="1:17" x14ac:dyDescent="0.25">
      <c r="A50" s="15" t="s">
        <v>10</v>
      </c>
      <c r="B50" s="15" t="s">
        <v>169</v>
      </c>
      <c r="C50" s="15" t="s">
        <v>68</v>
      </c>
      <c r="D50" s="15" t="s">
        <v>175</v>
      </c>
      <c r="E50" s="15" t="str">
        <f>'CUOTA LTP'!C24</f>
        <v xml:space="preserve">NORDIOMAR SPA SOC. PESQ. </v>
      </c>
      <c r="F50" s="17">
        <v>45931</v>
      </c>
      <c r="G50" s="17">
        <v>46022</v>
      </c>
      <c r="H50" s="16">
        <f>'CUOTA LTP'!E25</f>
        <v>2E-3</v>
      </c>
      <c r="I50" s="16">
        <f>'CUOTA LTP'!F25</f>
        <v>0</v>
      </c>
      <c r="J50" s="16">
        <f>'CUOTA LTP'!G25</f>
        <v>2.1999999999999999E-2</v>
      </c>
      <c r="K50" s="16">
        <f>'CUOTA LTP'!H25</f>
        <v>0</v>
      </c>
      <c r="L50" s="16">
        <f>'CUOTA LTP'!I25</f>
        <v>2.1999999999999999E-2</v>
      </c>
      <c r="M50" s="22">
        <f>'CUOTA LTP'!J25</f>
        <v>0</v>
      </c>
      <c r="N50" s="17" t="s">
        <v>41</v>
      </c>
      <c r="O50" s="17">
        <f>'RESUMEN '!$B$3</f>
        <v>45789</v>
      </c>
      <c r="P50" s="15">
        <v>2025</v>
      </c>
      <c r="Q50" s="15"/>
    </row>
    <row r="51" spans="1:17" x14ac:dyDescent="0.25">
      <c r="A51" s="15" t="s">
        <v>10</v>
      </c>
      <c r="B51" s="15" t="s">
        <v>169</v>
      </c>
      <c r="C51" s="15" t="s">
        <v>68</v>
      </c>
      <c r="D51" s="15" t="s">
        <v>175</v>
      </c>
      <c r="E51" s="15" t="str">
        <f>'CUOTA LTP'!C24</f>
        <v xml:space="preserve">NORDIOMAR SPA SOC. PESQ. </v>
      </c>
      <c r="F51" s="17">
        <v>45658</v>
      </c>
      <c r="G51" s="17">
        <v>46022</v>
      </c>
      <c r="H51" s="16">
        <f>'CUOTA LTP'!K24</f>
        <v>2.1999999999999999E-2</v>
      </c>
      <c r="I51" s="16">
        <f>'CUOTA LTP'!L24</f>
        <v>0</v>
      </c>
      <c r="J51" s="16">
        <f>'CUOTA LTP'!M24</f>
        <v>2.1999999999999999E-2</v>
      </c>
      <c r="K51" s="16">
        <f>'CUOTA LTP'!N24</f>
        <v>0</v>
      </c>
      <c r="L51" s="16">
        <f>'CUOTA LTP'!O24</f>
        <v>2.1999999999999999E-2</v>
      </c>
      <c r="M51" s="22">
        <f>'CUOTA LTP'!P24</f>
        <v>0</v>
      </c>
      <c r="N51" s="17" t="s">
        <v>41</v>
      </c>
      <c r="O51" s="17">
        <f>'RESUMEN '!$B$3</f>
        <v>45789</v>
      </c>
      <c r="P51" s="15">
        <v>2025</v>
      </c>
      <c r="Q51" s="15"/>
    </row>
    <row r="52" spans="1:17" x14ac:dyDescent="0.25">
      <c r="A52" s="15" t="s">
        <v>10</v>
      </c>
      <c r="B52" s="15" t="s">
        <v>169</v>
      </c>
      <c r="C52" s="15" t="s">
        <v>68</v>
      </c>
      <c r="D52" s="15" t="s">
        <v>175</v>
      </c>
      <c r="E52" s="15" t="str">
        <f>'CUOTA LTP'!C26</f>
        <v>ENFERMAR LTDA. SOC. PESQ.</v>
      </c>
      <c r="F52" s="17">
        <v>45717</v>
      </c>
      <c r="G52" s="17">
        <v>45900</v>
      </c>
      <c r="H52" s="16">
        <f>'CUOTA LTP'!E26</f>
        <v>2.051E-2</v>
      </c>
      <c r="I52" s="16">
        <f>'CUOTA LTP'!F26</f>
        <v>0</v>
      </c>
      <c r="J52" s="16">
        <f>'CUOTA LTP'!G26</f>
        <v>2.051E-2</v>
      </c>
      <c r="K52" s="16">
        <f>'CUOTA LTP'!H26</f>
        <v>0</v>
      </c>
      <c r="L52" s="16">
        <f>'CUOTA LTP'!I26</f>
        <v>2.051E-2</v>
      </c>
      <c r="M52" s="22">
        <f>'CUOTA LTP'!J26</f>
        <v>0</v>
      </c>
      <c r="N52" s="17" t="s">
        <v>41</v>
      </c>
      <c r="O52" s="17">
        <f>'RESUMEN '!$B$3</f>
        <v>45789</v>
      </c>
      <c r="P52" s="15">
        <v>2025</v>
      </c>
      <c r="Q52" s="15"/>
    </row>
    <row r="53" spans="1:17" x14ac:dyDescent="0.25">
      <c r="A53" s="15" t="s">
        <v>10</v>
      </c>
      <c r="B53" s="15" t="s">
        <v>169</v>
      </c>
      <c r="C53" s="15" t="s">
        <v>68</v>
      </c>
      <c r="D53" s="15" t="s">
        <v>175</v>
      </c>
      <c r="E53" s="15" t="str">
        <f>'CUOTA LTP'!C26</f>
        <v>ENFERMAR LTDA. SOC. PESQ.</v>
      </c>
      <c r="F53" s="17">
        <v>45931</v>
      </c>
      <c r="G53" s="17">
        <v>46022</v>
      </c>
      <c r="H53" s="16">
        <f>'CUOTA LTP'!E27</f>
        <v>2.0500000000000002E-3</v>
      </c>
      <c r="I53" s="16">
        <f>'CUOTA LTP'!F27</f>
        <v>0</v>
      </c>
      <c r="J53" s="16">
        <f>'CUOTA LTP'!G27</f>
        <v>2.256E-2</v>
      </c>
      <c r="K53" s="16">
        <f>'CUOTA LTP'!H27</f>
        <v>0</v>
      </c>
      <c r="L53" s="16">
        <f>'CUOTA LTP'!I27</f>
        <v>2.256E-2</v>
      </c>
      <c r="M53" s="22">
        <f>'CUOTA LTP'!J27</f>
        <v>0</v>
      </c>
      <c r="N53" s="17" t="s">
        <v>41</v>
      </c>
      <c r="O53" s="17">
        <f>'RESUMEN '!$B$3</f>
        <v>45789</v>
      </c>
      <c r="P53" s="15">
        <v>2025</v>
      </c>
      <c r="Q53" s="15"/>
    </row>
    <row r="54" spans="1:17" x14ac:dyDescent="0.25">
      <c r="A54" s="15" t="s">
        <v>10</v>
      </c>
      <c r="B54" s="15" t="s">
        <v>169</v>
      </c>
      <c r="C54" s="15" t="s">
        <v>68</v>
      </c>
      <c r="D54" s="15" t="s">
        <v>175</v>
      </c>
      <c r="E54" s="15" t="str">
        <f>'CUOTA LTP'!C26</f>
        <v>ENFERMAR LTDA. SOC. PESQ.</v>
      </c>
      <c r="F54" s="17">
        <v>45658</v>
      </c>
      <c r="G54" s="17">
        <v>46022</v>
      </c>
      <c r="H54" s="16">
        <f>'CUOTA LTP'!K26</f>
        <v>2.256E-2</v>
      </c>
      <c r="I54" s="16">
        <f>'CUOTA LTP'!L26</f>
        <v>0</v>
      </c>
      <c r="J54" s="16">
        <f>'CUOTA LTP'!M26</f>
        <v>2.256E-2</v>
      </c>
      <c r="K54" s="16">
        <f>'CUOTA LTP'!N26</f>
        <v>0</v>
      </c>
      <c r="L54" s="16">
        <f>'CUOTA LTP'!O26</f>
        <v>2.256E-2</v>
      </c>
      <c r="M54" s="22">
        <f>'CUOTA LTP'!P26</f>
        <v>0</v>
      </c>
      <c r="N54" s="17" t="s">
        <v>41</v>
      </c>
      <c r="O54" s="17">
        <f>'RESUMEN '!$B$3</f>
        <v>45789</v>
      </c>
      <c r="P54" s="15">
        <v>2025</v>
      </c>
      <c r="Q54" s="15"/>
    </row>
    <row r="55" spans="1:17" x14ac:dyDescent="0.25">
      <c r="A55" s="15" t="s">
        <v>10</v>
      </c>
      <c r="B55" s="15" t="s">
        <v>169</v>
      </c>
      <c r="C55" s="15" t="s">
        <v>70</v>
      </c>
      <c r="D55" s="15" t="s">
        <v>175</v>
      </c>
      <c r="E55" s="15" t="str">
        <f>'CUOTA LTP'!C30</f>
        <v>ANTARTIC SEAFOOD S.A.</v>
      </c>
      <c r="F55" s="17">
        <v>45717</v>
      </c>
      <c r="G55" s="17">
        <v>45900</v>
      </c>
      <c r="H55" s="16">
        <f>'CUOTA LTP'!E30</f>
        <v>349.45055000000002</v>
      </c>
      <c r="I55" s="16">
        <f>'CUOTA LTP'!F30</f>
        <v>0</v>
      </c>
      <c r="J55" s="16">
        <f>'CUOTA LTP'!G30</f>
        <v>349.45055000000002</v>
      </c>
      <c r="K55" s="16">
        <f>'CUOTA LTP'!H30</f>
        <v>344.20800000000003</v>
      </c>
      <c r="L55" s="16">
        <f>'CUOTA LTP'!I30</f>
        <v>5.2425499999999943</v>
      </c>
      <c r="M55" s="22">
        <f>'CUOTA LTP'!J30</f>
        <v>0.98499773430031801</v>
      </c>
      <c r="N55" s="17" t="s">
        <v>41</v>
      </c>
      <c r="O55" s="17">
        <f>'RESUMEN '!$B$3</f>
        <v>45789</v>
      </c>
      <c r="P55" s="15">
        <v>2025</v>
      </c>
      <c r="Q55" s="15"/>
    </row>
    <row r="56" spans="1:17" x14ac:dyDescent="0.25">
      <c r="A56" s="15" t="s">
        <v>10</v>
      </c>
      <c r="B56" s="15" t="s">
        <v>169</v>
      </c>
      <c r="C56" s="15" t="s">
        <v>70</v>
      </c>
      <c r="D56" s="15" t="s">
        <v>175</v>
      </c>
      <c r="E56" s="15" t="str">
        <f>'CUOTA LTP'!C30</f>
        <v>ANTARTIC SEAFOOD S.A.</v>
      </c>
      <c r="F56" s="17">
        <v>45931</v>
      </c>
      <c r="G56" s="17">
        <v>46022</v>
      </c>
      <c r="H56" s="16">
        <f>'CUOTA LTP'!E31</f>
        <v>38.664180000000002</v>
      </c>
      <c r="I56" s="16">
        <f>'CUOTA LTP'!F31</f>
        <v>0</v>
      </c>
      <c r="J56" s="16">
        <f>'CUOTA LTP'!G31</f>
        <v>43.906729999999996</v>
      </c>
      <c r="K56" s="16">
        <f>'CUOTA LTP'!H31</f>
        <v>0</v>
      </c>
      <c r="L56" s="16">
        <f>'CUOTA LTP'!I31</f>
        <v>43.906729999999996</v>
      </c>
      <c r="M56" s="22">
        <f>'CUOTA LTP'!J31</f>
        <v>0</v>
      </c>
      <c r="N56" s="17" t="s">
        <v>41</v>
      </c>
      <c r="O56" s="17">
        <f>'RESUMEN '!$B$3</f>
        <v>45789</v>
      </c>
      <c r="P56" s="15">
        <v>2025</v>
      </c>
      <c r="Q56" s="15"/>
    </row>
    <row r="57" spans="1:17" x14ac:dyDescent="0.25">
      <c r="A57" s="15" t="s">
        <v>10</v>
      </c>
      <c r="B57" s="15" t="s">
        <v>169</v>
      </c>
      <c r="C57" s="15" t="s">
        <v>70</v>
      </c>
      <c r="D57" s="15" t="s">
        <v>175</v>
      </c>
      <c r="E57" s="15" t="str">
        <f>'CUOTA LTP'!C30</f>
        <v>ANTARTIC SEAFOOD S.A.</v>
      </c>
      <c r="F57" s="17">
        <v>45658</v>
      </c>
      <c r="G57" s="17">
        <v>46022</v>
      </c>
      <c r="H57" s="16">
        <f>'CUOTA LTP'!K30</f>
        <v>388.11473000000001</v>
      </c>
      <c r="I57" s="16">
        <f>'CUOTA LTP'!L30</f>
        <v>0</v>
      </c>
      <c r="J57" s="16">
        <f>'CUOTA LTP'!M30</f>
        <v>388.11473000000001</v>
      </c>
      <c r="K57" s="16">
        <f>'CUOTA LTP'!N30</f>
        <v>344.20800000000003</v>
      </c>
      <c r="L57" s="16">
        <f>'CUOTA LTP'!O30</f>
        <v>43.906729999999982</v>
      </c>
      <c r="M57" s="22">
        <f>'CUOTA LTP'!P30</f>
        <v>0.88687177629151059</v>
      </c>
      <c r="N57" s="17" t="s">
        <v>41</v>
      </c>
      <c r="O57" s="17">
        <f>'RESUMEN '!$B$3</f>
        <v>45789</v>
      </c>
      <c r="P57" s="15">
        <v>2025</v>
      </c>
      <c r="Q57" s="15"/>
    </row>
    <row r="58" spans="1:17" x14ac:dyDescent="0.25">
      <c r="A58" s="15" t="s">
        <v>10</v>
      </c>
      <c r="B58" s="15" t="s">
        <v>169</v>
      </c>
      <c r="C58" s="15" t="s">
        <v>70</v>
      </c>
      <c r="D58" s="15" t="s">
        <v>175</v>
      </c>
      <c r="E58" s="15" t="str">
        <f>'CUOTA LTP'!C32</f>
        <v>QUINTERO S.A. PESQ.</v>
      </c>
      <c r="F58" s="17">
        <v>45717</v>
      </c>
      <c r="G58" s="17">
        <v>45900</v>
      </c>
      <c r="H58" s="16">
        <f>'CUOTA LTP'!E32</f>
        <v>63.181669999999997</v>
      </c>
      <c r="I58" s="16">
        <f>'CUOTA LTP'!F32</f>
        <v>0</v>
      </c>
      <c r="J58" s="16">
        <f>'CUOTA LTP'!G32</f>
        <v>63.181669999999997</v>
      </c>
      <c r="K58" s="16">
        <f>'CUOTA LTP'!H32</f>
        <v>0</v>
      </c>
      <c r="L58" s="16">
        <f>'CUOTA LTP'!I32</f>
        <v>63.181669999999997</v>
      </c>
      <c r="M58" s="22">
        <f>'CUOTA LTP'!J32</f>
        <v>0</v>
      </c>
      <c r="N58" s="17" t="s">
        <v>41</v>
      </c>
      <c r="O58" s="17">
        <f>'RESUMEN '!$B$3</f>
        <v>45789</v>
      </c>
      <c r="P58" s="15">
        <v>2025</v>
      </c>
      <c r="Q58" s="15"/>
    </row>
    <row r="59" spans="1:17" x14ac:dyDescent="0.25">
      <c r="A59" s="15" t="s">
        <v>10</v>
      </c>
      <c r="B59" s="15" t="s">
        <v>169</v>
      </c>
      <c r="C59" s="15" t="s">
        <v>70</v>
      </c>
      <c r="D59" s="15" t="s">
        <v>175</v>
      </c>
      <c r="E59" s="15" t="str">
        <f>'CUOTA LTP'!C32</f>
        <v>QUINTERO S.A. PESQ.</v>
      </c>
      <c r="F59" s="17">
        <v>45931</v>
      </c>
      <c r="G59" s="17">
        <v>46022</v>
      </c>
      <c r="H59" s="16">
        <f>'CUOTA LTP'!E33</f>
        <v>6.9905999999999997</v>
      </c>
      <c r="I59" s="16">
        <f>'CUOTA LTP'!F33</f>
        <v>0</v>
      </c>
      <c r="J59" s="16">
        <f>'CUOTA LTP'!G33</f>
        <v>70.172269999999997</v>
      </c>
      <c r="K59" s="16">
        <f>'CUOTA LTP'!H33</f>
        <v>0</v>
      </c>
      <c r="L59" s="16">
        <f>'CUOTA LTP'!I33</f>
        <v>70.172269999999997</v>
      </c>
      <c r="M59" s="22">
        <f>'CUOTA LTP'!J33</f>
        <v>0</v>
      </c>
      <c r="N59" s="17" t="s">
        <v>41</v>
      </c>
      <c r="O59" s="17">
        <f>'RESUMEN '!$B$3</f>
        <v>45789</v>
      </c>
      <c r="P59" s="15">
        <v>2025</v>
      </c>
      <c r="Q59" s="15"/>
    </row>
    <row r="60" spans="1:17" x14ac:dyDescent="0.25">
      <c r="A60" s="15" t="s">
        <v>10</v>
      </c>
      <c r="B60" s="15" t="s">
        <v>169</v>
      </c>
      <c r="C60" s="15" t="s">
        <v>70</v>
      </c>
      <c r="D60" s="15" t="s">
        <v>175</v>
      </c>
      <c r="E60" s="15" t="str">
        <f>'CUOTA LTP'!C32</f>
        <v>QUINTERO S.A. PESQ.</v>
      </c>
      <c r="F60" s="17">
        <v>45658</v>
      </c>
      <c r="G60" s="17">
        <v>46022</v>
      </c>
      <c r="H60" s="16">
        <f>'CUOTA LTP'!K32</f>
        <v>70.172269999999997</v>
      </c>
      <c r="I60" s="16">
        <f>'CUOTA LTP'!L32</f>
        <v>0</v>
      </c>
      <c r="J60" s="16">
        <f>'CUOTA LTP'!M32</f>
        <v>70.172269999999997</v>
      </c>
      <c r="K60" s="16">
        <f>'CUOTA LTP'!N32</f>
        <v>0</v>
      </c>
      <c r="L60" s="16">
        <f>'CUOTA LTP'!O32</f>
        <v>70.172269999999997</v>
      </c>
      <c r="M60" s="22">
        <f>'CUOTA LTP'!P32</f>
        <v>0</v>
      </c>
      <c r="N60" s="17" t="s">
        <v>41</v>
      </c>
      <c r="O60" s="17">
        <f>'RESUMEN '!$B$3</f>
        <v>45789</v>
      </c>
      <c r="P60" s="15">
        <v>2025</v>
      </c>
      <c r="Q60" s="15"/>
    </row>
    <row r="61" spans="1:17" x14ac:dyDescent="0.25">
      <c r="A61" s="15" t="s">
        <v>10</v>
      </c>
      <c r="B61" s="15" t="s">
        <v>169</v>
      </c>
      <c r="C61" s="15" t="s">
        <v>70</v>
      </c>
      <c r="D61" s="15" t="s">
        <v>175</v>
      </c>
      <c r="E61" s="15" t="str">
        <f>'CUOTA LTP'!C34</f>
        <v>BAYCIC BAYCIC MARIA</v>
      </c>
      <c r="F61" s="17">
        <v>45717</v>
      </c>
      <c r="G61" s="17">
        <v>45900</v>
      </c>
      <c r="H61" s="16">
        <f>'CUOTA LTP'!E34</f>
        <v>2.8469999999999999E-2</v>
      </c>
      <c r="I61" s="16">
        <f>'CUOTA LTP'!F34</f>
        <v>0</v>
      </c>
      <c r="J61" s="16">
        <f>'CUOTA LTP'!G34</f>
        <v>2.8469999999999999E-2</v>
      </c>
      <c r="K61" s="16">
        <f>'CUOTA LTP'!H34</f>
        <v>0</v>
      </c>
      <c r="L61" s="16">
        <f>'CUOTA LTP'!I34</f>
        <v>2.8469999999999999E-2</v>
      </c>
      <c r="M61" s="22">
        <f>'CUOTA LTP'!J34</f>
        <v>0</v>
      </c>
      <c r="N61" s="17" t="s">
        <v>41</v>
      </c>
      <c r="O61" s="17">
        <f>'RESUMEN '!$B$3</f>
        <v>45789</v>
      </c>
      <c r="P61" s="15">
        <v>2025</v>
      </c>
      <c r="Q61" s="15"/>
    </row>
    <row r="62" spans="1:17" x14ac:dyDescent="0.25">
      <c r="A62" s="15" t="s">
        <v>10</v>
      </c>
      <c r="B62" s="15" t="s">
        <v>169</v>
      </c>
      <c r="C62" s="15" t="s">
        <v>70</v>
      </c>
      <c r="D62" s="15" t="s">
        <v>175</v>
      </c>
      <c r="E62" s="15" t="str">
        <f>'CUOTA LTP'!C34</f>
        <v>BAYCIC BAYCIC MARIA</v>
      </c>
      <c r="F62" s="17">
        <v>45931</v>
      </c>
      <c r="G62" s="17">
        <v>46022</v>
      </c>
      <c r="H62" s="16">
        <f>'CUOTA LTP'!E35</f>
        <v>3.15E-3</v>
      </c>
      <c r="I62" s="16">
        <f>'CUOTA LTP'!F35</f>
        <v>0</v>
      </c>
      <c r="J62" s="16">
        <f>'CUOTA LTP'!G35</f>
        <v>3.1619999999999995E-2</v>
      </c>
      <c r="K62" s="16">
        <f>'CUOTA LTP'!H35</f>
        <v>0</v>
      </c>
      <c r="L62" s="16">
        <f>'CUOTA LTP'!I35</f>
        <v>3.1619999999999995E-2</v>
      </c>
      <c r="M62" s="22">
        <f>'CUOTA LTP'!J35</f>
        <v>0</v>
      </c>
      <c r="N62" s="17" t="s">
        <v>41</v>
      </c>
      <c r="O62" s="17">
        <f>'RESUMEN '!$B$3</f>
        <v>45789</v>
      </c>
      <c r="P62" s="15">
        <v>2025</v>
      </c>
      <c r="Q62" s="15"/>
    </row>
    <row r="63" spans="1:17" x14ac:dyDescent="0.25">
      <c r="A63" s="15" t="s">
        <v>10</v>
      </c>
      <c r="B63" s="15" t="s">
        <v>169</v>
      </c>
      <c r="C63" s="15" t="s">
        <v>70</v>
      </c>
      <c r="D63" s="15" t="s">
        <v>175</v>
      </c>
      <c r="E63" s="15" t="str">
        <f>'CUOTA LTP'!C34</f>
        <v>BAYCIC BAYCIC MARIA</v>
      </c>
      <c r="F63" s="17">
        <v>45658</v>
      </c>
      <c r="G63" s="17">
        <v>46022</v>
      </c>
      <c r="H63" s="16">
        <f>'CUOTA LTP'!K34</f>
        <v>3.1619999999999995E-2</v>
      </c>
      <c r="I63" s="16">
        <f>'CUOTA LTP'!L34</f>
        <v>0</v>
      </c>
      <c r="J63" s="16">
        <f>'CUOTA LTP'!M34</f>
        <v>3.1619999999999995E-2</v>
      </c>
      <c r="K63" s="16">
        <f>'CUOTA LTP'!N34</f>
        <v>0</v>
      </c>
      <c r="L63" s="16">
        <f>'CUOTA LTP'!O34</f>
        <v>3.1619999999999995E-2</v>
      </c>
      <c r="M63" s="22">
        <f>'CUOTA LTP'!P34</f>
        <v>0</v>
      </c>
      <c r="N63" s="17" t="s">
        <v>41</v>
      </c>
      <c r="O63" s="17">
        <f>'RESUMEN '!$B$3</f>
        <v>45789</v>
      </c>
      <c r="P63" s="15">
        <v>2025</v>
      </c>
      <c r="Q63" s="15"/>
    </row>
    <row r="64" spans="1:17" x14ac:dyDescent="0.25">
      <c r="A64" s="15" t="s">
        <v>10</v>
      </c>
      <c r="B64" s="15" t="s">
        <v>169</v>
      </c>
      <c r="C64" s="15" t="s">
        <v>70</v>
      </c>
      <c r="D64" s="15" t="s">
        <v>175</v>
      </c>
      <c r="E64" s="15" t="str">
        <f>'CUOTA LTP'!C36</f>
        <v>BRACPESCA S.A.</v>
      </c>
      <c r="F64" s="17">
        <v>45717</v>
      </c>
      <c r="G64" s="17">
        <v>45900</v>
      </c>
      <c r="H64" s="16">
        <f>'CUOTA LTP'!E36</f>
        <v>363.39695999999998</v>
      </c>
      <c r="I64" s="16">
        <f>'CUOTA LTP'!F36</f>
        <v>73.319999999999993</v>
      </c>
      <c r="J64" s="16">
        <f>'CUOTA LTP'!G36</f>
        <v>436.71695999999997</v>
      </c>
      <c r="K64" s="16">
        <f>'CUOTA LTP'!H36</f>
        <v>0.251</v>
      </c>
      <c r="L64" s="16">
        <f>'CUOTA LTP'!I36</f>
        <v>436.46596</v>
      </c>
      <c r="M64" s="22">
        <f>'CUOTA LTP'!J36</f>
        <v>5.7474296395541868E-4</v>
      </c>
      <c r="N64" s="17" t="s">
        <v>41</v>
      </c>
      <c r="O64" s="17">
        <f>'RESUMEN '!$B$3</f>
        <v>45789</v>
      </c>
      <c r="P64" s="15">
        <v>2025</v>
      </c>
      <c r="Q64" s="15"/>
    </row>
    <row r="65" spans="1:17" x14ac:dyDescent="0.25">
      <c r="A65" s="15" t="s">
        <v>10</v>
      </c>
      <c r="B65" s="15" t="s">
        <v>169</v>
      </c>
      <c r="C65" s="15" t="s">
        <v>70</v>
      </c>
      <c r="D65" s="15" t="s">
        <v>175</v>
      </c>
      <c r="E65" s="15" t="str">
        <f>'CUOTA LTP'!C36</f>
        <v>BRACPESCA S.A.</v>
      </c>
      <c r="F65" s="17">
        <v>45931</v>
      </c>
      <c r="G65" s="17">
        <v>46022</v>
      </c>
      <c r="H65" s="16">
        <f>'CUOTA LTP'!E37</f>
        <v>40.207250000000002</v>
      </c>
      <c r="I65" s="16">
        <f>'CUOTA LTP'!F37</f>
        <v>0</v>
      </c>
      <c r="J65" s="16">
        <f>'CUOTA LTP'!G37</f>
        <v>476.67320999999998</v>
      </c>
      <c r="K65" s="16">
        <f>'CUOTA LTP'!H37</f>
        <v>0</v>
      </c>
      <c r="L65" s="16">
        <f>'CUOTA LTP'!I37</f>
        <v>476.67320999999998</v>
      </c>
      <c r="M65" s="22">
        <f>'CUOTA LTP'!J37</f>
        <v>0</v>
      </c>
      <c r="N65" s="17" t="s">
        <v>41</v>
      </c>
      <c r="O65" s="17">
        <f>'RESUMEN '!$B$3</f>
        <v>45789</v>
      </c>
      <c r="P65" s="15">
        <v>2025</v>
      </c>
      <c r="Q65" s="15"/>
    </row>
    <row r="66" spans="1:17" x14ac:dyDescent="0.25">
      <c r="A66" s="15" t="s">
        <v>10</v>
      </c>
      <c r="B66" s="15" t="s">
        <v>169</v>
      </c>
      <c r="C66" s="15" t="s">
        <v>70</v>
      </c>
      <c r="D66" s="15" t="s">
        <v>175</v>
      </c>
      <c r="E66" s="15" t="str">
        <f>'CUOTA LTP'!C36</f>
        <v>BRACPESCA S.A.</v>
      </c>
      <c r="F66" s="17">
        <v>45658</v>
      </c>
      <c r="G66" s="17">
        <v>46022</v>
      </c>
      <c r="H66" s="16">
        <f>'CUOTA LTP'!K36</f>
        <v>403.60420999999997</v>
      </c>
      <c r="I66" s="16">
        <f>'CUOTA LTP'!L36</f>
        <v>73.319999999999993</v>
      </c>
      <c r="J66" s="16">
        <f>'CUOTA LTP'!M36</f>
        <v>476.92420999999996</v>
      </c>
      <c r="K66" s="16">
        <f>'CUOTA LTP'!N36</f>
        <v>0.251</v>
      </c>
      <c r="L66" s="16">
        <f>'CUOTA LTP'!O36</f>
        <v>476.67320999999998</v>
      </c>
      <c r="M66" s="22">
        <f>'CUOTA LTP'!P36</f>
        <v>5.2628907221967196E-4</v>
      </c>
      <c r="N66" s="17" t="s">
        <v>41</v>
      </c>
      <c r="O66" s="17">
        <f>'RESUMEN '!$B$3</f>
        <v>45789</v>
      </c>
      <c r="P66" s="15">
        <v>2025</v>
      </c>
      <c r="Q66" s="15"/>
    </row>
    <row r="67" spans="1:17" x14ac:dyDescent="0.25">
      <c r="A67" s="15" t="s">
        <v>10</v>
      </c>
      <c r="B67" s="15" t="s">
        <v>169</v>
      </c>
      <c r="C67" s="15" t="s">
        <v>70</v>
      </c>
      <c r="D67" s="15" t="s">
        <v>175</v>
      </c>
      <c r="E67" s="15" t="str">
        <f>'CUOTA LTP'!C38</f>
        <v>GRIMAR S.A. PESQ.</v>
      </c>
      <c r="F67" s="17">
        <v>45717</v>
      </c>
      <c r="G67" s="17">
        <v>45900</v>
      </c>
      <c r="H67" s="16">
        <f>'CUOTA LTP'!E38</f>
        <v>0.16427</v>
      </c>
      <c r="I67" s="16">
        <f>'CUOTA LTP'!F38</f>
        <v>0</v>
      </c>
      <c r="J67" s="16">
        <f>'CUOTA LTP'!G38</f>
        <v>0.16427</v>
      </c>
      <c r="K67" s="16">
        <f>'CUOTA LTP'!H38</f>
        <v>0</v>
      </c>
      <c r="L67" s="16">
        <f>'CUOTA LTP'!I38</f>
        <v>0.16427</v>
      </c>
      <c r="M67" s="22">
        <f>'CUOTA LTP'!J38</f>
        <v>0</v>
      </c>
      <c r="N67" s="17" t="s">
        <v>41</v>
      </c>
      <c r="O67" s="17">
        <f>'RESUMEN '!$B$3</f>
        <v>45789</v>
      </c>
      <c r="P67" s="15">
        <v>2025</v>
      </c>
      <c r="Q67" s="15"/>
    </row>
    <row r="68" spans="1:17" x14ac:dyDescent="0.25">
      <c r="A68" s="15" t="s">
        <v>10</v>
      </c>
      <c r="B68" s="15" t="s">
        <v>169</v>
      </c>
      <c r="C68" s="15" t="s">
        <v>70</v>
      </c>
      <c r="D68" s="15" t="s">
        <v>175</v>
      </c>
      <c r="E68" s="15" t="str">
        <f>'CUOTA LTP'!C38</f>
        <v>GRIMAR S.A. PESQ.</v>
      </c>
      <c r="F68" s="17">
        <v>45931</v>
      </c>
      <c r="G68" s="17">
        <v>46022</v>
      </c>
      <c r="H68" s="16">
        <f>'CUOTA LTP'!E39</f>
        <v>1.8180000000000002E-2</v>
      </c>
      <c r="I68" s="16">
        <f>'CUOTA LTP'!F39</f>
        <v>0</v>
      </c>
      <c r="J68" s="16">
        <f>'CUOTA LTP'!G39</f>
        <v>0.18245</v>
      </c>
      <c r="K68" s="16">
        <f>'CUOTA LTP'!H39</f>
        <v>0</v>
      </c>
      <c r="L68" s="16">
        <f>'CUOTA LTP'!I39</f>
        <v>0.18245</v>
      </c>
      <c r="M68" s="22">
        <f>'CUOTA LTP'!J39</f>
        <v>0</v>
      </c>
      <c r="N68" s="17" t="s">
        <v>41</v>
      </c>
      <c r="O68" s="17">
        <f>'RESUMEN '!$B$3</f>
        <v>45789</v>
      </c>
      <c r="P68" s="15">
        <v>2025</v>
      </c>
      <c r="Q68" s="15"/>
    </row>
    <row r="69" spans="1:17" x14ac:dyDescent="0.25">
      <c r="A69" s="15" t="s">
        <v>10</v>
      </c>
      <c r="B69" s="15" t="s">
        <v>169</v>
      </c>
      <c r="C69" s="15" t="s">
        <v>70</v>
      </c>
      <c r="D69" s="15" t="s">
        <v>175</v>
      </c>
      <c r="E69" s="15" t="str">
        <f>'CUOTA LTP'!C38</f>
        <v>GRIMAR S.A. PESQ.</v>
      </c>
      <c r="F69" s="17">
        <v>45658</v>
      </c>
      <c r="G69" s="17">
        <v>46022</v>
      </c>
      <c r="H69" s="16">
        <f>'CUOTA LTP'!K38</f>
        <v>0.18245</v>
      </c>
      <c r="I69" s="16">
        <f>'CUOTA LTP'!L38</f>
        <v>0</v>
      </c>
      <c r="J69" s="16">
        <f>'CUOTA LTP'!M38</f>
        <v>0.18245</v>
      </c>
      <c r="K69" s="16">
        <f>'CUOTA LTP'!N38</f>
        <v>0</v>
      </c>
      <c r="L69" s="16">
        <f>'CUOTA LTP'!O38</f>
        <v>0.18245</v>
      </c>
      <c r="M69" s="22">
        <f>'CUOTA LTP'!P38</f>
        <v>0</v>
      </c>
      <c r="N69" s="17" t="s">
        <v>41</v>
      </c>
      <c r="O69" s="17">
        <f>'RESUMEN '!$B$3</f>
        <v>45789</v>
      </c>
      <c r="P69" s="15">
        <v>2025</v>
      </c>
      <c r="Q69" s="15"/>
    </row>
    <row r="70" spans="1:17" x14ac:dyDescent="0.25">
      <c r="A70" s="15" t="s">
        <v>10</v>
      </c>
      <c r="B70" s="15" t="s">
        <v>169</v>
      </c>
      <c r="C70" s="15" t="s">
        <v>70</v>
      </c>
      <c r="D70" s="15" t="s">
        <v>175</v>
      </c>
      <c r="E70" s="15" t="str">
        <f>'CUOTA LTP'!C40</f>
        <v>ISLADAMAS S.A. PESQ.</v>
      </c>
      <c r="F70" s="17">
        <v>45717</v>
      </c>
      <c r="G70" s="17">
        <v>45900</v>
      </c>
      <c r="H70" s="16">
        <f>'CUOTA LTP'!E40</f>
        <v>100.43485</v>
      </c>
      <c r="I70" s="16">
        <f>'CUOTA LTP'!F40</f>
        <v>0</v>
      </c>
      <c r="J70" s="16">
        <f>'CUOTA LTP'!G40</f>
        <v>100.43485</v>
      </c>
      <c r="K70" s="16">
        <f>'CUOTA LTP'!H40</f>
        <v>103.072</v>
      </c>
      <c r="L70" s="16">
        <f>'CUOTA LTP'!I40</f>
        <v>-2.6371500000000054</v>
      </c>
      <c r="M70" s="22">
        <f>'CUOTA LTP'!J40</f>
        <v>1.0262573200437897</v>
      </c>
      <c r="N70" s="17" t="s">
        <v>41</v>
      </c>
      <c r="O70" s="17">
        <f>'RESUMEN '!$B$3</f>
        <v>45789</v>
      </c>
      <c r="P70" s="15">
        <v>2025</v>
      </c>
      <c r="Q70" s="15"/>
    </row>
    <row r="71" spans="1:17" x14ac:dyDescent="0.25">
      <c r="A71" s="15" t="s">
        <v>10</v>
      </c>
      <c r="B71" s="15" t="s">
        <v>169</v>
      </c>
      <c r="C71" s="15" t="s">
        <v>70</v>
      </c>
      <c r="D71" s="15" t="s">
        <v>175</v>
      </c>
      <c r="E71" s="15" t="str">
        <f>'CUOTA LTP'!C40</f>
        <v>ISLADAMAS S.A. PESQ.</v>
      </c>
      <c r="F71" s="17">
        <v>45931</v>
      </c>
      <c r="G71" s="17">
        <v>46022</v>
      </c>
      <c r="H71" s="16">
        <f>'CUOTA LTP'!E41</f>
        <v>11.11239</v>
      </c>
      <c r="I71" s="16">
        <f>'CUOTA LTP'!F41</f>
        <v>0</v>
      </c>
      <c r="J71" s="16">
        <f>'CUOTA LTP'!G41</f>
        <v>8.4752399999999941</v>
      </c>
      <c r="K71" s="16">
        <f>'CUOTA LTP'!H41</f>
        <v>0</v>
      </c>
      <c r="L71" s="16">
        <f>'CUOTA LTP'!I41</f>
        <v>8.4752399999999941</v>
      </c>
      <c r="M71" s="22">
        <f>'CUOTA LTP'!J41</f>
        <v>0</v>
      </c>
      <c r="N71" s="17" t="s">
        <v>41</v>
      </c>
      <c r="O71" s="17">
        <f>'RESUMEN '!$B$3</f>
        <v>45789</v>
      </c>
      <c r="P71" s="15">
        <v>2025</v>
      </c>
      <c r="Q71" s="15"/>
    </row>
    <row r="72" spans="1:17" x14ac:dyDescent="0.25">
      <c r="A72" s="15" t="s">
        <v>10</v>
      </c>
      <c r="B72" s="15" t="s">
        <v>169</v>
      </c>
      <c r="C72" s="15" t="s">
        <v>70</v>
      </c>
      <c r="D72" s="15" t="s">
        <v>175</v>
      </c>
      <c r="E72" s="15" t="str">
        <f>'CUOTA LTP'!C40</f>
        <v>ISLADAMAS S.A. PESQ.</v>
      </c>
      <c r="F72" s="17">
        <v>45658</v>
      </c>
      <c r="G72" s="17">
        <v>46022</v>
      </c>
      <c r="H72" s="16">
        <f>'CUOTA LTP'!K40</f>
        <v>111.54724</v>
      </c>
      <c r="I72" s="16">
        <f>'CUOTA LTP'!L40</f>
        <v>0</v>
      </c>
      <c r="J72" s="16">
        <f>'CUOTA LTP'!M40</f>
        <v>111.54724</v>
      </c>
      <c r="K72" s="16">
        <f>'CUOTA LTP'!N40</f>
        <v>103.072</v>
      </c>
      <c r="L72" s="16">
        <f>'CUOTA LTP'!O40</f>
        <v>8.4752399999999994</v>
      </c>
      <c r="M72" s="22">
        <f>'CUOTA LTP'!P40</f>
        <v>0.92402106945900231</v>
      </c>
      <c r="N72" s="17" t="s">
        <v>41</v>
      </c>
      <c r="O72" s="17">
        <f>'RESUMEN '!$B$3</f>
        <v>45789</v>
      </c>
      <c r="P72" s="15">
        <v>2025</v>
      </c>
      <c r="Q72" s="15"/>
    </row>
    <row r="73" spans="1:17" x14ac:dyDescent="0.25">
      <c r="A73" s="15" t="s">
        <v>10</v>
      </c>
      <c r="B73" s="15" t="s">
        <v>169</v>
      </c>
      <c r="C73" s="15" t="s">
        <v>70</v>
      </c>
      <c r="D73" s="15" t="s">
        <v>175</v>
      </c>
      <c r="E73" s="15" t="str">
        <f>'CUOTA LTP'!C42</f>
        <v>MOROZIN BAYCIC MARIA ANA</v>
      </c>
      <c r="F73" s="17">
        <v>45717</v>
      </c>
      <c r="G73" s="17">
        <v>45900</v>
      </c>
      <c r="H73" s="16">
        <f>'CUOTA LTP'!E42</f>
        <v>9.4990000000000005E-2</v>
      </c>
      <c r="I73" s="16">
        <f>'CUOTA LTP'!F42</f>
        <v>0</v>
      </c>
      <c r="J73" s="16">
        <f>'CUOTA LTP'!G42</f>
        <v>9.4990000000000005E-2</v>
      </c>
      <c r="K73" s="16">
        <f>'CUOTA LTP'!H42</f>
        <v>0</v>
      </c>
      <c r="L73" s="16">
        <f>'CUOTA LTP'!I42</f>
        <v>9.4990000000000005E-2</v>
      </c>
      <c r="M73" s="22">
        <f>'CUOTA LTP'!J42</f>
        <v>0</v>
      </c>
      <c r="N73" s="17" t="s">
        <v>41</v>
      </c>
      <c r="O73" s="17">
        <f>'RESUMEN '!$B$3</f>
        <v>45789</v>
      </c>
      <c r="P73" s="15">
        <v>2025</v>
      </c>
      <c r="Q73" s="15"/>
    </row>
    <row r="74" spans="1:17" x14ac:dyDescent="0.25">
      <c r="A74" s="15" t="s">
        <v>10</v>
      </c>
      <c r="B74" s="15" t="s">
        <v>169</v>
      </c>
      <c r="C74" s="15" t="s">
        <v>70</v>
      </c>
      <c r="D74" s="15" t="s">
        <v>175</v>
      </c>
      <c r="E74" s="15" t="str">
        <f>'CUOTA LTP'!C42</f>
        <v>MOROZIN BAYCIC MARIA ANA</v>
      </c>
      <c r="F74" s="17">
        <v>45931</v>
      </c>
      <c r="G74" s="17">
        <v>46022</v>
      </c>
      <c r="H74" s="16">
        <f>'CUOTA LTP'!E43</f>
        <v>1.051E-2</v>
      </c>
      <c r="I74" s="16">
        <f>'CUOTA LTP'!F43</f>
        <v>0</v>
      </c>
      <c r="J74" s="16">
        <f>'CUOTA LTP'!G43</f>
        <v>0.10550000000000001</v>
      </c>
      <c r="K74" s="16">
        <f>'CUOTA LTP'!H43</f>
        <v>0</v>
      </c>
      <c r="L74" s="16">
        <f>'CUOTA LTP'!I43</f>
        <v>0.10550000000000001</v>
      </c>
      <c r="M74" s="22">
        <f>'CUOTA LTP'!J43</f>
        <v>0</v>
      </c>
      <c r="N74" s="17" t="s">
        <v>41</v>
      </c>
      <c r="O74" s="17">
        <f>'RESUMEN '!$B$3</f>
        <v>45789</v>
      </c>
      <c r="P74" s="15">
        <v>2025</v>
      </c>
      <c r="Q74" s="15"/>
    </row>
    <row r="75" spans="1:17" x14ac:dyDescent="0.25">
      <c r="A75" s="15" t="s">
        <v>10</v>
      </c>
      <c r="B75" s="15" t="s">
        <v>169</v>
      </c>
      <c r="C75" s="15" t="s">
        <v>70</v>
      </c>
      <c r="D75" s="15" t="s">
        <v>175</v>
      </c>
      <c r="E75" s="15" t="str">
        <f>'CUOTA LTP'!C42</f>
        <v>MOROZIN BAYCIC MARIA ANA</v>
      </c>
      <c r="F75" s="17">
        <v>45658</v>
      </c>
      <c r="G75" s="17">
        <v>46022</v>
      </c>
      <c r="H75" s="16">
        <f>'CUOTA LTP'!K42</f>
        <v>0.10550000000000001</v>
      </c>
      <c r="I75" s="16">
        <f>'CUOTA LTP'!L42</f>
        <v>0</v>
      </c>
      <c r="J75" s="16">
        <f>'CUOTA LTP'!M42</f>
        <v>0.10550000000000001</v>
      </c>
      <c r="K75" s="16">
        <f>'CUOTA LTP'!N42</f>
        <v>0</v>
      </c>
      <c r="L75" s="16">
        <f>'CUOTA LTP'!O42</f>
        <v>0.10550000000000001</v>
      </c>
      <c r="M75" s="22">
        <f>'CUOTA LTP'!P42</f>
        <v>0</v>
      </c>
      <c r="N75" s="17" t="s">
        <v>41</v>
      </c>
      <c r="O75" s="17">
        <f>'RESUMEN '!$B$3</f>
        <v>45789</v>
      </c>
      <c r="P75" s="15">
        <v>2025</v>
      </c>
      <c r="Q75" s="15"/>
    </row>
    <row r="76" spans="1:17" x14ac:dyDescent="0.25">
      <c r="A76" s="15" t="s">
        <v>10</v>
      </c>
      <c r="B76" s="15" t="s">
        <v>169</v>
      </c>
      <c r="C76" s="15" t="s">
        <v>70</v>
      </c>
      <c r="D76" s="15" t="s">
        <v>175</v>
      </c>
      <c r="E76" s="15" t="str">
        <f>'CUOTA LTP'!C44</f>
        <v>MOROZIN YURECIC MARIO</v>
      </c>
      <c r="F76" s="17">
        <v>45717</v>
      </c>
      <c r="G76" s="17">
        <v>45900</v>
      </c>
      <c r="H76" s="16">
        <f>'CUOTA LTP'!E44</f>
        <v>1.907E-2</v>
      </c>
      <c r="I76" s="16">
        <f>'CUOTA LTP'!F44</f>
        <v>0</v>
      </c>
      <c r="J76" s="16">
        <f>'CUOTA LTP'!G44</f>
        <v>1.907E-2</v>
      </c>
      <c r="K76" s="16">
        <f>'CUOTA LTP'!H44</f>
        <v>0</v>
      </c>
      <c r="L76" s="16">
        <f>'CUOTA LTP'!I44</f>
        <v>1.907E-2</v>
      </c>
      <c r="M76" s="22">
        <f>'CUOTA LTP'!J44</f>
        <v>0</v>
      </c>
      <c r="N76" s="17" t="s">
        <v>41</v>
      </c>
      <c r="O76" s="17">
        <f>'RESUMEN '!$B$3</f>
        <v>45789</v>
      </c>
      <c r="P76" s="15">
        <v>2025</v>
      </c>
      <c r="Q76" s="15"/>
    </row>
    <row r="77" spans="1:17" x14ac:dyDescent="0.25">
      <c r="A77" s="15" t="s">
        <v>10</v>
      </c>
      <c r="B77" s="15" t="s">
        <v>169</v>
      </c>
      <c r="C77" s="15" t="s">
        <v>70</v>
      </c>
      <c r="D77" s="15" t="s">
        <v>175</v>
      </c>
      <c r="E77" s="15" t="str">
        <f>'CUOTA LTP'!C44</f>
        <v>MOROZIN YURECIC MARIO</v>
      </c>
      <c r="F77" s="17">
        <v>45931</v>
      </c>
      <c r="G77" s="17">
        <v>46022</v>
      </c>
      <c r="H77" s="16">
        <f>'CUOTA LTP'!E45</f>
        <v>2.1099999999999999E-3</v>
      </c>
      <c r="I77" s="16">
        <f>'CUOTA LTP'!F45</f>
        <v>0</v>
      </c>
      <c r="J77" s="16">
        <f>'CUOTA LTP'!G45</f>
        <v>2.1180000000000001E-2</v>
      </c>
      <c r="K77" s="16">
        <f>'CUOTA LTP'!H45</f>
        <v>0</v>
      </c>
      <c r="L77" s="16">
        <f>'CUOTA LTP'!I45</f>
        <v>2.1180000000000001E-2</v>
      </c>
      <c r="M77" s="22">
        <f>'CUOTA LTP'!J45</f>
        <v>0</v>
      </c>
      <c r="N77" s="17" t="s">
        <v>41</v>
      </c>
      <c r="O77" s="17">
        <f>'RESUMEN '!$B$3</f>
        <v>45789</v>
      </c>
      <c r="P77" s="15">
        <v>2025</v>
      </c>
      <c r="Q77" s="15"/>
    </row>
    <row r="78" spans="1:17" x14ac:dyDescent="0.25">
      <c r="A78" s="15" t="s">
        <v>10</v>
      </c>
      <c r="B78" s="15" t="s">
        <v>169</v>
      </c>
      <c r="C78" s="15" t="s">
        <v>70</v>
      </c>
      <c r="D78" s="15" t="s">
        <v>175</v>
      </c>
      <c r="E78" s="15" t="str">
        <f>'CUOTA LTP'!C44</f>
        <v>MOROZIN YURECIC MARIO</v>
      </c>
      <c r="F78" s="17">
        <v>45658</v>
      </c>
      <c r="G78" s="17">
        <v>46022</v>
      </c>
      <c r="H78" s="16">
        <f>'CUOTA LTP'!K44</f>
        <v>2.1180000000000001E-2</v>
      </c>
      <c r="I78" s="16">
        <f>'CUOTA LTP'!L44</f>
        <v>0</v>
      </c>
      <c r="J78" s="16">
        <f>'CUOTA LTP'!M44</f>
        <v>2.1180000000000001E-2</v>
      </c>
      <c r="K78" s="16">
        <f>'CUOTA LTP'!N44</f>
        <v>0</v>
      </c>
      <c r="L78" s="16">
        <f>'CUOTA LTP'!O44</f>
        <v>2.1180000000000001E-2</v>
      </c>
      <c r="M78" s="22">
        <f>'CUOTA LTP'!P44</f>
        <v>0</v>
      </c>
      <c r="N78" s="17" t="s">
        <v>41</v>
      </c>
      <c r="O78" s="17">
        <f>'RESUMEN '!$B$3</f>
        <v>45789</v>
      </c>
      <c r="P78" s="15">
        <v>2025</v>
      </c>
      <c r="Q78" s="15"/>
    </row>
    <row r="79" spans="1:17" x14ac:dyDescent="0.25">
      <c r="A79" s="15" t="s">
        <v>10</v>
      </c>
      <c r="B79" s="15" t="s">
        <v>169</v>
      </c>
      <c r="C79" s="15" t="s">
        <v>70</v>
      </c>
      <c r="D79" s="15" t="s">
        <v>175</v>
      </c>
      <c r="E79" s="15" t="str">
        <f>'CUOTA LTP'!C46</f>
        <v>NAKAL SPA INV.</v>
      </c>
      <c r="F79" s="17">
        <v>45717</v>
      </c>
      <c r="G79" s="17">
        <v>45900</v>
      </c>
      <c r="H79" s="16">
        <f>'CUOTA LTP'!E46</f>
        <v>71.403329999999997</v>
      </c>
      <c r="I79" s="16">
        <f>'CUOTA LTP'!F46</f>
        <v>0</v>
      </c>
      <c r="J79" s="16">
        <f>'CUOTA LTP'!G46</f>
        <v>71.403329999999997</v>
      </c>
      <c r="K79" s="16">
        <f>'CUOTA LTP'!H46</f>
        <v>0</v>
      </c>
      <c r="L79" s="16">
        <f>'CUOTA LTP'!I46</f>
        <v>71.403329999999997</v>
      </c>
      <c r="M79" s="22">
        <f>'CUOTA LTP'!J46</f>
        <v>0</v>
      </c>
      <c r="N79" s="17" t="s">
        <v>41</v>
      </c>
      <c r="O79" s="17">
        <f>'RESUMEN '!$B$3</f>
        <v>45789</v>
      </c>
      <c r="P79" s="15">
        <v>2025</v>
      </c>
      <c r="Q79" s="15"/>
    </row>
    <row r="80" spans="1:17" x14ac:dyDescent="0.25">
      <c r="A80" s="15" t="s">
        <v>10</v>
      </c>
      <c r="B80" s="15" t="s">
        <v>169</v>
      </c>
      <c r="C80" s="15" t="s">
        <v>70</v>
      </c>
      <c r="D80" s="15" t="s">
        <v>175</v>
      </c>
      <c r="E80" s="15" t="str">
        <f>'CUOTA LTP'!C46</f>
        <v>NAKAL SPA INV.</v>
      </c>
      <c r="F80" s="17">
        <v>45931</v>
      </c>
      <c r="G80" s="17">
        <v>46022</v>
      </c>
      <c r="H80" s="16">
        <f>'CUOTA LTP'!E47</f>
        <v>7.9002600000000003</v>
      </c>
      <c r="I80" s="16">
        <f>'CUOTA LTP'!F47</f>
        <v>0</v>
      </c>
      <c r="J80" s="16">
        <f>'CUOTA LTP'!G47</f>
        <v>79.30359</v>
      </c>
      <c r="K80" s="16">
        <f>'CUOTA LTP'!H47</f>
        <v>0</v>
      </c>
      <c r="L80" s="16">
        <f>'CUOTA LTP'!I47</f>
        <v>79.30359</v>
      </c>
      <c r="M80" s="22">
        <f>'CUOTA LTP'!J47</f>
        <v>0</v>
      </c>
      <c r="N80" s="17" t="s">
        <v>41</v>
      </c>
      <c r="O80" s="17">
        <f>'RESUMEN '!$B$3</f>
        <v>45789</v>
      </c>
      <c r="P80" s="15">
        <v>2025</v>
      </c>
      <c r="Q80" s="15"/>
    </row>
    <row r="81" spans="1:17" x14ac:dyDescent="0.25">
      <c r="A81" s="15" t="s">
        <v>10</v>
      </c>
      <c r="B81" s="15" t="s">
        <v>169</v>
      </c>
      <c r="C81" s="15" t="s">
        <v>70</v>
      </c>
      <c r="D81" s="15" t="s">
        <v>175</v>
      </c>
      <c r="E81" s="15" t="str">
        <f>'CUOTA LTP'!C46</f>
        <v>NAKAL SPA INV.</v>
      </c>
      <c r="F81" s="17">
        <v>45658</v>
      </c>
      <c r="G81" s="17">
        <v>46022</v>
      </c>
      <c r="H81" s="16">
        <f>'CUOTA LTP'!K46</f>
        <v>79.30359</v>
      </c>
      <c r="I81" s="16">
        <f>'CUOTA LTP'!L46</f>
        <v>0</v>
      </c>
      <c r="J81" s="16">
        <f>'CUOTA LTP'!M46</f>
        <v>79.30359</v>
      </c>
      <c r="K81" s="16">
        <f>'CUOTA LTP'!N46</f>
        <v>0</v>
      </c>
      <c r="L81" s="16">
        <f>'CUOTA LTP'!O46</f>
        <v>79.30359</v>
      </c>
      <c r="M81" s="22">
        <f>'CUOTA LTP'!P46</f>
        <v>0</v>
      </c>
      <c r="N81" s="17" t="s">
        <v>41</v>
      </c>
      <c r="O81" s="17">
        <f>'RESUMEN '!$B$3</f>
        <v>45789</v>
      </c>
      <c r="P81" s="15">
        <v>2025</v>
      </c>
      <c r="Q81" s="15"/>
    </row>
    <row r="82" spans="1:17" x14ac:dyDescent="0.25">
      <c r="A82" s="15" t="s">
        <v>10</v>
      </c>
      <c r="B82" s="15" t="s">
        <v>169</v>
      </c>
      <c r="C82" s="15" t="s">
        <v>70</v>
      </c>
      <c r="D82" s="15" t="s">
        <v>175</v>
      </c>
      <c r="E82" s="15" t="str">
        <f>'CUOTA LTP'!C48</f>
        <v>NORDIOMAR SPA SOC. PESQ.</v>
      </c>
      <c r="F82" s="17">
        <v>45717</v>
      </c>
      <c r="G82" s="17">
        <v>45900</v>
      </c>
      <c r="H82" s="16">
        <f>'CUOTA LTP'!E48</f>
        <v>0.37959999999999999</v>
      </c>
      <c r="I82" s="16">
        <f>'CUOTA LTP'!F48</f>
        <v>0</v>
      </c>
      <c r="J82" s="16">
        <f>'CUOTA LTP'!G48</f>
        <v>0.37959999999999999</v>
      </c>
      <c r="K82" s="16">
        <f>'CUOTA LTP'!H48</f>
        <v>0</v>
      </c>
      <c r="L82" s="16">
        <f>'CUOTA LTP'!I48</f>
        <v>0.37959999999999999</v>
      </c>
      <c r="M82" s="22">
        <f>'CUOTA LTP'!J48</f>
        <v>0</v>
      </c>
      <c r="N82" s="17" t="s">
        <v>41</v>
      </c>
      <c r="O82" s="17">
        <f>'RESUMEN '!$B$3</f>
        <v>45789</v>
      </c>
      <c r="P82" s="15">
        <v>2025</v>
      </c>
      <c r="Q82" s="15"/>
    </row>
    <row r="83" spans="1:17" x14ac:dyDescent="0.25">
      <c r="A83" s="15" t="s">
        <v>10</v>
      </c>
      <c r="B83" s="15" t="s">
        <v>169</v>
      </c>
      <c r="C83" s="15" t="s">
        <v>70</v>
      </c>
      <c r="D83" s="15" t="s">
        <v>175</v>
      </c>
      <c r="E83" s="15" t="str">
        <f>'CUOTA LTP'!C48</f>
        <v>NORDIOMAR SPA SOC. PESQ.</v>
      </c>
      <c r="F83" s="17">
        <v>45931</v>
      </c>
      <c r="G83" s="17">
        <v>46022</v>
      </c>
      <c r="H83" s="16">
        <f>'CUOTA LTP'!E49</f>
        <v>4.2000000000000003E-2</v>
      </c>
      <c r="I83" s="16">
        <f>'CUOTA LTP'!F49</f>
        <v>0</v>
      </c>
      <c r="J83" s="16">
        <f>'CUOTA LTP'!G49</f>
        <v>0.42159999999999997</v>
      </c>
      <c r="K83" s="16">
        <f>'CUOTA LTP'!H49</f>
        <v>0</v>
      </c>
      <c r="L83" s="16">
        <f>'CUOTA LTP'!I49</f>
        <v>0.42159999999999997</v>
      </c>
      <c r="M83" s="22">
        <f>'CUOTA LTP'!J49</f>
        <v>0</v>
      </c>
      <c r="N83" s="17" t="s">
        <v>41</v>
      </c>
      <c r="O83" s="17">
        <f>'RESUMEN '!$B$3</f>
        <v>45789</v>
      </c>
      <c r="P83" s="15">
        <v>2025</v>
      </c>
      <c r="Q83" s="15"/>
    </row>
    <row r="84" spans="1:17" x14ac:dyDescent="0.25">
      <c r="A84" s="15" t="s">
        <v>10</v>
      </c>
      <c r="B84" s="15" t="s">
        <v>169</v>
      </c>
      <c r="C84" s="15" t="s">
        <v>70</v>
      </c>
      <c r="D84" s="15" t="s">
        <v>175</v>
      </c>
      <c r="E84" s="15" t="str">
        <f>'CUOTA LTP'!C48</f>
        <v>NORDIOMAR SPA SOC. PESQ.</v>
      </c>
      <c r="F84" s="17">
        <v>45658</v>
      </c>
      <c r="G84" s="17">
        <v>46022</v>
      </c>
      <c r="H84" s="16">
        <f>'CUOTA LTP'!K48</f>
        <v>0.42159999999999997</v>
      </c>
      <c r="I84" s="16">
        <f>'CUOTA LTP'!L48</f>
        <v>0</v>
      </c>
      <c r="J84" s="16">
        <f>'CUOTA LTP'!M48</f>
        <v>0.42159999999999997</v>
      </c>
      <c r="K84" s="16">
        <f>'CUOTA LTP'!N48</f>
        <v>0</v>
      </c>
      <c r="L84" s="16">
        <f>'CUOTA LTP'!O48</f>
        <v>0.42159999999999997</v>
      </c>
      <c r="M84" s="22">
        <f>'CUOTA LTP'!P48</f>
        <v>0</v>
      </c>
      <c r="N84" s="17" t="s">
        <v>41</v>
      </c>
      <c r="O84" s="17">
        <f>'RESUMEN '!$B$3</f>
        <v>45789</v>
      </c>
      <c r="P84" s="15">
        <v>2025</v>
      </c>
      <c r="Q84" s="15"/>
    </row>
    <row r="85" spans="1:17" x14ac:dyDescent="0.25">
      <c r="A85" s="15" t="s">
        <v>10</v>
      </c>
      <c r="B85" s="15" t="s">
        <v>169</v>
      </c>
      <c r="C85" s="15" t="s">
        <v>70</v>
      </c>
      <c r="D85" s="15" t="s">
        <v>175</v>
      </c>
      <c r="E85" s="15" t="str">
        <f>'CUOTA LTP'!C50</f>
        <v>ENFERMAR LTDA. SOC. PESQ.</v>
      </c>
      <c r="F85" s="17">
        <v>45717</v>
      </c>
      <c r="G85" s="17">
        <v>45900</v>
      </c>
      <c r="H85" s="16">
        <f>'CUOTA LTP'!E50</f>
        <v>0.38918000000000003</v>
      </c>
      <c r="I85" s="16">
        <f>'CUOTA LTP'!F50</f>
        <v>0</v>
      </c>
      <c r="J85" s="16">
        <f>'CUOTA LTP'!G50</f>
        <v>0.38918000000000003</v>
      </c>
      <c r="K85" s="16">
        <f>'CUOTA LTP'!H50</f>
        <v>0</v>
      </c>
      <c r="L85" s="16">
        <f>'CUOTA LTP'!I50</f>
        <v>0.38918000000000003</v>
      </c>
      <c r="M85" s="22">
        <f>'CUOTA LTP'!J50</f>
        <v>0</v>
      </c>
      <c r="N85" s="17" t="s">
        <v>41</v>
      </c>
      <c r="O85" s="17">
        <f>'RESUMEN '!$B$3</f>
        <v>45789</v>
      </c>
      <c r="P85" s="15">
        <v>2025</v>
      </c>
      <c r="Q85" s="15"/>
    </row>
    <row r="86" spans="1:17" x14ac:dyDescent="0.25">
      <c r="A86" s="15" t="s">
        <v>10</v>
      </c>
      <c r="B86" s="15" t="s">
        <v>169</v>
      </c>
      <c r="C86" s="15" t="s">
        <v>70</v>
      </c>
      <c r="D86" s="15" t="s">
        <v>175</v>
      </c>
      <c r="E86" s="15" t="str">
        <f>'CUOTA LTP'!C50</f>
        <v>ENFERMAR LTDA. SOC. PESQ.</v>
      </c>
      <c r="F86" s="17">
        <v>45931</v>
      </c>
      <c r="G86" s="17">
        <v>46022</v>
      </c>
      <c r="H86" s="16">
        <f>'CUOTA LTP'!E51</f>
        <v>4.3060000000000001E-2</v>
      </c>
      <c r="I86" s="16">
        <f>'CUOTA LTP'!F51</f>
        <v>0</v>
      </c>
      <c r="J86" s="16">
        <f>'CUOTA LTP'!G51</f>
        <v>0.43224000000000001</v>
      </c>
      <c r="K86" s="16">
        <f>'CUOTA LTP'!H51</f>
        <v>0</v>
      </c>
      <c r="L86" s="16">
        <f>'CUOTA LTP'!I51</f>
        <v>0.43224000000000001</v>
      </c>
      <c r="M86" s="22">
        <f>'CUOTA LTP'!J51</f>
        <v>0</v>
      </c>
      <c r="N86" s="17" t="s">
        <v>41</v>
      </c>
      <c r="O86" s="17">
        <f>'RESUMEN '!$B$3</f>
        <v>45789</v>
      </c>
      <c r="P86" s="15">
        <v>2025</v>
      </c>
      <c r="Q86" s="15"/>
    </row>
    <row r="87" spans="1:17" x14ac:dyDescent="0.25">
      <c r="A87" s="15" t="s">
        <v>10</v>
      </c>
      <c r="B87" s="15" t="s">
        <v>169</v>
      </c>
      <c r="C87" s="15" t="s">
        <v>70</v>
      </c>
      <c r="D87" s="15" t="s">
        <v>175</v>
      </c>
      <c r="E87" s="15" t="str">
        <f>'CUOTA LTP'!C50</f>
        <v>ENFERMAR LTDA. SOC. PESQ.</v>
      </c>
      <c r="F87" s="17">
        <v>45658</v>
      </c>
      <c r="G87" s="17">
        <v>46022</v>
      </c>
      <c r="H87" s="16">
        <f>'CUOTA LTP'!K50</f>
        <v>0.43224000000000001</v>
      </c>
      <c r="I87" s="16">
        <f>'CUOTA LTP'!L50</f>
        <v>0</v>
      </c>
      <c r="J87" s="16">
        <f>'CUOTA LTP'!M50</f>
        <v>0.43224000000000001</v>
      </c>
      <c r="K87" s="16">
        <f>'CUOTA LTP'!N50</f>
        <v>0</v>
      </c>
      <c r="L87" s="16">
        <f>'CUOTA LTP'!O50</f>
        <v>0.43224000000000001</v>
      </c>
      <c r="M87" s="22">
        <f>'CUOTA LTP'!P50</f>
        <v>0</v>
      </c>
      <c r="N87" s="17" t="s">
        <v>41</v>
      </c>
      <c r="O87" s="17">
        <f>'RESUMEN '!$B$3</f>
        <v>45789</v>
      </c>
      <c r="P87" s="15">
        <v>2025</v>
      </c>
      <c r="Q87" s="15"/>
    </row>
    <row r="88" spans="1:17" x14ac:dyDescent="0.25">
      <c r="A88" s="18" t="s">
        <v>10</v>
      </c>
      <c r="B88" s="18" t="s">
        <v>169</v>
      </c>
      <c r="C88" s="18" t="s">
        <v>172</v>
      </c>
      <c r="D88" s="18" t="s">
        <v>176</v>
      </c>
      <c r="E88" s="18" t="s">
        <v>177</v>
      </c>
      <c r="F88" s="20">
        <v>45658</v>
      </c>
      <c r="G88" s="20">
        <v>46022</v>
      </c>
      <c r="H88" s="19">
        <f>'CUOTA LTP'!E54</f>
        <v>1108.9998999999998</v>
      </c>
      <c r="I88" s="19">
        <f>'CUOTA LTP'!F54</f>
        <v>73.319999999999993</v>
      </c>
      <c r="J88" s="19">
        <f>'CUOTA LTP'!G54</f>
        <v>1182.3198999999997</v>
      </c>
      <c r="K88" s="19">
        <f>'CUOTA LTP'!H54</f>
        <v>447.53100000000001</v>
      </c>
      <c r="L88" s="19">
        <f>'CUOTA LTP'!I54</f>
        <v>734.78889999999978</v>
      </c>
      <c r="M88" s="23">
        <f>'CUOTA LTP'!J54</f>
        <v>0.37851938379790451</v>
      </c>
      <c r="N88" s="20" t="s">
        <v>41</v>
      </c>
      <c r="O88" s="20">
        <f>'RESUMEN '!$B$3</f>
        <v>45789</v>
      </c>
      <c r="P88" s="15">
        <v>2025</v>
      </c>
      <c r="Q88" s="15"/>
    </row>
    <row r="89" spans="1:17" x14ac:dyDescent="0.25">
      <c r="A89" s="15" t="s">
        <v>178</v>
      </c>
      <c r="B89" s="15" t="s">
        <v>169</v>
      </c>
      <c r="C89" s="15" t="s">
        <v>94</v>
      </c>
      <c r="D89" s="15" t="s">
        <v>179</v>
      </c>
      <c r="E89" s="15" t="str">
        <f>'CUOTA LICITADA'!C13</f>
        <v>ANTARTIC SEAFOOD S.A.</v>
      </c>
      <c r="F89" s="17">
        <v>45717</v>
      </c>
      <c r="G89" s="17">
        <v>45900</v>
      </c>
      <c r="H89" s="16">
        <f>'CUOTA LICITADA'!F13</f>
        <v>164.08805000000001</v>
      </c>
      <c r="I89" s="16">
        <f>'CUOTA LICITADA'!G13</f>
        <v>0</v>
      </c>
      <c r="J89" s="16">
        <f>'CUOTA LICITADA'!H13</f>
        <v>164.08805000000001</v>
      </c>
      <c r="K89" s="16">
        <f>'CUOTA LICITADA'!I13</f>
        <v>114.113</v>
      </c>
      <c r="L89" s="16">
        <f>'CUOTA LICITADA'!J13</f>
        <v>49.97505000000001</v>
      </c>
      <c r="M89" s="22">
        <f>'CUOTA LICITADA'!K13</f>
        <v>0.69543760194602833</v>
      </c>
      <c r="N89" s="17" t="s">
        <v>41</v>
      </c>
      <c r="O89" s="17">
        <f>'RESUMEN '!$B$3</f>
        <v>45789</v>
      </c>
      <c r="P89" s="15">
        <v>2025</v>
      </c>
      <c r="Q89" s="15"/>
    </row>
    <row r="90" spans="1:17" x14ac:dyDescent="0.25">
      <c r="A90" s="15" t="s">
        <v>178</v>
      </c>
      <c r="B90" s="15" t="s">
        <v>169</v>
      </c>
      <c r="C90" s="15" t="s">
        <v>94</v>
      </c>
      <c r="D90" s="15" t="s">
        <v>179</v>
      </c>
      <c r="E90" s="15" t="str">
        <f>'CUOTA LICITADA'!C13</f>
        <v>ANTARTIC SEAFOOD S.A.</v>
      </c>
      <c r="F90" s="17">
        <v>45931</v>
      </c>
      <c r="G90" s="17">
        <v>46022</v>
      </c>
      <c r="H90" s="16">
        <f>'CUOTA LICITADA'!F14</f>
        <v>18.173050000000003</v>
      </c>
      <c r="I90" s="16">
        <f>'CUOTA LICITADA'!G14</f>
        <v>0</v>
      </c>
      <c r="J90" s="16">
        <f>'CUOTA LICITADA'!H14</f>
        <v>68.148100000000014</v>
      </c>
      <c r="K90" s="16">
        <f>'CUOTA LICITADA'!I14</f>
        <v>0</v>
      </c>
      <c r="L90" s="16">
        <f>'CUOTA LICITADA'!J14</f>
        <v>68.148100000000014</v>
      </c>
      <c r="M90" s="22">
        <f>'CUOTA LICITADA'!K14</f>
        <v>0</v>
      </c>
      <c r="N90" s="17" t="s">
        <v>41</v>
      </c>
      <c r="O90" s="17">
        <f>'RESUMEN '!$B$3</f>
        <v>45789</v>
      </c>
      <c r="P90" s="15">
        <v>2025</v>
      </c>
      <c r="Q90" s="15"/>
    </row>
    <row r="91" spans="1:17" x14ac:dyDescent="0.25">
      <c r="A91" s="15" t="s">
        <v>178</v>
      </c>
      <c r="B91" s="15" t="s">
        <v>169</v>
      </c>
      <c r="C91" s="15" t="s">
        <v>94</v>
      </c>
      <c r="D91" s="15" t="s">
        <v>179</v>
      </c>
      <c r="E91" s="15" t="str">
        <f>'CUOTA LICITADA'!C13</f>
        <v>ANTARTIC SEAFOOD S.A.</v>
      </c>
      <c r="F91" s="17">
        <v>45658</v>
      </c>
      <c r="G91" s="17">
        <v>46022</v>
      </c>
      <c r="H91" s="16">
        <f>'CUOTA LICITADA'!L13</f>
        <v>182.2611</v>
      </c>
      <c r="I91" s="16">
        <f>'CUOTA LICITADA'!M13</f>
        <v>0</v>
      </c>
      <c r="J91" s="16">
        <f>'CUOTA LICITADA'!N13</f>
        <v>182.2611</v>
      </c>
      <c r="K91" s="16">
        <f>'CUOTA LICITADA'!O13</f>
        <v>114.113</v>
      </c>
      <c r="L91" s="16">
        <f>'CUOTA LICITADA'!P13</f>
        <v>68.148099999999999</v>
      </c>
      <c r="M91" s="22">
        <f>'CUOTA LICITADA'!Q13</f>
        <v>0.62609629811298184</v>
      </c>
      <c r="N91" s="17" t="s">
        <v>41</v>
      </c>
      <c r="O91" s="17">
        <f>'RESUMEN '!$B$3</f>
        <v>45789</v>
      </c>
      <c r="P91" s="15">
        <v>2025</v>
      </c>
      <c r="Q91" s="15"/>
    </row>
    <row r="92" spans="1:17" x14ac:dyDescent="0.25">
      <c r="A92" s="15" t="s">
        <v>178</v>
      </c>
      <c r="B92" s="15" t="s">
        <v>169</v>
      </c>
      <c r="C92" s="15" t="s">
        <v>94</v>
      </c>
      <c r="D92" s="15" t="s">
        <v>179</v>
      </c>
      <c r="E92" s="15" t="str">
        <f>'CUOTA LICITADA'!C15</f>
        <v>QUINTERO S.A. PESQ.</v>
      </c>
      <c r="F92" s="17">
        <v>45717</v>
      </c>
      <c r="G92" s="17">
        <v>45900</v>
      </c>
      <c r="H92" s="16">
        <f>'CUOTA LICITADA'!F15</f>
        <v>25.261296540000004</v>
      </c>
      <c r="I92" s="16">
        <f>'CUOTA LICITADA'!G15</f>
        <v>0</v>
      </c>
      <c r="J92" s="16">
        <f>'CUOTA LICITADA'!H15</f>
        <v>25.261296540000004</v>
      </c>
      <c r="K92" s="16">
        <f>'CUOTA LICITADA'!I15</f>
        <v>0</v>
      </c>
      <c r="L92" s="16">
        <f>'CUOTA LICITADA'!J15</f>
        <v>25.261296540000004</v>
      </c>
      <c r="M92" s="22">
        <f>'CUOTA LICITADA'!K15</f>
        <v>0</v>
      </c>
      <c r="N92" s="17" t="s">
        <v>41</v>
      </c>
      <c r="O92" s="17">
        <f>'RESUMEN '!$B$3</f>
        <v>45789</v>
      </c>
      <c r="P92" s="15">
        <v>2025</v>
      </c>
      <c r="Q92" s="15"/>
    </row>
    <row r="93" spans="1:17" x14ac:dyDescent="0.25">
      <c r="A93" s="15" t="s">
        <v>178</v>
      </c>
      <c r="B93" s="15" t="s">
        <v>169</v>
      </c>
      <c r="C93" s="15" t="s">
        <v>94</v>
      </c>
      <c r="D93" s="15" t="s">
        <v>179</v>
      </c>
      <c r="E93" s="15" t="str">
        <f>'CUOTA LICITADA'!C15</f>
        <v>QUINTERO S.A. PESQ.</v>
      </c>
      <c r="F93" s="17">
        <v>45931</v>
      </c>
      <c r="G93" s="17">
        <v>46022</v>
      </c>
      <c r="H93" s="16">
        <f>'CUOTA LICITADA'!F16</f>
        <v>2.7977345400000004</v>
      </c>
      <c r="I93" s="16">
        <f>'CUOTA LICITADA'!G16</f>
        <v>0</v>
      </c>
      <c r="J93" s="16">
        <f>'CUOTA LICITADA'!H16</f>
        <v>28.059031080000004</v>
      </c>
      <c r="K93" s="16">
        <f>'CUOTA LICITADA'!I16</f>
        <v>0</v>
      </c>
      <c r="L93" s="16">
        <f>'CUOTA LICITADA'!J16</f>
        <v>28.059031080000004</v>
      </c>
      <c r="M93" s="22">
        <f>'CUOTA LICITADA'!K16</f>
        <v>0</v>
      </c>
      <c r="N93" s="17" t="s">
        <v>41</v>
      </c>
      <c r="O93" s="17">
        <f>'RESUMEN '!$B$3</f>
        <v>45789</v>
      </c>
      <c r="P93" s="15">
        <v>2025</v>
      </c>
      <c r="Q93" s="15"/>
    </row>
    <row r="94" spans="1:17" x14ac:dyDescent="0.25">
      <c r="A94" s="15" t="s">
        <v>178</v>
      </c>
      <c r="B94" s="15" t="s">
        <v>169</v>
      </c>
      <c r="C94" s="15" t="s">
        <v>94</v>
      </c>
      <c r="D94" s="15" t="s">
        <v>179</v>
      </c>
      <c r="E94" s="15" t="str">
        <f>'CUOTA LICITADA'!C15</f>
        <v>QUINTERO S.A. PESQ.</v>
      </c>
      <c r="F94" s="17">
        <v>45658</v>
      </c>
      <c r="G94" s="17">
        <v>46022</v>
      </c>
      <c r="H94" s="16">
        <f>'CUOTA LICITADA'!L15</f>
        <v>28.059031080000004</v>
      </c>
      <c r="I94" s="16">
        <f>'CUOTA LICITADA'!M15</f>
        <v>0</v>
      </c>
      <c r="J94" s="16">
        <f>'CUOTA LICITADA'!N15</f>
        <v>28.059031080000004</v>
      </c>
      <c r="K94" s="16">
        <f>'CUOTA LICITADA'!O15</f>
        <v>0</v>
      </c>
      <c r="L94" s="16">
        <f>'CUOTA LICITADA'!P15</f>
        <v>28.059031080000004</v>
      </c>
      <c r="M94" s="22">
        <f>'CUOTA LICITADA'!Q15</f>
        <v>0</v>
      </c>
      <c r="N94" s="17" t="s">
        <v>41</v>
      </c>
      <c r="O94" s="17">
        <f>'RESUMEN '!$B$3</f>
        <v>45789</v>
      </c>
      <c r="P94" s="15">
        <v>2025</v>
      </c>
      <c r="Q94" s="15"/>
    </row>
    <row r="95" spans="1:17" x14ac:dyDescent="0.25">
      <c r="A95" s="15" t="s">
        <v>178</v>
      </c>
      <c r="B95" s="15" t="s">
        <v>169</v>
      </c>
      <c r="C95" s="15" t="s">
        <v>94</v>
      </c>
      <c r="D95" s="15" t="s">
        <v>179</v>
      </c>
      <c r="E95" s="15" t="str">
        <f>'CUOTA LICITADA'!C17</f>
        <v>BRACPESCA S.A.</v>
      </c>
      <c r="F95" s="17">
        <v>45717</v>
      </c>
      <c r="G95" s="17">
        <v>45900</v>
      </c>
      <c r="H95" s="16">
        <f>'CUOTA LICITADA'!F17</f>
        <v>319.39339999999999</v>
      </c>
      <c r="I95" s="16">
        <f>'CUOTA LICITADA'!G17</f>
        <v>0</v>
      </c>
      <c r="J95" s="16">
        <f>'CUOTA LICITADA'!H17</f>
        <v>319.39339999999999</v>
      </c>
      <c r="K95" s="16">
        <f>'CUOTA LICITADA'!I17</f>
        <v>2.452</v>
      </c>
      <c r="L95" s="16">
        <f>'CUOTA LICITADA'!J17</f>
        <v>316.94139999999999</v>
      </c>
      <c r="M95" s="22">
        <f>'CUOTA LICITADA'!K17</f>
        <v>7.6770528132390969E-3</v>
      </c>
      <c r="N95" s="17" t="s">
        <v>41</v>
      </c>
      <c r="O95" s="17">
        <f>'RESUMEN '!$B$3</f>
        <v>45789</v>
      </c>
      <c r="P95" s="15">
        <v>2025</v>
      </c>
      <c r="Q95" s="15"/>
    </row>
    <row r="96" spans="1:17" x14ac:dyDescent="0.25">
      <c r="A96" s="15" t="s">
        <v>178</v>
      </c>
      <c r="B96" s="15" t="s">
        <v>169</v>
      </c>
      <c r="C96" s="15" t="s">
        <v>94</v>
      </c>
      <c r="D96" s="15" t="s">
        <v>179</v>
      </c>
      <c r="E96" s="15" t="str">
        <f>'CUOTA LICITADA'!C17</f>
        <v>BRACPESCA S.A.</v>
      </c>
      <c r="F96" s="17">
        <v>45931</v>
      </c>
      <c r="G96" s="17">
        <v>46022</v>
      </c>
      <c r="H96" s="16">
        <f>'CUOTA LICITADA'!F18</f>
        <v>35.373399999999997</v>
      </c>
      <c r="I96" s="16">
        <f>'CUOTA LICITADA'!G18</f>
        <v>0</v>
      </c>
      <c r="J96" s="16">
        <f>'CUOTA LICITADA'!H18</f>
        <v>352.31479999999999</v>
      </c>
      <c r="K96" s="16">
        <f>'CUOTA LICITADA'!I18</f>
        <v>0</v>
      </c>
      <c r="L96" s="16">
        <f>'CUOTA LICITADA'!J18</f>
        <v>352.31479999999999</v>
      </c>
      <c r="M96" s="22">
        <f>'CUOTA LICITADA'!K18</f>
        <v>0</v>
      </c>
      <c r="N96" s="17" t="s">
        <v>41</v>
      </c>
      <c r="O96" s="17">
        <f>'RESUMEN '!$B$3</f>
        <v>45789</v>
      </c>
      <c r="P96" s="15">
        <v>2025</v>
      </c>
      <c r="Q96" s="15"/>
    </row>
    <row r="97" spans="1:17" x14ac:dyDescent="0.25">
      <c r="A97" s="15" t="s">
        <v>178</v>
      </c>
      <c r="B97" s="15" t="s">
        <v>169</v>
      </c>
      <c r="C97" s="15" t="s">
        <v>94</v>
      </c>
      <c r="D97" s="15" t="s">
        <v>179</v>
      </c>
      <c r="E97" s="15" t="str">
        <f>'CUOTA LICITADA'!C17</f>
        <v>BRACPESCA S.A.</v>
      </c>
      <c r="F97" s="17">
        <v>45658</v>
      </c>
      <c r="G97" s="17">
        <v>46022</v>
      </c>
      <c r="H97" s="16">
        <f>'CUOTA LICITADA'!L17</f>
        <v>354.76679999999999</v>
      </c>
      <c r="I97" s="16">
        <f>'CUOTA LICITADA'!M17</f>
        <v>0</v>
      </c>
      <c r="J97" s="16">
        <f>'CUOTA LICITADA'!N17</f>
        <v>354.76679999999999</v>
      </c>
      <c r="K97" s="16">
        <f>'CUOTA LICITADA'!O17</f>
        <v>2.452</v>
      </c>
      <c r="L97" s="16">
        <f>'CUOTA LICITADA'!P17</f>
        <v>352.31479999999999</v>
      </c>
      <c r="M97" s="22">
        <f>'CUOTA LICITADA'!Q17</f>
        <v>6.9115824817880369E-3</v>
      </c>
      <c r="N97" s="17" t="s">
        <v>41</v>
      </c>
      <c r="O97" s="17">
        <f>'RESUMEN '!$B$3</f>
        <v>45789</v>
      </c>
      <c r="P97" s="15">
        <v>2025</v>
      </c>
      <c r="Q97" s="15"/>
    </row>
    <row r="98" spans="1:17" x14ac:dyDescent="0.25">
      <c r="A98" s="15" t="s">
        <v>178</v>
      </c>
      <c r="B98" s="15" t="s">
        <v>169</v>
      </c>
      <c r="C98" s="15" t="s">
        <v>94</v>
      </c>
      <c r="D98" s="15" t="s">
        <v>179</v>
      </c>
      <c r="E98" s="15" t="str">
        <f>'CUOTA LICITADA'!C19</f>
        <v>ANTONIO CRUZ CORDOVA NAKOUZI E.I.R.L.</v>
      </c>
      <c r="F98" s="17">
        <v>45717</v>
      </c>
      <c r="G98" s="17">
        <v>45900</v>
      </c>
      <c r="H98" s="16">
        <f>'CUOTA LICITADA'!F19</f>
        <v>2.3667149899999997</v>
      </c>
      <c r="I98" s="16">
        <f>'CUOTA LICITADA'!G19</f>
        <v>0</v>
      </c>
      <c r="J98" s="16">
        <f>'CUOTA LICITADA'!H19</f>
        <v>2.3667149899999997</v>
      </c>
      <c r="K98" s="16">
        <f>'CUOTA LICITADA'!I19</f>
        <v>0</v>
      </c>
      <c r="L98" s="16">
        <f>'CUOTA LICITADA'!J19</f>
        <v>2.3667149899999997</v>
      </c>
      <c r="M98" s="22">
        <f>'CUOTA LICITADA'!K19</f>
        <v>0</v>
      </c>
      <c r="N98" s="17" t="s">
        <v>41</v>
      </c>
      <c r="O98" s="17">
        <f>'RESUMEN '!$B$3</f>
        <v>45789</v>
      </c>
      <c r="P98" s="15">
        <v>2025</v>
      </c>
      <c r="Q98" s="15"/>
    </row>
    <row r="99" spans="1:17" x14ac:dyDescent="0.25">
      <c r="A99" s="15" t="s">
        <v>178</v>
      </c>
      <c r="B99" s="15" t="s">
        <v>169</v>
      </c>
      <c r="C99" s="15" t="s">
        <v>94</v>
      </c>
      <c r="D99" s="15" t="s">
        <v>179</v>
      </c>
      <c r="E99" s="15" t="str">
        <f>'CUOTA LICITADA'!C19</f>
        <v>ANTONIO CRUZ CORDOVA NAKOUZI E.I.R.L.</v>
      </c>
      <c r="F99" s="17">
        <v>45931</v>
      </c>
      <c r="G99" s="17">
        <v>46022</v>
      </c>
      <c r="H99" s="16">
        <f>'CUOTA LICITADA'!F20</f>
        <v>0.26211798999999997</v>
      </c>
      <c r="I99" s="16">
        <f>'CUOTA LICITADA'!G20</f>
        <v>0</v>
      </c>
      <c r="J99" s="16">
        <f>'CUOTA LICITADA'!H20</f>
        <v>2.6288329799999999</v>
      </c>
      <c r="K99" s="16">
        <f>'CUOTA LICITADA'!I20</f>
        <v>0</v>
      </c>
      <c r="L99" s="16">
        <f>'CUOTA LICITADA'!J20</f>
        <v>2.6288329799999999</v>
      </c>
      <c r="M99" s="22">
        <f>'CUOTA LICITADA'!K20</f>
        <v>0</v>
      </c>
      <c r="N99" s="17" t="s">
        <v>41</v>
      </c>
      <c r="O99" s="17">
        <f>'RESUMEN '!$B$3</f>
        <v>45789</v>
      </c>
      <c r="P99" s="15">
        <v>2025</v>
      </c>
      <c r="Q99" s="15"/>
    </row>
    <row r="100" spans="1:17" x14ac:dyDescent="0.25">
      <c r="A100" s="15" t="s">
        <v>178</v>
      </c>
      <c r="B100" s="15" t="s">
        <v>169</v>
      </c>
      <c r="C100" s="15" t="s">
        <v>94</v>
      </c>
      <c r="D100" s="15" t="s">
        <v>179</v>
      </c>
      <c r="E100" s="15" t="str">
        <f>'CUOTA LICITADA'!C19</f>
        <v>ANTONIO CRUZ CORDOVA NAKOUZI E.I.R.L.</v>
      </c>
      <c r="F100" s="17">
        <v>45658</v>
      </c>
      <c r="G100" s="17">
        <v>46022</v>
      </c>
      <c r="H100" s="16">
        <f>'CUOTA LICITADA'!L19</f>
        <v>2.6288329799999999</v>
      </c>
      <c r="I100" s="16">
        <f>'CUOTA LICITADA'!M19</f>
        <v>0</v>
      </c>
      <c r="J100" s="16">
        <f>'CUOTA LICITADA'!N19</f>
        <v>2.6288329799999999</v>
      </c>
      <c r="K100" s="16">
        <f>'CUOTA LICITADA'!O19</f>
        <v>0</v>
      </c>
      <c r="L100" s="16">
        <f>'CUOTA LICITADA'!P19</f>
        <v>2.6288329799999999</v>
      </c>
      <c r="M100" s="22">
        <f>'CUOTA LICITADA'!Q19</f>
        <v>0</v>
      </c>
      <c r="N100" s="17" t="s">
        <v>41</v>
      </c>
      <c r="O100" s="17">
        <f>'RESUMEN '!$B$3</f>
        <v>45789</v>
      </c>
      <c r="P100" s="15">
        <v>2025</v>
      </c>
      <c r="Q100" s="15"/>
    </row>
    <row r="101" spans="1:17" x14ac:dyDescent="0.25">
      <c r="A101" s="15" t="s">
        <v>178</v>
      </c>
      <c r="B101" s="15" t="s">
        <v>169</v>
      </c>
      <c r="C101" s="15" t="s">
        <v>94</v>
      </c>
      <c r="D101" s="15" t="s">
        <v>179</v>
      </c>
      <c r="E101" s="15" t="str">
        <f>'CUOTA LICITADA'!C21</f>
        <v>GRIMAR S.A. PESQ.</v>
      </c>
      <c r="F101" s="17">
        <v>45717</v>
      </c>
      <c r="G101" s="17">
        <v>45900</v>
      </c>
      <c r="H101" s="16">
        <f>'CUOTA LICITADA'!F21</f>
        <v>0.44993401000000005</v>
      </c>
      <c r="I101" s="16">
        <f>'CUOTA LICITADA'!G21</f>
        <v>0</v>
      </c>
      <c r="J101" s="16">
        <f>'CUOTA LICITADA'!H21</f>
        <v>0.44993401000000005</v>
      </c>
      <c r="K101" s="16">
        <f>'CUOTA LICITADA'!I21</f>
        <v>0</v>
      </c>
      <c r="L101" s="16">
        <f>'CUOTA LICITADA'!J21</f>
        <v>0.44993401000000005</v>
      </c>
      <c r="M101" s="22">
        <f>'CUOTA LICITADA'!K21</f>
        <v>0</v>
      </c>
      <c r="N101" s="17" t="s">
        <v>41</v>
      </c>
      <c r="O101" s="17">
        <f>'RESUMEN '!$B$3</f>
        <v>45789</v>
      </c>
      <c r="P101" s="15">
        <v>2025</v>
      </c>
      <c r="Q101" s="15"/>
    </row>
    <row r="102" spans="1:17" x14ac:dyDescent="0.25">
      <c r="A102" s="15" t="s">
        <v>178</v>
      </c>
      <c r="B102" s="15" t="s">
        <v>169</v>
      </c>
      <c r="C102" s="15" t="s">
        <v>94</v>
      </c>
      <c r="D102" s="15" t="s">
        <v>179</v>
      </c>
      <c r="E102" s="15" t="str">
        <f>'CUOTA LICITADA'!C21</f>
        <v>GRIMAR S.A. PESQ.</v>
      </c>
      <c r="F102" s="17">
        <v>45931</v>
      </c>
      <c r="G102" s="17">
        <v>46022</v>
      </c>
      <c r="H102" s="16">
        <f>'CUOTA LICITADA'!F22</f>
        <v>4.9831010000000009E-2</v>
      </c>
      <c r="I102" s="16">
        <f>'CUOTA LICITADA'!G22</f>
        <v>0</v>
      </c>
      <c r="J102" s="16">
        <f>'CUOTA LICITADA'!H22</f>
        <v>0.49976502000000006</v>
      </c>
      <c r="K102" s="16">
        <f>'CUOTA LICITADA'!I22</f>
        <v>0</v>
      </c>
      <c r="L102" s="16">
        <f>'CUOTA LICITADA'!J22</f>
        <v>0.49976502000000006</v>
      </c>
      <c r="M102" s="22">
        <f>'CUOTA LICITADA'!K22</f>
        <v>0</v>
      </c>
      <c r="N102" s="17" t="s">
        <v>41</v>
      </c>
      <c r="O102" s="17">
        <f>'RESUMEN '!$B$3</f>
        <v>45789</v>
      </c>
      <c r="P102" s="15">
        <v>2025</v>
      </c>
      <c r="Q102" s="15"/>
    </row>
    <row r="103" spans="1:17" x14ac:dyDescent="0.25">
      <c r="A103" s="15" t="s">
        <v>178</v>
      </c>
      <c r="B103" s="15" t="s">
        <v>169</v>
      </c>
      <c r="C103" s="15" t="s">
        <v>94</v>
      </c>
      <c r="D103" s="15" t="s">
        <v>179</v>
      </c>
      <c r="E103" s="15" t="str">
        <f>'CUOTA LICITADA'!C21</f>
        <v>GRIMAR S.A. PESQ.</v>
      </c>
      <c r="F103" s="17">
        <v>45658</v>
      </c>
      <c r="G103" s="17">
        <v>46022</v>
      </c>
      <c r="H103" s="16">
        <f>'CUOTA LICITADA'!L21</f>
        <v>0.49976502000000006</v>
      </c>
      <c r="I103" s="16">
        <f>'CUOTA LICITADA'!M21</f>
        <v>0</v>
      </c>
      <c r="J103" s="16">
        <f>'CUOTA LICITADA'!N21</f>
        <v>0.49976502000000006</v>
      </c>
      <c r="K103" s="16">
        <f>'CUOTA LICITADA'!O21</f>
        <v>0</v>
      </c>
      <c r="L103" s="16">
        <f>'CUOTA LICITADA'!P21</f>
        <v>0.49976502000000006</v>
      </c>
      <c r="M103" s="22">
        <f>'CUOTA LICITADA'!Q21</f>
        <v>0</v>
      </c>
      <c r="N103" s="17" t="s">
        <v>41</v>
      </c>
      <c r="O103" s="17">
        <f>'RESUMEN '!$B$3</f>
        <v>45789</v>
      </c>
      <c r="P103" s="15">
        <v>2025</v>
      </c>
      <c r="Q103" s="15"/>
    </row>
    <row r="104" spans="1:17" x14ac:dyDescent="0.25">
      <c r="A104" s="15" t="s">
        <v>178</v>
      </c>
      <c r="B104" s="15" t="s">
        <v>169</v>
      </c>
      <c r="C104" s="15" t="s">
        <v>94</v>
      </c>
      <c r="D104" s="15" t="s">
        <v>179</v>
      </c>
      <c r="E104" s="15" t="str">
        <f>'CUOTA LICITADA'!C23</f>
        <v>ISLADAMAS S.A. PESQ.</v>
      </c>
      <c r="F104" s="17">
        <v>45717</v>
      </c>
      <c r="G104" s="17">
        <v>45900</v>
      </c>
      <c r="H104" s="16">
        <f>'CUOTA LICITADA'!F23</f>
        <v>139.5705863</v>
      </c>
      <c r="I104" s="16">
        <f>'CUOTA LICITADA'!G23</f>
        <v>-0.67900000000000005</v>
      </c>
      <c r="J104" s="16">
        <f>'CUOTA LICITADA'!H23</f>
        <v>138.8915863</v>
      </c>
      <c r="K104" s="16">
        <f>'CUOTA LICITADA'!I23</f>
        <v>57.933999999999997</v>
      </c>
      <c r="L104" s="16">
        <f>'CUOTA LICITADA'!J23</f>
        <v>80.957586300000003</v>
      </c>
      <c r="M104" s="22">
        <f>'CUOTA LICITADA'!K23</f>
        <v>0.41711669902642617</v>
      </c>
      <c r="N104" s="17" t="s">
        <v>41</v>
      </c>
      <c r="O104" s="17">
        <f>'RESUMEN '!$B$3</f>
        <v>45789</v>
      </c>
      <c r="P104" s="15">
        <v>2025</v>
      </c>
      <c r="Q104" s="15"/>
    </row>
    <row r="105" spans="1:17" x14ac:dyDescent="0.25">
      <c r="A105" s="15" t="s">
        <v>178</v>
      </c>
      <c r="B105" s="15" t="s">
        <v>169</v>
      </c>
      <c r="C105" s="15" t="s">
        <v>94</v>
      </c>
      <c r="D105" s="15" t="s">
        <v>179</v>
      </c>
      <c r="E105" s="15" t="str">
        <f>'CUOTA LICITADA'!C23</f>
        <v>ISLADAMAS S.A. PESQ.</v>
      </c>
      <c r="F105" s="17">
        <v>45931</v>
      </c>
      <c r="G105" s="17">
        <v>46022</v>
      </c>
      <c r="H105" s="16">
        <f>'CUOTA LICITADA'!F24</f>
        <v>15.4576963</v>
      </c>
      <c r="I105" s="16">
        <f>'CUOTA LICITADA'!G24</f>
        <v>0</v>
      </c>
      <c r="J105" s="16">
        <f>'CUOTA LICITADA'!H24</f>
        <v>96.415282599999998</v>
      </c>
      <c r="K105" s="16">
        <f>'CUOTA LICITADA'!I24</f>
        <v>0</v>
      </c>
      <c r="L105" s="16">
        <f>'CUOTA LICITADA'!J24</f>
        <v>96.415282599999998</v>
      </c>
      <c r="M105" s="22">
        <f>'CUOTA LICITADA'!K24</f>
        <v>0</v>
      </c>
      <c r="N105" s="17" t="s">
        <v>41</v>
      </c>
      <c r="O105" s="17">
        <f>'RESUMEN '!$B$3</f>
        <v>45789</v>
      </c>
      <c r="P105" s="15">
        <v>2025</v>
      </c>
      <c r="Q105" s="15"/>
    </row>
    <row r="106" spans="1:17" x14ac:dyDescent="0.25">
      <c r="A106" s="15" t="s">
        <v>178</v>
      </c>
      <c r="B106" s="15" t="s">
        <v>169</v>
      </c>
      <c r="C106" s="15" t="s">
        <v>94</v>
      </c>
      <c r="D106" s="15" t="s">
        <v>179</v>
      </c>
      <c r="E106" s="15" t="str">
        <f>'CUOTA LICITADA'!C23</f>
        <v>ISLADAMAS S.A. PESQ.</v>
      </c>
      <c r="F106" s="17">
        <v>45658</v>
      </c>
      <c r="G106" s="17">
        <v>46022</v>
      </c>
      <c r="H106" s="16">
        <f>'CUOTA LICITADA'!L23</f>
        <v>155.02828260000001</v>
      </c>
      <c r="I106" s="16">
        <f>'CUOTA LICITADA'!M23</f>
        <v>-0.67900000000000005</v>
      </c>
      <c r="J106" s="16">
        <f>'CUOTA LICITADA'!N23</f>
        <v>154.34928260000001</v>
      </c>
      <c r="K106" s="16">
        <f>'CUOTA LICITADA'!O23</f>
        <v>57.933999999999997</v>
      </c>
      <c r="L106" s="16">
        <f>'CUOTA LICITADA'!P23</f>
        <v>96.415282600000012</v>
      </c>
      <c r="M106" s="22">
        <f>'CUOTA LICITADA'!Q23</f>
        <v>0.37534350030079111</v>
      </c>
      <c r="N106" s="17" t="s">
        <v>41</v>
      </c>
      <c r="O106" s="17">
        <f>'RESUMEN '!$B$3</f>
        <v>45789</v>
      </c>
      <c r="P106" s="15">
        <v>2025</v>
      </c>
      <c r="Q106" s="15"/>
    </row>
    <row r="107" spans="1:17" x14ac:dyDescent="0.25">
      <c r="A107" s="15" t="s">
        <v>178</v>
      </c>
      <c r="B107" s="15" t="s">
        <v>169</v>
      </c>
      <c r="C107" s="15" t="s">
        <v>94</v>
      </c>
      <c r="D107" s="15" t="s">
        <v>179</v>
      </c>
      <c r="E107" s="15" t="str">
        <f>'CUOTA LICITADA'!C25</f>
        <v>LANDES S.A. PESQ.</v>
      </c>
      <c r="F107" s="17">
        <v>45717</v>
      </c>
      <c r="G107" s="17">
        <v>45900</v>
      </c>
      <c r="H107" s="16">
        <f>'CUOTA LICITADA'!F25</f>
        <v>1.2370000000000001</v>
      </c>
      <c r="I107" s="16">
        <f>'CUOTA LICITADA'!G25</f>
        <v>0</v>
      </c>
      <c r="J107" s="16">
        <f>'CUOTA LICITADA'!H25</f>
        <v>1.2370000000000001</v>
      </c>
      <c r="K107" s="16">
        <f>'CUOTA LICITADA'!I25</f>
        <v>0</v>
      </c>
      <c r="L107" s="16">
        <f>'CUOTA LICITADA'!J25</f>
        <v>1.2370000000000001</v>
      </c>
      <c r="M107" s="22">
        <f>'CUOTA LICITADA'!K25</f>
        <v>0</v>
      </c>
      <c r="N107" s="17" t="s">
        <v>41</v>
      </c>
      <c r="O107" s="17">
        <f>'RESUMEN '!$B$3</f>
        <v>45789</v>
      </c>
      <c r="P107" s="15">
        <v>2025</v>
      </c>
      <c r="Q107" s="15"/>
    </row>
    <row r="108" spans="1:17" x14ac:dyDescent="0.25">
      <c r="A108" s="15" t="s">
        <v>178</v>
      </c>
      <c r="B108" s="15" t="s">
        <v>169</v>
      </c>
      <c r="C108" s="15" t="s">
        <v>94</v>
      </c>
      <c r="D108" s="15" t="s">
        <v>179</v>
      </c>
      <c r="E108" s="15" t="str">
        <f>'CUOTA LICITADA'!C25</f>
        <v>LANDES S.A. PESQ.</v>
      </c>
      <c r="F108" s="17">
        <v>45931</v>
      </c>
      <c r="G108" s="17">
        <v>46022</v>
      </c>
      <c r="H108" s="16">
        <f>'CUOTA LICITADA'!F26</f>
        <v>0.13700000000000001</v>
      </c>
      <c r="I108" s="16">
        <f>'CUOTA LICITADA'!G26</f>
        <v>0</v>
      </c>
      <c r="J108" s="16">
        <f>'CUOTA LICITADA'!H26</f>
        <v>1.3740000000000001</v>
      </c>
      <c r="K108" s="16">
        <f>'CUOTA LICITADA'!I26</f>
        <v>0</v>
      </c>
      <c r="L108" s="16">
        <f>'CUOTA LICITADA'!J26</f>
        <v>1.3740000000000001</v>
      </c>
      <c r="M108" s="22">
        <f>'CUOTA LICITADA'!K26</f>
        <v>0</v>
      </c>
      <c r="N108" s="17" t="s">
        <v>41</v>
      </c>
      <c r="O108" s="17">
        <f>'RESUMEN '!$B$3</f>
        <v>45789</v>
      </c>
      <c r="P108" s="15">
        <v>2025</v>
      </c>
      <c r="Q108" s="15"/>
    </row>
    <row r="109" spans="1:17" x14ac:dyDescent="0.25">
      <c r="A109" s="15" t="s">
        <v>178</v>
      </c>
      <c r="B109" s="15" t="s">
        <v>169</v>
      </c>
      <c r="C109" s="15" t="s">
        <v>94</v>
      </c>
      <c r="D109" s="15" t="s">
        <v>179</v>
      </c>
      <c r="E109" s="15" t="str">
        <f>'CUOTA LICITADA'!C25</f>
        <v>LANDES S.A. PESQ.</v>
      </c>
      <c r="F109" s="17">
        <v>45658</v>
      </c>
      <c r="G109" s="17">
        <v>46022</v>
      </c>
      <c r="H109" s="16">
        <f>'CUOTA LICITADA'!L25</f>
        <v>1.3740000000000001</v>
      </c>
      <c r="I109" s="16">
        <f>'CUOTA LICITADA'!M25</f>
        <v>0</v>
      </c>
      <c r="J109" s="16">
        <f>'CUOTA LICITADA'!N25</f>
        <v>1.3740000000000001</v>
      </c>
      <c r="K109" s="16">
        <f>'CUOTA LICITADA'!O25</f>
        <v>0</v>
      </c>
      <c r="L109" s="16">
        <f>'CUOTA LICITADA'!P25</f>
        <v>1.3740000000000001</v>
      </c>
      <c r="M109" s="22">
        <f>'CUOTA LICITADA'!Q25</f>
        <v>0</v>
      </c>
      <c r="N109" s="17" t="s">
        <v>41</v>
      </c>
      <c r="O109" s="17">
        <f>'RESUMEN '!$B$3</f>
        <v>45789</v>
      </c>
      <c r="P109" s="15">
        <v>2025</v>
      </c>
      <c r="Q109" s="15"/>
    </row>
    <row r="110" spans="1:17" x14ac:dyDescent="0.25">
      <c r="A110" s="15" t="s">
        <v>178</v>
      </c>
      <c r="B110" s="15" t="s">
        <v>169</v>
      </c>
      <c r="C110" s="15" t="s">
        <v>94</v>
      </c>
      <c r="D110" s="15" t="s">
        <v>179</v>
      </c>
      <c r="E110" s="15" t="str">
        <f>'CUOTA LICITADA'!C27</f>
        <v>ZUÑIGA ROMERO GONZALO</v>
      </c>
      <c r="F110" s="17">
        <v>45717</v>
      </c>
      <c r="G110" s="17">
        <v>45900</v>
      </c>
      <c r="H110" s="16">
        <f>'CUOTA LICITADA'!F27</f>
        <v>0</v>
      </c>
      <c r="I110" s="16">
        <f>'CUOTA LICITADA'!G27</f>
        <v>0</v>
      </c>
      <c r="J110" s="16">
        <f>'CUOTA LICITADA'!H27</f>
        <v>0</v>
      </c>
      <c r="K110" s="16">
        <f>'CUOTA LICITADA'!I27</f>
        <v>0</v>
      </c>
      <c r="L110" s="16">
        <f>'CUOTA LICITADA'!J27</f>
        <v>0</v>
      </c>
      <c r="M110" s="22" t="e">
        <f>'CUOTA LICITADA'!K27</f>
        <v>#DIV/0!</v>
      </c>
      <c r="N110" s="17" t="s">
        <v>41</v>
      </c>
      <c r="O110" s="17">
        <f>'RESUMEN '!$B$3</f>
        <v>45789</v>
      </c>
      <c r="P110" s="15">
        <v>2025</v>
      </c>
      <c r="Q110" s="15"/>
    </row>
    <row r="111" spans="1:17" x14ac:dyDescent="0.25">
      <c r="A111" s="15" t="s">
        <v>178</v>
      </c>
      <c r="B111" s="15" t="s">
        <v>169</v>
      </c>
      <c r="C111" s="15" t="s">
        <v>94</v>
      </c>
      <c r="D111" s="15" t="s">
        <v>179</v>
      </c>
      <c r="E111" s="15" t="str">
        <f>'CUOTA LICITADA'!C27</f>
        <v>ZUÑIGA ROMERO GONZALO</v>
      </c>
      <c r="F111" s="17">
        <v>45931</v>
      </c>
      <c r="G111" s="17">
        <v>46022</v>
      </c>
      <c r="H111" s="16">
        <f>'CUOTA LICITADA'!F28</f>
        <v>0</v>
      </c>
      <c r="I111" s="16">
        <f>'CUOTA LICITADA'!G28</f>
        <v>0</v>
      </c>
      <c r="J111" s="16">
        <f>'CUOTA LICITADA'!H28</f>
        <v>0</v>
      </c>
      <c r="K111" s="16">
        <f>'CUOTA LICITADA'!I28</f>
        <v>0</v>
      </c>
      <c r="L111" s="16">
        <f>'CUOTA LICITADA'!J28</f>
        <v>0</v>
      </c>
      <c r="M111" s="22" t="e">
        <f>'CUOTA LICITADA'!K28</f>
        <v>#DIV/0!</v>
      </c>
      <c r="N111" s="17" t="s">
        <v>41</v>
      </c>
      <c r="O111" s="17">
        <f>'RESUMEN '!$B$3</f>
        <v>45789</v>
      </c>
      <c r="P111" s="15">
        <v>2025</v>
      </c>
      <c r="Q111" s="15"/>
    </row>
    <row r="112" spans="1:17" x14ac:dyDescent="0.25">
      <c r="A112" s="15" t="s">
        <v>178</v>
      </c>
      <c r="B112" s="15" t="s">
        <v>169</v>
      </c>
      <c r="C112" s="15" t="s">
        <v>94</v>
      </c>
      <c r="D112" s="15" t="s">
        <v>179</v>
      </c>
      <c r="E112" s="15" t="str">
        <f>'CUOTA LICITADA'!C27</f>
        <v>ZUÑIGA ROMERO GONZALO</v>
      </c>
      <c r="F112" s="17">
        <v>45658</v>
      </c>
      <c r="G112" s="17">
        <v>46022</v>
      </c>
      <c r="H112" s="16">
        <f>'CUOTA LICITADA'!L27</f>
        <v>0</v>
      </c>
      <c r="I112" s="16">
        <f>'CUOTA LICITADA'!M27</f>
        <v>0</v>
      </c>
      <c r="J112" s="16">
        <f>'CUOTA LICITADA'!N27</f>
        <v>0</v>
      </c>
      <c r="K112" s="16">
        <f>'CUOTA LICITADA'!O27</f>
        <v>0</v>
      </c>
      <c r="L112" s="16">
        <f>'CUOTA LICITADA'!P27</f>
        <v>0</v>
      </c>
      <c r="M112" s="22" t="e">
        <f>'CUOTA LICITADA'!Q27</f>
        <v>#DIV/0!</v>
      </c>
      <c r="N112" s="17" t="s">
        <v>41</v>
      </c>
      <c r="O112" s="17">
        <f>'RESUMEN '!$B$3</f>
        <v>45789</v>
      </c>
      <c r="P112" s="15">
        <v>2025</v>
      </c>
      <c r="Q112" s="15"/>
    </row>
    <row r="113" spans="1:17" x14ac:dyDescent="0.25">
      <c r="A113" s="15" t="s">
        <v>178</v>
      </c>
      <c r="B113" s="15" t="s">
        <v>169</v>
      </c>
      <c r="C113" s="15" t="s">
        <v>94</v>
      </c>
      <c r="D113" s="15" t="s">
        <v>179</v>
      </c>
      <c r="E113" s="15" t="str">
        <f>'CUOTA LICITADA'!C29</f>
        <v>PACIFICBLU SPA.</v>
      </c>
      <c r="F113" s="17">
        <v>45717</v>
      </c>
      <c r="G113" s="17">
        <v>45900</v>
      </c>
      <c r="H113" s="16">
        <f>'CUOTA LICITADA'!F29</f>
        <v>64.225040000000007</v>
      </c>
      <c r="I113" s="16">
        <f>'CUOTA LICITADA'!G29</f>
        <v>-27.48</v>
      </c>
      <c r="J113" s="16">
        <f>'CUOTA LICITADA'!H29</f>
        <v>36.745040000000003</v>
      </c>
      <c r="K113" s="16">
        <f>'CUOTA LICITADA'!I29</f>
        <v>0</v>
      </c>
      <c r="L113" s="16">
        <f>'CUOTA LICITADA'!J29</f>
        <v>36.745040000000003</v>
      </c>
      <c r="M113" s="22">
        <f>'CUOTA LICITADA'!K29</f>
        <v>0</v>
      </c>
      <c r="N113" s="17" t="s">
        <v>41</v>
      </c>
      <c r="O113" s="17">
        <f>'RESUMEN '!$B$3</f>
        <v>45789</v>
      </c>
      <c r="P113" s="15">
        <v>2025</v>
      </c>
      <c r="Q113" s="15"/>
    </row>
    <row r="114" spans="1:17" x14ac:dyDescent="0.25">
      <c r="A114" s="15" t="s">
        <v>178</v>
      </c>
      <c r="B114" s="15" t="s">
        <v>169</v>
      </c>
      <c r="C114" s="15" t="s">
        <v>94</v>
      </c>
      <c r="D114" s="15" t="s">
        <v>179</v>
      </c>
      <c r="E114" s="15" t="str">
        <f>'CUOTA LICITADA'!C29</f>
        <v>PACIFICBLU SPA.</v>
      </c>
      <c r="F114" s="17">
        <v>45931</v>
      </c>
      <c r="G114" s="17">
        <v>46022</v>
      </c>
      <c r="H114" s="16">
        <f>'CUOTA LICITADA'!F30</f>
        <v>7.1130399999999998</v>
      </c>
      <c r="I114" s="16">
        <f>'CUOTA LICITADA'!G30</f>
        <v>0</v>
      </c>
      <c r="J114" s="16">
        <f>'CUOTA LICITADA'!H30</f>
        <v>43.858080000000001</v>
      </c>
      <c r="K114" s="16">
        <f>'CUOTA LICITADA'!I30</f>
        <v>0</v>
      </c>
      <c r="L114" s="16">
        <f>'CUOTA LICITADA'!J30</f>
        <v>43.858080000000001</v>
      </c>
      <c r="M114" s="22">
        <f>'CUOTA LICITADA'!K30</f>
        <v>0</v>
      </c>
      <c r="N114" s="17" t="s">
        <v>41</v>
      </c>
      <c r="O114" s="17">
        <f>'RESUMEN '!$B$3</f>
        <v>45789</v>
      </c>
      <c r="P114" s="15">
        <v>2025</v>
      </c>
      <c r="Q114" s="15"/>
    </row>
    <row r="115" spans="1:17" x14ac:dyDescent="0.25">
      <c r="A115" s="15" t="s">
        <v>178</v>
      </c>
      <c r="B115" s="15" t="s">
        <v>169</v>
      </c>
      <c r="C115" s="15" t="s">
        <v>94</v>
      </c>
      <c r="D115" s="15" t="s">
        <v>179</v>
      </c>
      <c r="E115" s="15" t="str">
        <f>'CUOTA LICITADA'!C29</f>
        <v>PACIFICBLU SPA.</v>
      </c>
      <c r="F115" s="17">
        <v>45658</v>
      </c>
      <c r="G115" s="17">
        <v>46022</v>
      </c>
      <c r="H115" s="16">
        <f>'CUOTA LICITADA'!L29</f>
        <v>71.338080000000005</v>
      </c>
      <c r="I115" s="16">
        <f>'CUOTA LICITADA'!M29</f>
        <v>-27.48</v>
      </c>
      <c r="J115" s="16">
        <f>'CUOTA LICITADA'!N29</f>
        <v>43.858080000000001</v>
      </c>
      <c r="K115" s="16">
        <f>'CUOTA LICITADA'!O29</f>
        <v>0</v>
      </c>
      <c r="L115" s="16">
        <f>'CUOTA LICITADA'!P29</f>
        <v>43.858080000000001</v>
      </c>
      <c r="M115" s="22">
        <f>'CUOTA LICITADA'!Q29</f>
        <v>0</v>
      </c>
      <c r="N115" s="17" t="s">
        <v>41</v>
      </c>
      <c r="O115" s="17">
        <f>'RESUMEN '!$B$3</f>
        <v>45789</v>
      </c>
      <c r="P115" s="15">
        <v>2025</v>
      </c>
      <c r="Q115" s="15"/>
    </row>
    <row r="116" spans="1:17" x14ac:dyDescent="0.25">
      <c r="A116" s="15" t="s">
        <v>178</v>
      </c>
      <c r="B116" s="15" t="s">
        <v>169</v>
      </c>
      <c r="C116" s="15" t="s">
        <v>94</v>
      </c>
      <c r="D116" s="15" t="s">
        <v>179</v>
      </c>
      <c r="E116" s="15" t="str">
        <f>'CUOTA LICITADA'!C31</f>
        <v>ERIC ARAVENA ARAVENA</v>
      </c>
      <c r="F116" s="17">
        <v>45717</v>
      </c>
      <c r="G116" s="17">
        <v>45900</v>
      </c>
      <c r="H116" s="16">
        <f>'CUOTA LICITADA'!F31</f>
        <v>0.623448</v>
      </c>
      <c r="I116" s="16">
        <f>'CUOTA LICITADA'!G31</f>
        <v>0</v>
      </c>
      <c r="J116" s="16">
        <f>'CUOTA LICITADA'!H31</f>
        <v>0.623448</v>
      </c>
      <c r="K116" s="16">
        <f>'CUOTA LICITADA'!I31</f>
        <v>0</v>
      </c>
      <c r="L116" s="16">
        <f>'CUOTA LICITADA'!J31</f>
        <v>0.623448</v>
      </c>
      <c r="M116" s="22">
        <f>'CUOTA LICITADA'!K31</f>
        <v>0</v>
      </c>
      <c r="N116" s="17" t="s">
        <v>41</v>
      </c>
      <c r="O116" s="17">
        <f>'RESUMEN '!$B$3</f>
        <v>45789</v>
      </c>
      <c r="P116" s="15">
        <v>2025</v>
      </c>
      <c r="Q116" s="15"/>
    </row>
    <row r="117" spans="1:17" x14ac:dyDescent="0.25">
      <c r="A117" s="15" t="s">
        <v>178</v>
      </c>
      <c r="B117" s="15" t="s">
        <v>169</v>
      </c>
      <c r="C117" s="15" t="s">
        <v>94</v>
      </c>
      <c r="D117" s="15" t="s">
        <v>179</v>
      </c>
      <c r="E117" s="15" t="str">
        <f>'CUOTA LICITADA'!C31</f>
        <v>ERIC ARAVENA ARAVENA</v>
      </c>
      <c r="F117" s="17">
        <v>45931</v>
      </c>
      <c r="G117" s="17">
        <v>46022</v>
      </c>
      <c r="H117" s="16">
        <f>'CUOTA LICITADA'!F32</f>
        <v>6.9047999999999998E-2</v>
      </c>
      <c r="I117" s="16">
        <f>'CUOTA LICITADA'!G32</f>
        <v>0</v>
      </c>
      <c r="J117" s="16">
        <f>'CUOTA LICITADA'!H32</f>
        <v>0.692496</v>
      </c>
      <c r="K117" s="16">
        <f>'CUOTA LICITADA'!I32</f>
        <v>0</v>
      </c>
      <c r="L117" s="16">
        <f>'CUOTA LICITADA'!J32</f>
        <v>0.692496</v>
      </c>
      <c r="M117" s="22">
        <f>'CUOTA LICITADA'!K32</f>
        <v>0</v>
      </c>
      <c r="N117" s="17" t="s">
        <v>41</v>
      </c>
      <c r="O117" s="17">
        <f>'RESUMEN '!$B$3</f>
        <v>45789</v>
      </c>
      <c r="P117" s="15">
        <v>2025</v>
      </c>
      <c r="Q117" s="15"/>
    </row>
    <row r="118" spans="1:17" x14ac:dyDescent="0.25">
      <c r="A118" s="15" t="s">
        <v>178</v>
      </c>
      <c r="B118" s="15" t="s">
        <v>169</v>
      </c>
      <c r="C118" s="15" t="s">
        <v>94</v>
      </c>
      <c r="D118" s="15" t="s">
        <v>179</v>
      </c>
      <c r="E118" s="15" t="str">
        <f>'CUOTA LICITADA'!C31</f>
        <v>ERIC ARAVENA ARAVENA</v>
      </c>
      <c r="F118" s="17">
        <v>45658</v>
      </c>
      <c r="G118" s="17">
        <v>46022</v>
      </c>
      <c r="H118" s="16">
        <f>'CUOTA LICITADA'!L31</f>
        <v>0.692496</v>
      </c>
      <c r="I118" s="16">
        <f>'CUOTA LICITADA'!M31</f>
        <v>0</v>
      </c>
      <c r="J118" s="16">
        <f>'CUOTA LICITADA'!N31</f>
        <v>0.692496</v>
      </c>
      <c r="K118" s="16">
        <f>'CUOTA LICITADA'!O31</f>
        <v>0</v>
      </c>
      <c r="L118" s="16">
        <f>'CUOTA LICITADA'!P31</f>
        <v>0.692496</v>
      </c>
      <c r="M118" s="22">
        <f>'CUOTA LICITADA'!Q31</f>
        <v>0</v>
      </c>
      <c r="N118" s="17" t="s">
        <v>41</v>
      </c>
      <c r="O118" s="17">
        <f>'RESUMEN '!$B$3</f>
        <v>45789</v>
      </c>
      <c r="P118" s="15">
        <v>2025</v>
      </c>
      <c r="Q118" s="15"/>
    </row>
    <row r="119" spans="1:17" x14ac:dyDescent="0.25">
      <c r="A119" s="15" t="s">
        <v>178</v>
      </c>
      <c r="B119" s="15" t="s">
        <v>169</v>
      </c>
      <c r="C119" s="15" t="s">
        <v>94</v>
      </c>
      <c r="D119" s="15" t="s">
        <v>179</v>
      </c>
      <c r="E119" s="15" t="str">
        <f>'CUOTA LICITADA'!C33</f>
        <v>ENFEMAR LTDA. SOC. PESQ.</v>
      </c>
      <c r="F119" s="17">
        <v>45717</v>
      </c>
      <c r="G119" s="17">
        <v>45900</v>
      </c>
      <c r="H119" s="16">
        <f>'CUOTA LICITADA'!F33</f>
        <v>4.40996685</v>
      </c>
      <c r="I119" s="16">
        <f>'CUOTA LICITADA'!G33</f>
        <v>0.67900000000000005</v>
      </c>
      <c r="J119" s="16">
        <f>'CUOTA LICITADA'!H33</f>
        <v>5.0889668500000003</v>
      </c>
      <c r="K119" s="16">
        <f>'CUOTA LICITADA'!I33</f>
        <v>0</v>
      </c>
      <c r="L119" s="16">
        <f>'CUOTA LICITADA'!J33</f>
        <v>5.0889668500000003</v>
      </c>
      <c r="M119" s="22">
        <f>'CUOTA LICITADA'!K33</f>
        <v>0</v>
      </c>
      <c r="N119" s="17" t="s">
        <v>41</v>
      </c>
      <c r="O119" s="17">
        <f>'RESUMEN '!$B$3</f>
        <v>45789</v>
      </c>
      <c r="P119" s="15">
        <v>2025</v>
      </c>
      <c r="Q119" s="15"/>
    </row>
    <row r="120" spans="1:17" x14ac:dyDescent="0.25">
      <c r="A120" s="15" t="s">
        <v>178</v>
      </c>
      <c r="B120" s="15" t="s">
        <v>169</v>
      </c>
      <c r="C120" s="15" t="s">
        <v>94</v>
      </c>
      <c r="D120" s="15" t="s">
        <v>179</v>
      </c>
      <c r="E120" s="15" t="str">
        <f>'CUOTA LICITADA'!C33</f>
        <v>ENFEMAR LTDA. SOC. PESQ.</v>
      </c>
      <c r="F120" s="17">
        <v>45931</v>
      </c>
      <c r="G120" s="17">
        <v>46022</v>
      </c>
      <c r="H120" s="16">
        <f>'CUOTA LICITADA'!F34</f>
        <v>0.48841185000000004</v>
      </c>
      <c r="I120" s="16">
        <f>'CUOTA LICITADA'!G34</f>
        <v>0</v>
      </c>
      <c r="J120" s="16">
        <f>'CUOTA LICITADA'!H34</f>
        <v>5.5773787000000006</v>
      </c>
      <c r="K120" s="16">
        <f>'CUOTA LICITADA'!I34</f>
        <v>0</v>
      </c>
      <c r="L120" s="16">
        <f>'CUOTA LICITADA'!J34</f>
        <v>5.5773787000000006</v>
      </c>
      <c r="M120" s="22">
        <f>'CUOTA LICITADA'!K34</f>
        <v>0</v>
      </c>
      <c r="N120" s="17" t="s">
        <v>41</v>
      </c>
      <c r="O120" s="17">
        <f>'RESUMEN '!$B$3</f>
        <v>45789</v>
      </c>
      <c r="P120" s="15">
        <v>2025</v>
      </c>
      <c r="Q120" s="15"/>
    </row>
    <row r="121" spans="1:17" x14ac:dyDescent="0.25">
      <c r="A121" s="15" t="s">
        <v>178</v>
      </c>
      <c r="B121" s="15" t="s">
        <v>169</v>
      </c>
      <c r="C121" s="15" t="s">
        <v>94</v>
      </c>
      <c r="D121" s="15" t="s">
        <v>179</v>
      </c>
      <c r="E121" s="15" t="str">
        <f>'CUOTA LICITADA'!C33</f>
        <v>ENFEMAR LTDA. SOC. PESQ.</v>
      </c>
      <c r="F121" s="17">
        <v>45658</v>
      </c>
      <c r="G121" s="17">
        <v>46022</v>
      </c>
      <c r="H121" s="16">
        <f>'CUOTA LICITADA'!L33</f>
        <v>4.8983787000000003</v>
      </c>
      <c r="I121" s="16">
        <f>'CUOTA LICITADA'!M33</f>
        <v>0.67900000000000005</v>
      </c>
      <c r="J121" s="16">
        <f>'CUOTA LICITADA'!N33</f>
        <v>5.5773787000000006</v>
      </c>
      <c r="K121" s="16">
        <f>'CUOTA LICITADA'!O33</f>
        <v>0</v>
      </c>
      <c r="L121" s="16">
        <f>'CUOTA LICITADA'!P33</f>
        <v>5.5773787000000006</v>
      </c>
      <c r="M121" s="22">
        <f>'CUOTA LICITADA'!Q33</f>
        <v>0</v>
      </c>
      <c r="N121" s="17" t="s">
        <v>41</v>
      </c>
      <c r="O121" s="17">
        <f>'RESUMEN '!$B$3</f>
        <v>45789</v>
      </c>
      <c r="P121" s="15">
        <v>2025</v>
      </c>
      <c r="Q121" s="15"/>
    </row>
    <row r="122" spans="1:17" x14ac:dyDescent="0.25">
      <c r="A122" s="15" t="s">
        <v>178</v>
      </c>
      <c r="B122" s="15" t="s">
        <v>169</v>
      </c>
      <c r="C122" s="15" t="s">
        <v>94</v>
      </c>
      <c r="D122" s="15" t="s">
        <v>179</v>
      </c>
      <c r="E122" s="15" t="str">
        <f>'CUOTA LICITADA'!C35</f>
        <v>INVERSIONES NAKAL SPA.</v>
      </c>
      <c r="F122" s="17">
        <v>45717</v>
      </c>
      <c r="G122" s="17">
        <v>45900</v>
      </c>
      <c r="H122" s="16">
        <f>'CUOTA LICITADA'!F35</f>
        <v>0</v>
      </c>
      <c r="I122" s="16">
        <f>'CUOTA LICITADA'!G35</f>
        <v>0</v>
      </c>
      <c r="J122" s="16">
        <f>'CUOTA LICITADA'!H35</f>
        <v>0</v>
      </c>
      <c r="K122" s="16">
        <f>'CUOTA LICITADA'!I35</f>
        <v>0</v>
      </c>
      <c r="L122" s="16">
        <f>'CUOTA LICITADA'!J35</f>
        <v>0</v>
      </c>
      <c r="M122" s="22" t="e">
        <f>'CUOTA LICITADA'!K35</f>
        <v>#DIV/0!</v>
      </c>
      <c r="N122" s="17" t="s">
        <v>41</v>
      </c>
      <c r="O122" s="17">
        <f>'RESUMEN '!$B$3</f>
        <v>45789</v>
      </c>
      <c r="P122" s="15">
        <v>2025</v>
      </c>
      <c r="Q122" s="15"/>
    </row>
    <row r="123" spans="1:17" x14ac:dyDescent="0.25">
      <c r="A123" s="15" t="s">
        <v>178</v>
      </c>
      <c r="B123" s="15" t="s">
        <v>169</v>
      </c>
      <c r="C123" s="15" t="s">
        <v>94</v>
      </c>
      <c r="D123" s="15" t="s">
        <v>179</v>
      </c>
      <c r="E123" s="15" t="str">
        <f>'CUOTA LICITADA'!C35</f>
        <v>INVERSIONES NAKAL SPA.</v>
      </c>
      <c r="F123" s="17">
        <v>45931</v>
      </c>
      <c r="G123" s="17">
        <v>46022</v>
      </c>
      <c r="H123" s="16">
        <f>'CUOTA LICITADA'!F36</f>
        <v>0</v>
      </c>
      <c r="I123" s="16">
        <f>'CUOTA LICITADA'!G36</f>
        <v>0</v>
      </c>
      <c r="J123" s="16">
        <f>'CUOTA LICITADA'!H36</f>
        <v>0</v>
      </c>
      <c r="K123" s="16">
        <f>'CUOTA LICITADA'!I36</f>
        <v>0</v>
      </c>
      <c r="L123" s="16">
        <f>'CUOTA LICITADA'!J36</f>
        <v>0</v>
      </c>
      <c r="M123" s="22" t="e">
        <f>'CUOTA LICITADA'!K36</f>
        <v>#DIV/0!</v>
      </c>
      <c r="N123" s="17" t="s">
        <v>41</v>
      </c>
      <c r="O123" s="17">
        <f>'RESUMEN '!$B$3</f>
        <v>45789</v>
      </c>
      <c r="P123" s="15">
        <v>2025</v>
      </c>
      <c r="Q123" s="15"/>
    </row>
    <row r="124" spans="1:17" x14ac:dyDescent="0.25">
      <c r="A124" s="15" t="s">
        <v>178</v>
      </c>
      <c r="B124" s="15" t="s">
        <v>169</v>
      </c>
      <c r="C124" s="15" t="s">
        <v>94</v>
      </c>
      <c r="D124" s="15" t="s">
        <v>179</v>
      </c>
      <c r="E124" s="15" t="str">
        <f>'CUOTA LICITADA'!C35</f>
        <v>INVERSIONES NAKAL SPA.</v>
      </c>
      <c r="F124" s="17">
        <v>45658</v>
      </c>
      <c r="G124" s="17">
        <v>46022</v>
      </c>
      <c r="H124" s="16">
        <f>'CUOTA LICITADA'!L35</f>
        <v>0</v>
      </c>
      <c r="I124" s="16">
        <f>'CUOTA LICITADA'!M35</f>
        <v>0</v>
      </c>
      <c r="J124" s="16">
        <f>'CUOTA LICITADA'!N35</f>
        <v>0</v>
      </c>
      <c r="K124" s="16">
        <f>'CUOTA LICITADA'!O35</f>
        <v>0</v>
      </c>
      <c r="L124" s="16">
        <f>'CUOTA LICITADA'!P35</f>
        <v>0</v>
      </c>
      <c r="M124" s="22" t="e">
        <f>'CUOTA LICITADA'!Q35</f>
        <v>#DIV/0!</v>
      </c>
      <c r="N124" s="17" t="s">
        <v>41</v>
      </c>
      <c r="O124" s="17">
        <f>'RESUMEN '!$B$3</f>
        <v>45789</v>
      </c>
      <c r="P124" s="15">
        <v>2025</v>
      </c>
      <c r="Q124" s="15"/>
    </row>
    <row r="125" spans="1:17" x14ac:dyDescent="0.25">
      <c r="A125" s="15" t="s">
        <v>178</v>
      </c>
      <c r="B125" s="15" t="s">
        <v>169</v>
      </c>
      <c r="C125" s="15" t="s">
        <v>94</v>
      </c>
      <c r="D125" s="15" t="s">
        <v>179</v>
      </c>
      <c r="E125" s="15" t="str">
        <f>'CUOTA LICITADA'!C37</f>
        <v>SOC. PESQ. NORDIOMAR SPA.</v>
      </c>
      <c r="F125" s="17">
        <v>45717</v>
      </c>
      <c r="G125" s="17">
        <v>45900</v>
      </c>
      <c r="H125" s="16">
        <f>'CUOTA LICITADA'!F37</f>
        <v>12.308150000000001</v>
      </c>
      <c r="I125" s="16">
        <f>'CUOTA LICITADA'!G37</f>
        <v>0</v>
      </c>
      <c r="J125" s="16">
        <f>'CUOTA LICITADA'!H37</f>
        <v>12.308150000000001</v>
      </c>
      <c r="K125" s="16">
        <f>'CUOTA LICITADA'!I37</f>
        <v>0</v>
      </c>
      <c r="L125" s="16">
        <f>'CUOTA LICITADA'!J37</f>
        <v>12.308150000000001</v>
      </c>
      <c r="M125" s="22">
        <f>'CUOTA LICITADA'!K37</f>
        <v>0</v>
      </c>
      <c r="N125" s="17" t="s">
        <v>41</v>
      </c>
      <c r="O125" s="17">
        <f>'RESUMEN '!$B$3</f>
        <v>45789</v>
      </c>
      <c r="P125" s="15">
        <v>2025</v>
      </c>
      <c r="Q125" s="15"/>
    </row>
    <row r="126" spans="1:17" x14ac:dyDescent="0.25">
      <c r="A126" s="15" t="s">
        <v>178</v>
      </c>
      <c r="B126" s="15" t="s">
        <v>169</v>
      </c>
      <c r="C126" s="15" t="s">
        <v>94</v>
      </c>
      <c r="D126" s="15" t="s">
        <v>179</v>
      </c>
      <c r="E126" s="15" t="str">
        <f>'CUOTA LICITADA'!C37</f>
        <v>SOC. PESQ. NORDIOMAR SPA.</v>
      </c>
      <c r="F126" s="17">
        <v>45931</v>
      </c>
      <c r="G126" s="17">
        <v>46022</v>
      </c>
      <c r="H126" s="16">
        <f>'CUOTA LICITADA'!F38</f>
        <v>1.3631500000000001</v>
      </c>
      <c r="I126" s="16">
        <f>'CUOTA LICITADA'!G38</f>
        <v>0</v>
      </c>
      <c r="J126" s="16">
        <f>'CUOTA LICITADA'!H38</f>
        <v>13.671300000000002</v>
      </c>
      <c r="K126" s="16">
        <f>'CUOTA LICITADA'!I38</f>
        <v>0</v>
      </c>
      <c r="L126" s="16">
        <f>'CUOTA LICITADA'!J38</f>
        <v>13.671300000000002</v>
      </c>
      <c r="M126" s="22">
        <f>'CUOTA LICITADA'!K38</f>
        <v>0</v>
      </c>
      <c r="N126" s="17" t="s">
        <v>41</v>
      </c>
      <c r="O126" s="17">
        <f>'RESUMEN '!$B$3</f>
        <v>45789</v>
      </c>
      <c r="P126" s="15">
        <v>2025</v>
      </c>
      <c r="Q126" s="15"/>
    </row>
    <row r="127" spans="1:17" x14ac:dyDescent="0.25">
      <c r="A127" s="15" t="s">
        <v>178</v>
      </c>
      <c r="B127" s="15" t="s">
        <v>169</v>
      </c>
      <c r="C127" s="15" t="s">
        <v>94</v>
      </c>
      <c r="D127" s="15" t="s">
        <v>179</v>
      </c>
      <c r="E127" s="15" t="str">
        <f>'CUOTA LICITADA'!C37</f>
        <v>SOC. PESQ. NORDIOMAR SPA.</v>
      </c>
      <c r="F127" s="17">
        <v>45658</v>
      </c>
      <c r="G127" s="17">
        <v>46022</v>
      </c>
      <c r="H127" s="16">
        <f>'CUOTA LICITADA'!L37</f>
        <v>13.671300000000002</v>
      </c>
      <c r="I127" s="16">
        <f>'CUOTA LICITADA'!M37</f>
        <v>0</v>
      </c>
      <c r="J127" s="16">
        <f>'CUOTA LICITADA'!N37</f>
        <v>13.671300000000002</v>
      </c>
      <c r="K127" s="16">
        <f>'CUOTA LICITADA'!O37</f>
        <v>0</v>
      </c>
      <c r="L127" s="16">
        <f>'CUOTA LICITADA'!P37</f>
        <v>13.671300000000002</v>
      </c>
      <c r="M127" s="22">
        <f>'CUOTA LICITADA'!Q37</f>
        <v>0</v>
      </c>
      <c r="N127" s="17" t="s">
        <v>41</v>
      </c>
      <c r="O127" s="17">
        <f>'RESUMEN '!$B$3</f>
        <v>45789</v>
      </c>
      <c r="P127" s="15">
        <v>2025</v>
      </c>
      <c r="Q127" s="15"/>
    </row>
    <row r="128" spans="1:17" x14ac:dyDescent="0.25">
      <c r="A128" s="15" t="s">
        <v>178</v>
      </c>
      <c r="B128" s="15" t="s">
        <v>169</v>
      </c>
      <c r="C128" s="15" t="s">
        <v>94</v>
      </c>
      <c r="D128" s="15" t="s">
        <v>179</v>
      </c>
      <c r="E128" s="15" t="str">
        <f>'CUOTA LICITADA'!C39</f>
        <v>PESQUERA SUR AUSTRAL</v>
      </c>
      <c r="F128" s="17">
        <v>45717</v>
      </c>
      <c r="G128" s="17">
        <v>45900</v>
      </c>
      <c r="H128" s="16">
        <f>'CUOTA LICITADA'!F39</f>
        <v>5.9722359999999995E-2</v>
      </c>
      <c r="I128" s="16">
        <f>'CUOTA LICITADA'!G39</f>
        <v>0</v>
      </c>
      <c r="J128" s="16">
        <f>'CUOTA LICITADA'!H39</f>
        <v>5.9722359999999995E-2</v>
      </c>
      <c r="K128" s="16">
        <f>'CUOTA LICITADA'!I39</f>
        <v>0</v>
      </c>
      <c r="L128" s="16">
        <f>'CUOTA LICITADA'!J39</f>
        <v>5.9722359999999995E-2</v>
      </c>
      <c r="M128" s="22">
        <f>'CUOTA LICITADA'!K39</f>
        <v>0</v>
      </c>
      <c r="N128" s="17" t="s">
        <v>41</v>
      </c>
      <c r="O128" s="17">
        <f>'RESUMEN '!$B$3</f>
        <v>45789</v>
      </c>
      <c r="P128" s="15">
        <v>2025</v>
      </c>
      <c r="Q128" s="15"/>
    </row>
    <row r="129" spans="1:17" x14ac:dyDescent="0.25">
      <c r="A129" s="15" t="s">
        <v>178</v>
      </c>
      <c r="B129" s="15" t="s">
        <v>169</v>
      </c>
      <c r="C129" s="15" t="s">
        <v>94</v>
      </c>
      <c r="D129" s="15" t="s">
        <v>179</v>
      </c>
      <c r="E129" s="15" t="str">
        <f>'CUOTA LICITADA'!C39</f>
        <v>PESQUERA SUR AUSTRAL</v>
      </c>
      <c r="F129" s="17">
        <v>45931</v>
      </c>
      <c r="G129" s="17">
        <v>46022</v>
      </c>
      <c r="H129" s="16">
        <f>'CUOTA LICITADA'!F40</f>
        <v>6.6143599999999997E-3</v>
      </c>
      <c r="I129" s="16">
        <f>'CUOTA LICITADA'!G40</f>
        <v>0</v>
      </c>
      <c r="J129" s="16">
        <f>'CUOTA LICITADA'!H40</f>
        <v>6.6336719999999988E-2</v>
      </c>
      <c r="K129" s="16">
        <f>'CUOTA LICITADA'!I40</f>
        <v>0</v>
      </c>
      <c r="L129" s="16">
        <f>'CUOTA LICITADA'!J40</f>
        <v>6.6336719999999988E-2</v>
      </c>
      <c r="M129" s="22">
        <f>'CUOTA LICITADA'!K40</f>
        <v>0</v>
      </c>
      <c r="N129" s="17" t="s">
        <v>41</v>
      </c>
      <c r="O129" s="17">
        <f>'RESUMEN '!$B$3</f>
        <v>45789</v>
      </c>
      <c r="P129" s="15">
        <v>2025</v>
      </c>
      <c r="Q129" s="15"/>
    </row>
    <row r="130" spans="1:17" x14ac:dyDescent="0.25">
      <c r="A130" s="15" t="s">
        <v>178</v>
      </c>
      <c r="B130" s="15" t="s">
        <v>169</v>
      </c>
      <c r="C130" s="15" t="s">
        <v>94</v>
      </c>
      <c r="D130" s="15" t="s">
        <v>179</v>
      </c>
      <c r="E130" s="15" t="str">
        <f>'CUOTA LICITADA'!C39</f>
        <v>PESQUERA SUR AUSTRAL</v>
      </c>
      <c r="F130" s="17">
        <v>45658</v>
      </c>
      <c r="G130" s="17">
        <v>46022</v>
      </c>
      <c r="H130" s="16">
        <f>'CUOTA LICITADA'!L39</f>
        <v>6.6336719999999988E-2</v>
      </c>
      <c r="I130" s="16">
        <f>'CUOTA LICITADA'!M39</f>
        <v>0</v>
      </c>
      <c r="J130" s="16">
        <f>'CUOTA LICITADA'!N39</f>
        <v>6.6336719999999988E-2</v>
      </c>
      <c r="K130" s="16">
        <f>'CUOTA LICITADA'!O39</f>
        <v>0</v>
      </c>
      <c r="L130" s="16">
        <f>'CUOTA LICITADA'!P39</f>
        <v>6.6336719999999988E-2</v>
      </c>
      <c r="M130" s="22">
        <f>'CUOTA LICITADA'!Q39</f>
        <v>0</v>
      </c>
      <c r="N130" s="17" t="s">
        <v>41</v>
      </c>
      <c r="O130" s="17">
        <f>'RESUMEN '!$B$3</f>
        <v>45789</v>
      </c>
      <c r="P130" s="15">
        <v>2025</v>
      </c>
      <c r="Q130" s="15"/>
    </row>
    <row r="131" spans="1:17" x14ac:dyDescent="0.25">
      <c r="A131" s="15" t="s">
        <v>178</v>
      </c>
      <c r="B131" s="15" t="s">
        <v>169</v>
      </c>
      <c r="C131" s="15" t="s">
        <v>94</v>
      </c>
      <c r="D131" s="15" t="s">
        <v>179</v>
      </c>
      <c r="E131" s="15" t="str">
        <f>'CUOTA LICITADA'!C41</f>
        <v>COMERCIALIZADORA SIMON SEAFOOD LTDA.</v>
      </c>
      <c r="F131" s="17">
        <v>45717</v>
      </c>
      <c r="G131" s="17">
        <v>45900</v>
      </c>
      <c r="H131" s="16">
        <f>'CUOTA LICITADA'!F41</f>
        <v>0</v>
      </c>
      <c r="I131" s="16">
        <f>'CUOTA LICITADA'!G41</f>
        <v>0</v>
      </c>
      <c r="J131" s="16">
        <f>'CUOTA LICITADA'!H41</f>
        <v>0</v>
      </c>
      <c r="K131" s="16">
        <f>'CUOTA LICITADA'!I41</f>
        <v>0</v>
      </c>
      <c r="L131" s="16">
        <f>'CUOTA LICITADA'!J41</f>
        <v>0</v>
      </c>
      <c r="M131" s="22" t="e">
        <f>'CUOTA LICITADA'!K41</f>
        <v>#DIV/0!</v>
      </c>
      <c r="N131" s="17" t="s">
        <v>41</v>
      </c>
      <c r="O131" s="17">
        <f>'RESUMEN '!$B$3</f>
        <v>45789</v>
      </c>
      <c r="P131" s="15">
        <v>2025</v>
      </c>
      <c r="Q131" s="15"/>
    </row>
    <row r="132" spans="1:17" x14ac:dyDescent="0.25">
      <c r="A132" s="15" t="s">
        <v>178</v>
      </c>
      <c r="B132" s="15" t="s">
        <v>169</v>
      </c>
      <c r="C132" s="15" t="s">
        <v>94</v>
      </c>
      <c r="D132" s="15" t="s">
        <v>179</v>
      </c>
      <c r="E132" s="15" t="str">
        <f>'CUOTA LICITADA'!C41</f>
        <v>COMERCIALIZADORA SIMON SEAFOOD LTDA.</v>
      </c>
      <c r="F132" s="17">
        <v>45931</v>
      </c>
      <c r="G132" s="17">
        <v>46022</v>
      </c>
      <c r="H132" s="16">
        <f>'CUOTA LICITADA'!F42</f>
        <v>0</v>
      </c>
      <c r="I132" s="16">
        <f>'CUOTA LICITADA'!G42</f>
        <v>0</v>
      </c>
      <c r="J132" s="16">
        <f>'CUOTA LICITADA'!H42</f>
        <v>0</v>
      </c>
      <c r="K132" s="16">
        <f>'CUOTA LICITADA'!I42</f>
        <v>0</v>
      </c>
      <c r="L132" s="16">
        <f>'CUOTA LICITADA'!J42</f>
        <v>0</v>
      </c>
      <c r="M132" s="22" t="e">
        <f>'CUOTA LICITADA'!K42</f>
        <v>#DIV/0!</v>
      </c>
      <c r="N132" s="17" t="s">
        <v>41</v>
      </c>
      <c r="O132" s="17">
        <f>'RESUMEN '!$B$3</f>
        <v>45789</v>
      </c>
      <c r="P132" s="15">
        <v>2025</v>
      </c>
      <c r="Q132" s="15"/>
    </row>
    <row r="133" spans="1:17" x14ac:dyDescent="0.25">
      <c r="A133" s="15" t="s">
        <v>178</v>
      </c>
      <c r="B133" s="15" t="s">
        <v>169</v>
      </c>
      <c r="C133" s="15" t="s">
        <v>94</v>
      </c>
      <c r="D133" s="15" t="s">
        <v>179</v>
      </c>
      <c r="E133" s="15" t="str">
        <f>'CUOTA LICITADA'!C41</f>
        <v>COMERCIALIZADORA SIMON SEAFOOD LTDA.</v>
      </c>
      <c r="F133" s="17">
        <v>45658</v>
      </c>
      <c r="G133" s="17">
        <v>46022</v>
      </c>
      <c r="H133" s="16">
        <f>'CUOTA LICITADA'!L41</f>
        <v>0</v>
      </c>
      <c r="I133" s="16">
        <f>'CUOTA LICITADA'!M41</f>
        <v>0</v>
      </c>
      <c r="J133" s="16">
        <f>'CUOTA LICITADA'!N41</f>
        <v>0</v>
      </c>
      <c r="K133" s="16">
        <f>'CUOTA LICITADA'!O41</f>
        <v>0</v>
      </c>
      <c r="L133" s="16">
        <f>'CUOTA LICITADA'!P41</f>
        <v>0</v>
      </c>
      <c r="M133" s="22" t="e">
        <f>'CUOTA LICITADA'!Q41</f>
        <v>#DIV/0!</v>
      </c>
      <c r="N133" s="17" t="s">
        <v>41</v>
      </c>
      <c r="O133" s="17">
        <f>'RESUMEN '!$B$3</f>
        <v>45789</v>
      </c>
      <c r="P133" s="15">
        <v>2025</v>
      </c>
      <c r="Q133" s="15"/>
    </row>
    <row r="134" spans="1:17" x14ac:dyDescent="0.25">
      <c r="A134" s="15" t="s">
        <v>178</v>
      </c>
      <c r="B134" s="15" t="s">
        <v>169</v>
      </c>
      <c r="C134" s="15" t="s">
        <v>94</v>
      </c>
      <c r="D134" s="15" t="s">
        <v>179</v>
      </c>
      <c r="E134" s="15" t="str">
        <f>'CUOTA LICITADA'!C43</f>
        <v>WILLIAMS MAUAD MEZA</v>
      </c>
      <c r="F134" s="17">
        <v>45717</v>
      </c>
      <c r="G134" s="17">
        <v>45900</v>
      </c>
      <c r="H134" s="16">
        <f>'CUOTA LICITADA'!F43</f>
        <v>0</v>
      </c>
      <c r="I134" s="16">
        <f>'CUOTA LICITADA'!G43</f>
        <v>0</v>
      </c>
      <c r="J134" s="16">
        <f>'CUOTA LICITADA'!H43</f>
        <v>0</v>
      </c>
      <c r="K134" s="16">
        <f>'CUOTA LICITADA'!I43</f>
        <v>0</v>
      </c>
      <c r="L134" s="16">
        <f>'CUOTA LICITADA'!J43</f>
        <v>0</v>
      </c>
      <c r="M134" s="22" t="e">
        <f>'CUOTA LICITADA'!K43</f>
        <v>#DIV/0!</v>
      </c>
      <c r="N134" s="17" t="s">
        <v>41</v>
      </c>
      <c r="O134" s="17">
        <f>'RESUMEN '!$B$3</f>
        <v>45789</v>
      </c>
      <c r="P134" s="15">
        <v>2025</v>
      </c>
      <c r="Q134" s="15"/>
    </row>
    <row r="135" spans="1:17" x14ac:dyDescent="0.25">
      <c r="A135" s="15" t="s">
        <v>178</v>
      </c>
      <c r="B135" s="15" t="s">
        <v>169</v>
      </c>
      <c r="C135" s="15" t="s">
        <v>94</v>
      </c>
      <c r="D135" s="15" t="s">
        <v>179</v>
      </c>
      <c r="E135" s="15" t="str">
        <f>'CUOTA LICITADA'!C43</f>
        <v>WILLIAMS MAUAD MEZA</v>
      </c>
      <c r="F135" s="17">
        <v>45931</v>
      </c>
      <c r="G135" s="17">
        <v>46022</v>
      </c>
      <c r="H135" s="16">
        <f>'CUOTA LICITADA'!F44</f>
        <v>0</v>
      </c>
      <c r="I135" s="16">
        <f>'CUOTA LICITADA'!G44</f>
        <v>0</v>
      </c>
      <c r="J135" s="16">
        <f>'CUOTA LICITADA'!H44</f>
        <v>0</v>
      </c>
      <c r="K135" s="16">
        <f>'CUOTA LICITADA'!I44</f>
        <v>0</v>
      </c>
      <c r="L135" s="16">
        <f>'CUOTA LICITADA'!J44</f>
        <v>0</v>
      </c>
      <c r="M135" s="22" t="e">
        <f>'CUOTA LICITADA'!K44</f>
        <v>#DIV/0!</v>
      </c>
      <c r="N135" s="17" t="s">
        <v>41</v>
      </c>
      <c r="O135" s="17">
        <f>'RESUMEN '!$B$3</f>
        <v>45789</v>
      </c>
      <c r="P135" s="15">
        <v>2025</v>
      </c>
      <c r="Q135" s="15"/>
    </row>
    <row r="136" spans="1:17" x14ac:dyDescent="0.25">
      <c r="A136" s="15" t="s">
        <v>178</v>
      </c>
      <c r="B136" s="15" t="s">
        <v>169</v>
      </c>
      <c r="C136" s="15" t="s">
        <v>94</v>
      </c>
      <c r="D136" s="15" t="s">
        <v>179</v>
      </c>
      <c r="E136" s="15" t="str">
        <f>'CUOTA LICITADA'!C43</f>
        <v>WILLIAMS MAUAD MEZA</v>
      </c>
      <c r="F136" s="17">
        <v>45658</v>
      </c>
      <c r="G136" s="17">
        <v>46022</v>
      </c>
      <c r="H136" s="16">
        <f>'CUOTA LICITADA'!L43</f>
        <v>0</v>
      </c>
      <c r="I136" s="16">
        <f>'CUOTA LICITADA'!M43</f>
        <v>0</v>
      </c>
      <c r="J136" s="16">
        <f>'CUOTA LICITADA'!N43</f>
        <v>0</v>
      </c>
      <c r="K136" s="16">
        <f>'CUOTA LICITADA'!O43</f>
        <v>0</v>
      </c>
      <c r="L136" s="16">
        <f>'CUOTA LICITADA'!P43</f>
        <v>0</v>
      </c>
      <c r="M136" s="22" t="e">
        <f>'CUOTA LICITADA'!Q43</f>
        <v>#DIV/0!</v>
      </c>
      <c r="N136" s="17" t="s">
        <v>41</v>
      </c>
      <c r="O136" s="17">
        <f>'RESUMEN '!$B$3</f>
        <v>45789</v>
      </c>
      <c r="P136" s="15">
        <v>2025</v>
      </c>
      <c r="Q136" s="15"/>
    </row>
    <row r="137" spans="1:17" x14ac:dyDescent="0.25">
      <c r="A137" s="15" t="s">
        <v>178</v>
      </c>
      <c r="B137" s="15" t="s">
        <v>169</v>
      </c>
      <c r="C137" s="15" t="s">
        <v>94</v>
      </c>
      <c r="D137" s="15" t="s">
        <v>179</v>
      </c>
      <c r="E137" s="15" t="str">
        <f>'CUOTA LICITADA'!C45</f>
        <v xml:space="preserve">GUILLEROMO DONOSO TOBAR </v>
      </c>
      <c r="F137" s="17">
        <v>45717</v>
      </c>
      <c r="G137" s="17">
        <v>45900</v>
      </c>
      <c r="H137" s="16">
        <f>'CUOTA LICITADA'!F45</f>
        <v>18.555</v>
      </c>
      <c r="I137" s="16">
        <f>'CUOTA LICITADA'!G45</f>
        <v>0</v>
      </c>
      <c r="J137" s="16">
        <f>'CUOTA LICITADA'!H45</f>
        <v>18.555</v>
      </c>
      <c r="K137" s="16">
        <f>'CUOTA LICITADA'!I45</f>
        <v>0</v>
      </c>
      <c r="L137" s="16">
        <f>'CUOTA LICITADA'!J45</f>
        <v>18.555</v>
      </c>
      <c r="M137" s="22">
        <f>'CUOTA LICITADA'!K45</f>
        <v>0</v>
      </c>
      <c r="N137" s="17" t="s">
        <v>41</v>
      </c>
      <c r="O137" s="17">
        <f>'RESUMEN '!$B$3</f>
        <v>45789</v>
      </c>
      <c r="P137" s="15">
        <v>2025</v>
      </c>
      <c r="Q137" s="15"/>
    </row>
    <row r="138" spans="1:17" x14ac:dyDescent="0.25">
      <c r="A138" s="15" t="s">
        <v>178</v>
      </c>
      <c r="B138" s="15" t="s">
        <v>169</v>
      </c>
      <c r="C138" s="15" t="s">
        <v>94</v>
      </c>
      <c r="D138" s="15" t="s">
        <v>179</v>
      </c>
      <c r="E138" s="15" t="str">
        <f>'CUOTA LICITADA'!C45</f>
        <v xml:space="preserve">GUILLEROMO DONOSO TOBAR </v>
      </c>
      <c r="F138" s="17">
        <v>45931</v>
      </c>
      <c r="G138" s="17">
        <v>46022</v>
      </c>
      <c r="H138" s="16">
        <f>'CUOTA LICITADA'!F46</f>
        <v>2.0549999999999997</v>
      </c>
      <c r="I138" s="16">
        <f>'CUOTA LICITADA'!G46</f>
        <v>0</v>
      </c>
      <c r="J138" s="16">
        <f>'CUOTA LICITADA'!H46</f>
        <v>20.61</v>
      </c>
      <c r="K138" s="16">
        <f>'CUOTA LICITADA'!I46</f>
        <v>0</v>
      </c>
      <c r="L138" s="16">
        <f>'CUOTA LICITADA'!J46</f>
        <v>20.61</v>
      </c>
      <c r="M138" s="22">
        <f>'CUOTA LICITADA'!K46</f>
        <v>0</v>
      </c>
      <c r="N138" s="17" t="s">
        <v>41</v>
      </c>
      <c r="O138" s="17">
        <f>'RESUMEN '!$B$3</f>
        <v>45789</v>
      </c>
      <c r="P138" s="15">
        <v>2025</v>
      </c>
      <c r="Q138" s="15"/>
    </row>
    <row r="139" spans="1:17" x14ac:dyDescent="0.25">
      <c r="A139" s="15" t="s">
        <v>178</v>
      </c>
      <c r="B139" s="15" t="s">
        <v>169</v>
      </c>
      <c r="C139" s="15" t="s">
        <v>94</v>
      </c>
      <c r="D139" s="15" t="s">
        <v>179</v>
      </c>
      <c r="E139" s="15" t="str">
        <f>'CUOTA LICITADA'!C45</f>
        <v xml:space="preserve">GUILLEROMO DONOSO TOBAR </v>
      </c>
      <c r="F139" s="17">
        <v>45658</v>
      </c>
      <c r="G139" s="17">
        <v>46022</v>
      </c>
      <c r="H139" s="16">
        <f>'CUOTA LICITADA'!L45</f>
        <v>20.61</v>
      </c>
      <c r="I139" s="16">
        <f>'CUOTA LICITADA'!M45</f>
        <v>0</v>
      </c>
      <c r="J139" s="16">
        <f>'CUOTA LICITADA'!N45</f>
        <v>20.61</v>
      </c>
      <c r="K139" s="16">
        <f>'CUOTA LICITADA'!O45</f>
        <v>0</v>
      </c>
      <c r="L139" s="16">
        <f>'CUOTA LICITADA'!P45</f>
        <v>20.61</v>
      </c>
      <c r="M139" s="22">
        <f>'CUOTA LICITADA'!Q45</f>
        <v>0</v>
      </c>
      <c r="N139" s="17" t="s">
        <v>41</v>
      </c>
      <c r="O139" s="17">
        <f>'RESUMEN '!$B$3</f>
        <v>45789</v>
      </c>
      <c r="P139" s="15">
        <v>2025</v>
      </c>
      <c r="Q139" s="15"/>
    </row>
    <row r="140" spans="1:17" x14ac:dyDescent="0.25">
      <c r="A140" s="15" t="s">
        <v>178</v>
      </c>
      <c r="B140" s="15" t="s">
        <v>169</v>
      </c>
      <c r="C140" s="15" t="s">
        <v>95</v>
      </c>
      <c r="D140" s="15" t="s">
        <v>179</v>
      </c>
      <c r="E140" s="15" t="str">
        <f>'CUOTA LICITADA'!C51</f>
        <v>ANTARTIC SEAFOOD S.A.</v>
      </c>
      <c r="F140" s="17">
        <v>45717</v>
      </c>
      <c r="G140" s="17">
        <v>45900</v>
      </c>
      <c r="H140" s="16">
        <f>'CUOTA LICITADA'!F51</f>
        <v>200.56680000000003</v>
      </c>
      <c r="I140" s="16">
        <f>'CUOTA LICITADA'!G51</f>
        <v>0</v>
      </c>
      <c r="J140" s="16">
        <f>'CUOTA LICITADA'!H51</f>
        <v>200.56680000000003</v>
      </c>
      <c r="K140" s="16">
        <f>'CUOTA LICITADA'!I51</f>
        <v>0</v>
      </c>
      <c r="L140" s="16">
        <f>'CUOTA LICITADA'!J51</f>
        <v>200.56680000000003</v>
      </c>
      <c r="M140" s="22">
        <f>'CUOTA LICITADA'!K51</f>
        <v>0</v>
      </c>
      <c r="N140" s="17" t="s">
        <v>41</v>
      </c>
      <c r="O140" s="17">
        <f>'RESUMEN '!$B$3</f>
        <v>45789</v>
      </c>
      <c r="P140" s="15">
        <v>2025</v>
      </c>
      <c r="Q140" s="15"/>
    </row>
    <row r="141" spans="1:17" x14ac:dyDescent="0.25">
      <c r="A141" s="15" t="s">
        <v>178</v>
      </c>
      <c r="B141" s="15" t="s">
        <v>169</v>
      </c>
      <c r="C141" s="15" t="s">
        <v>95</v>
      </c>
      <c r="D141" s="15" t="s">
        <v>179</v>
      </c>
      <c r="E141" s="15" t="str">
        <f>'CUOTA LICITADA'!C51</f>
        <v>ANTARTIC SEAFOOD S.A.</v>
      </c>
      <c r="F141" s="17">
        <v>45931</v>
      </c>
      <c r="G141" s="17">
        <v>46022</v>
      </c>
      <c r="H141" s="16">
        <f>'CUOTA LICITADA'!F52</f>
        <v>22.285200000000003</v>
      </c>
      <c r="I141" s="16">
        <f>'CUOTA LICITADA'!G52</f>
        <v>0</v>
      </c>
      <c r="J141" s="16">
        <f>'CUOTA LICITADA'!H52</f>
        <v>222.85200000000003</v>
      </c>
      <c r="K141" s="16">
        <f>'CUOTA LICITADA'!I52</f>
        <v>0</v>
      </c>
      <c r="L141" s="16">
        <f>'CUOTA LICITADA'!J52</f>
        <v>222.85200000000003</v>
      </c>
      <c r="M141" s="22">
        <f>'CUOTA LICITADA'!K52</f>
        <v>0</v>
      </c>
      <c r="N141" s="17" t="s">
        <v>41</v>
      </c>
      <c r="O141" s="17">
        <f>'RESUMEN '!$B$3</f>
        <v>45789</v>
      </c>
      <c r="P141" s="15">
        <v>2025</v>
      </c>
      <c r="Q141" s="15"/>
    </row>
    <row r="142" spans="1:17" x14ac:dyDescent="0.25">
      <c r="A142" s="15" t="s">
        <v>178</v>
      </c>
      <c r="B142" s="15" t="s">
        <v>169</v>
      </c>
      <c r="C142" s="15" t="s">
        <v>95</v>
      </c>
      <c r="D142" s="15" t="s">
        <v>179</v>
      </c>
      <c r="E142" s="15" t="str">
        <f>'CUOTA LICITADA'!C51</f>
        <v>ANTARTIC SEAFOOD S.A.</v>
      </c>
      <c r="F142" s="17">
        <v>45658</v>
      </c>
      <c r="G142" s="17">
        <v>46022</v>
      </c>
      <c r="H142" s="16">
        <f>'CUOTA LICITADA'!L51</f>
        <v>222.85200000000003</v>
      </c>
      <c r="I142" s="16">
        <f>'CUOTA LICITADA'!M51</f>
        <v>0</v>
      </c>
      <c r="J142" s="16">
        <f>'CUOTA LICITADA'!N51</f>
        <v>222.85200000000003</v>
      </c>
      <c r="K142" s="16">
        <f>'CUOTA LICITADA'!O51</f>
        <v>0</v>
      </c>
      <c r="L142" s="16">
        <f>'CUOTA LICITADA'!P51</f>
        <v>222.85200000000003</v>
      </c>
      <c r="M142" s="22">
        <f>'CUOTA LICITADA'!Q51</f>
        <v>0</v>
      </c>
      <c r="N142" s="17" t="s">
        <v>41</v>
      </c>
      <c r="O142" s="17">
        <f>'RESUMEN '!$B$3</f>
        <v>45789</v>
      </c>
      <c r="P142" s="15">
        <v>2025</v>
      </c>
      <c r="Q142" s="15"/>
    </row>
    <row r="143" spans="1:17" x14ac:dyDescent="0.25">
      <c r="A143" s="15" t="s">
        <v>178</v>
      </c>
      <c r="B143" s="15" t="s">
        <v>169</v>
      </c>
      <c r="C143" s="15" t="s">
        <v>95</v>
      </c>
      <c r="D143" s="15" t="s">
        <v>179</v>
      </c>
      <c r="E143" s="15" t="str">
        <f>'CUOTA LICITADA'!C53</f>
        <v>QUINTERO S.A. PESQ.</v>
      </c>
      <c r="F143" s="17">
        <v>45717</v>
      </c>
      <c r="G143" s="17">
        <v>45900</v>
      </c>
      <c r="H143" s="16">
        <f>'CUOTA LICITADA'!F53</f>
        <v>30.877187040000003</v>
      </c>
      <c r="I143" s="16">
        <f>'CUOTA LICITADA'!G53</f>
        <v>0</v>
      </c>
      <c r="J143" s="16">
        <f>'CUOTA LICITADA'!H53</f>
        <v>30.877187040000003</v>
      </c>
      <c r="K143" s="16">
        <f>'CUOTA LICITADA'!I53</f>
        <v>0</v>
      </c>
      <c r="L143" s="16">
        <f>'CUOTA LICITADA'!J53</f>
        <v>30.877187040000003</v>
      </c>
      <c r="M143" s="22">
        <f>'CUOTA LICITADA'!K53</f>
        <v>0</v>
      </c>
      <c r="N143" s="17" t="s">
        <v>41</v>
      </c>
      <c r="O143" s="17">
        <f>'RESUMEN '!$B$3</f>
        <v>45789</v>
      </c>
      <c r="P143" s="15">
        <v>2025</v>
      </c>
      <c r="Q143" s="15"/>
    </row>
    <row r="144" spans="1:17" x14ac:dyDescent="0.25">
      <c r="A144" s="15" t="s">
        <v>178</v>
      </c>
      <c r="B144" s="15" t="s">
        <v>169</v>
      </c>
      <c r="C144" s="15" t="s">
        <v>95</v>
      </c>
      <c r="D144" s="15" t="s">
        <v>179</v>
      </c>
      <c r="E144" s="15" t="str">
        <f>'CUOTA LICITADA'!C53</f>
        <v>QUINTERO S.A. PESQ.</v>
      </c>
      <c r="F144" s="17">
        <v>45931</v>
      </c>
      <c r="G144" s="17">
        <v>46022</v>
      </c>
      <c r="H144" s="16">
        <f>'CUOTA LICITADA'!F54</f>
        <v>3.4307985600000004</v>
      </c>
      <c r="I144" s="16">
        <f>'CUOTA LICITADA'!G54</f>
        <v>0</v>
      </c>
      <c r="J144" s="16">
        <f>'CUOTA LICITADA'!H54</f>
        <v>34.307985600000002</v>
      </c>
      <c r="K144" s="16">
        <f>'CUOTA LICITADA'!I54</f>
        <v>0</v>
      </c>
      <c r="L144" s="16">
        <f>'CUOTA LICITADA'!J54</f>
        <v>34.307985600000002</v>
      </c>
      <c r="M144" s="22">
        <f>'CUOTA LICITADA'!K54</f>
        <v>0</v>
      </c>
      <c r="N144" s="17" t="s">
        <v>41</v>
      </c>
      <c r="O144" s="17">
        <f>'RESUMEN '!$B$3</f>
        <v>45789</v>
      </c>
      <c r="P144" s="15">
        <v>2025</v>
      </c>
      <c r="Q144" s="15"/>
    </row>
    <row r="145" spans="1:17" x14ac:dyDescent="0.25">
      <c r="A145" s="15" t="s">
        <v>178</v>
      </c>
      <c r="B145" s="15" t="s">
        <v>169</v>
      </c>
      <c r="C145" s="15" t="s">
        <v>95</v>
      </c>
      <c r="D145" s="15" t="s">
        <v>179</v>
      </c>
      <c r="E145" s="15" t="str">
        <f>'CUOTA LICITADA'!C53</f>
        <v>QUINTERO S.A. PESQ.</v>
      </c>
      <c r="F145" s="17">
        <v>45658</v>
      </c>
      <c r="G145" s="17">
        <v>46022</v>
      </c>
      <c r="H145" s="16">
        <f>'CUOTA LICITADA'!L53</f>
        <v>34.307985600000002</v>
      </c>
      <c r="I145" s="16">
        <f>'CUOTA LICITADA'!M53</f>
        <v>0</v>
      </c>
      <c r="J145" s="16">
        <f>'CUOTA LICITADA'!N53</f>
        <v>34.307985600000002</v>
      </c>
      <c r="K145" s="16">
        <f>'CUOTA LICITADA'!O53</f>
        <v>0</v>
      </c>
      <c r="L145" s="16">
        <f>'CUOTA LICITADA'!P53</f>
        <v>34.307985600000002</v>
      </c>
      <c r="M145" s="22">
        <f>'CUOTA LICITADA'!Q53</f>
        <v>0</v>
      </c>
      <c r="N145" s="17" t="s">
        <v>41</v>
      </c>
      <c r="O145" s="17">
        <f>'RESUMEN '!$B$3</f>
        <v>45789</v>
      </c>
      <c r="P145" s="15">
        <v>2025</v>
      </c>
      <c r="Q145" s="15"/>
    </row>
    <row r="146" spans="1:17" x14ac:dyDescent="0.25">
      <c r="A146" s="15" t="s">
        <v>178</v>
      </c>
      <c r="B146" s="15" t="s">
        <v>169</v>
      </c>
      <c r="C146" s="15" t="s">
        <v>95</v>
      </c>
      <c r="D146" s="15" t="s">
        <v>179</v>
      </c>
      <c r="E146" s="15" t="str">
        <f>'CUOTA LICITADA'!C55</f>
        <v>BRACPESCA S.A.</v>
      </c>
      <c r="F146" s="17">
        <v>45717</v>
      </c>
      <c r="G146" s="17">
        <v>45900</v>
      </c>
      <c r="H146" s="16">
        <f>'CUOTA LICITADA'!F55</f>
        <v>390.39839999999998</v>
      </c>
      <c r="I146" s="16">
        <f>'CUOTA LICITADA'!G55</f>
        <v>0</v>
      </c>
      <c r="J146" s="16">
        <f>'CUOTA LICITADA'!H55</f>
        <v>390.39839999999998</v>
      </c>
      <c r="K146" s="16">
        <f>'CUOTA LICITADA'!I55</f>
        <v>55.298999999999999</v>
      </c>
      <c r="L146" s="16">
        <f>'CUOTA LICITADA'!J55</f>
        <v>335.0994</v>
      </c>
      <c r="M146" s="22">
        <f>'CUOTA LICITADA'!K55</f>
        <v>0.14164760921151318</v>
      </c>
      <c r="N146" s="17" t="s">
        <v>41</v>
      </c>
      <c r="O146" s="17">
        <f>'RESUMEN '!$B$3</f>
        <v>45789</v>
      </c>
      <c r="P146" s="15">
        <v>2025</v>
      </c>
      <c r="Q146" s="15"/>
    </row>
    <row r="147" spans="1:17" x14ac:dyDescent="0.25">
      <c r="A147" s="15" t="s">
        <v>178</v>
      </c>
      <c r="B147" s="15" t="s">
        <v>169</v>
      </c>
      <c r="C147" s="15" t="s">
        <v>95</v>
      </c>
      <c r="D147" s="15" t="s">
        <v>179</v>
      </c>
      <c r="E147" s="15" t="str">
        <f>'CUOTA LICITADA'!C55</f>
        <v>BRACPESCA S.A.</v>
      </c>
      <c r="F147" s="17">
        <v>45931</v>
      </c>
      <c r="G147" s="17">
        <v>46022</v>
      </c>
      <c r="H147" s="16">
        <f>'CUOTA LICITADA'!F56</f>
        <v>43.377600000000001</v>
      </c>
      <c r="I147" s="16">
        <f>'CUOTA LICITADA'!G56</f>
        <v>0</v>
      </c>
      <c r="J147" s="16">
        <f>'CUOTA LICITADA'!H56</f>
        <v>378.47699999999998</v>
      </c>
      <c r="K147" s="16">
        <f>'CUOTA LICITADA'!I56</f>
        <v>0</v>
      </c>
      <c r="L147" s="16">
        <f>'CUOTA LICITADA'!J56</f>
        <v>378.47699999999998</v>
      </c>
      <c r="M147" s="22">
        <f>'CUOTA LICITADA'!K56</f>
        <v>0</v>
      </c>
      <c r="N147" s="17" t="s">
        <v>41</v>
      </c>
      <c r="O147" s="17">
        <f>'RESUMEN '!$B$3</f>
        <v>45789</v>
      </c>
      <c r="P147" s="15">
        <v>2025</v>
      </c>
      <c r="Q147" s="15"/>
    </row>
    <row r="148" spans="1:17" x14ac:dyDescent="0.25">
      <c r="A148" s="15" t="s">
        <v>178</v>
      </c>
      <c r="B148" s="15" t="s">
        <v>169</v>
      </c>
      <c r="C148" s="15" t="s">
        <v>95</v>
      </c>
      <c r="D148" s="15" t="s">
        <v>179</v>
      </c>
      <c r="E148" s="15" t="str">
        <f>'CUOTA LICITADA'!C55</f>
        <v>BRACPESCA S.A.</v>
      </c>
      <c r="F148" s="17">
        <v>45658</v>
      </c>
      <c r="G148" s="17">
        <v>46022</v>
      </c>
      <c r="H148" s="16">
        <f>'CUOTA LICITADA'!L55</f>
        <v>433.77599999999995</v>
      </c>
      <c r="I148" s="16">
        <f>'CUOTA LICITADA'!M55</f>
        <v>0</v>
      </c>
      <c r="J148" s="16">
        <f>'CUOTA LICITADA'!N55</f>
        <v>433.77599999999995</v>
      </c>
      <c r="K148" s="16">
        <f>'CUOTA LICITADA'!O55</f>
        <v>55.298999999999999</v>
      </c>
      <c r="L148" s="16">
        <f>'CUOTA LICITADA'!P55</f>
        <v>378.47699999999998</v>
      </c>
      <c r="M148" s="22">
        <f>'CUOTA LICITADA'!Q55</f>
        <v>0.12748284829036186</v>
      </c>
      <c r="N148" s="17" t="s">
        <v>41</v>
      </c>
      <c r="O148" s="17">
        <f>'RESUMEN '!$B$3</f>
        <v>45789</v>
      </c>
      <c r="P148" s="15">
        <v>2025</v>
      </c>
      <c r="Q148" s="15"/>
    </row>
    <row r="149" spans="1:17" x14ac:dyDescent="0.25">
      <c r="A149" s="15" t="s">
        <v>178</v>
      </c>
      <c r="B149" s="15" t="s">
        <v>169</v>
      </c>
      <c r="C149" s="15" t="s">
        <v>95</v>
      </c>
      <c r="D149" s="15" t="s">
        <v>179</v>
      </c>
      <c r="E149" s="15" t="str">
        <f>'CUOTA LICITADA'!C57</f>
        <v>ANTONIO CRUZ CORDOVA NAKOUZI E.I.R.L.</v>
      </c>
      <c r="F149" s="17">
        <v>45717</v>
      </c>
      <c r="G149" s="17">
        <v>45900</v>
      </c>
      <c r="H149" s="16">
        <f>'CUOTA LICITADA'!F57</f>
        <v>2.8928642399999998</v>
      </c>
      <c r="I149" s="16">
        <f>'CUOTA LICITADA'!G57</f>
        <v>0</v>
      </c>
      <c r="J149" s="16">
        <f>'CUOTA LICITADA'!H57</f>
        <v>2.8928642399999998</v>
      </c>
      <c r="K149" s="16">
        <f>'CUOTA LICITADA'!I57</f>
        <v>0</v>
      </c>
      <c r="L149" s="16">
        <f>'CUOTA LICITADA'!J57</f>
        <v>2.8928642399999998</v>
      </c>
      <c r="M149" s="22">
        <f>'CUOTA LICITADA'!K57</f>
        <v>0</v>
      </c>
      <c r="N149" s="17" t="s">
        <v>41</v>
      </c>
      <c r="O149" s="17">
        <f>'RESUMEN '!$B$3</f>
        <v>45789</v>
      </c>
      <c r="P149" s="15">
        <v>2025</v>
      </c>
      <c r="Q149" s="15"/>
    </row>
    <row r="150" spans="1:17" x14ac:dyDescent="0.25">
      <c r="A150" s="15" t="s">
        <v>178</v>
      </c>
      <c r="B150" s="15" t="s">
        <v>169</v>
      </c>
      <c r="C150" s="15" t="s">
        <v>95</v>
      </c>
      <c r="D150" s="15" t="s">
        <v>179</v>
      </c>
      <c r="E150" s="15" t="str">
        <f>'CUOTA LICITADA'!C57</f>
        <v>ANTONIO CRUZ CORDOVA NAKOUZI E.I.R.L.</v>
      </c>
      <c r="F150" s="17">
        <v>45931</v>
      </c>
      <c r="G150" s="17">
        <v>46022</v>
      </c>
      <c r="H150" s="16">
        <f>'CUOTA LICITADA'!F58</f>
        <v>0.32142936</v>
      </c>
      <c r="I150" s="16">
        <f>'CUOTA LICITADA'!G58</f>
        <v>0</v>
      </c>
      <c r="J150" s="16">
        <f>'CUOTA LICITADA'!H58</f>
        <v>3.2142935999999995</v>
      </c>
      <c r="K150" s="16">
        <f>'CUOTA LICITADA'!I58</f>
        <v>0</v>
      </c>
      <c r="L150" s="16">
        <f>'CUOTA LICITADA'!J58</f>
        <v>3.2142935999999995</v>
      </c>
      <c r="M150" s="22">
        <f>'CUOTA LICITADA'!K58</f>
        <v>0</v>
      </c>
      <c r="N150" s="17" t="s">
        <v>41</v>
      </c>
      <c r="O150" s="17">
        <f>'RESUMEN '!$B$3</f>
        <v>45789</v>
      </c>
      <c r="P150" s="15">
        <v>2025</v>
      </c>
      <c r="Q150" s="15"/>
    </row>
    <row r="151" spans="1:17" x14ac:dyDescent="0.25">
      <c r="A151" s="15" t="s">
        <v>178</v>
      </c>
      <c r="B151" s="15" t="s">
        <v>169</v>
      </c>
      <c r="C151" s="15" t="s">
        <v>95</v>
      </c>
      <c r="D151" s="15" t="s">
        <v>179</v>
      </c>
      <c r="E151" s="15" t="str">
        <f>'CUOTA LICITADA'!C57</f>
        <v>ANTONIO CRUZ CORDOVA NAKOUZI E.I.R.L.</v>
      </c>
      <c r="F151" s="17">
        <v>45658</v>
      </c>
      <c r="G151" s="17">
        <v>46022</v>
      </c>
      <c r="H151" s="16">
        <f>'CUOTA LICITADA'!L57</f>
        <v>3.2142935999999995</v>
      </c>
      <c r="I151" s="16">
        <f>'CUOTA LICITADA'!M57</f>
        <v>0</v>
      </c>
      <c r="J151" s="16">
        <f>'CUOTA LICITADA'!N57</f>
        <v>3.2142935999999995</v>
      </c>
      <c r="K151" s="16">
        <f>'CUOTA LICITADA'!O57</f>
        <v>0</v>
      </c>
      <c r="L151" s="16">
        <f>'CUOTA LICITADA'!P57</f>
        <v>3.2142935999999995</v>
      </c>
      <c r="M151" s="22">
        <f>'CUOTA LICITADA'!Q57</f>
        <v>0</v>
      </c>
      <c r="N151" s="17" t="s">
        <v>41</v>
      </c>
      <c r="O151" s="17">
        <f>'RESUMEN '!$B$3</f>
        <v>45789</v>
      </c>
      <c r="P151" s="15">
        <v>2025</v>
      </c>
      <c r="Q151" s="15"/>
    </row>
    <row r="152" spans="1:17" x14ac:dyDescent="0.25">
      <c r="A152" s="15" t="s">
        <v>178</v>
      </c>
      <c r="B152" s="15" t="s">
        <v>169</v>
      </c>
      <c r="C152" s="15" t="s">
        <v>95</v>
      </c>
      <c r="D152" s="15" t="s">
        <v>179</v>
      </c>
      <c r="E152" s="15" t="str">
        <f>'CUOTA LICITADA'!C59</f>
        <v>GRIMAR S.A. PESQ.</v>
      </c>
      <c r="F152" s="17">
        <v>45717</v>
      </c>
      <c r="G152" s="17">
        <v>45900</v>
      </c>
      <c r="H152" s="16">
        <f>'CUOTA LICITADA'!F59</f>
        <v>0.54995976000000002</v>
      </c>
      <c r="I152" s="16">
        <f>'CUOTA LICITADA'!G59</f>
        <v>0</v>
      </c>
      <c r="J152" s="16">
        <f>'CUOTA LICITADA'!H59</f>
        <v>0.54995976000000002</v>
      </c>
      <c r="K152" s="16">
        <f>'CUOTA LICITADA'!I59</f>
        <v>0</v>
      </c>
      <c r="L152" s="16">
        <f>'CUOTA LICITADA'!J59</f>
        <v>0.54995976000000002</v>
      </c>
      <c r="M152" s="22">
        <f>'CUOTA LICITADA'!K59</f>
        <v>0</v>
      </c>
      <c r="N152" s="17" t="s">
        <v>41</v>
      </c>
      <c r="O152" s="17">
        <f>'RESUMEN '!$B$3</f>
        <v>45789</v>
      </c>
      <c r="P152" s="15">
        <v>2025</v>
      </c>
      <c r="Q152" s="15"/>
    </row>
    <row r="153" spans="1:17" x14ac:dyDescent="0.25">
      <c r="A153" s="15" t="s">
        <v>178</v>
      </c>
      <c r="B153" s="15" t="s">
        <v>169</v>
      </c>
      <c r="C153" s="15" t="s">
        <v>95</v>
      </c>
      <c r="D153" s="15" t="s">
        <v>179</v>
      </c>
      <c r="E153" s="15" t="str">
        <f>'CUOTA LICITADA'!C59</f>
        <v>GRIMAR S.A. PESQ.</v>
      </c>
      <c r="F153" s="17">
        <v>45931</v>
      </c>
      <c r="G153" s="17">
        <v>46022</v>
      </c>
      <c r="H153" s="16">
        <f>'CUOTA LICITADA'!F60</f>
        <v>6.1106640000000004E-2</v>
      </c>
      <c r="I153" s="16">
        <f>'CUOTA LICITADA'!G60</f>
        <v>0</v>
      </c>
      <c r="J153" s="16">
        <f>'CUOTA LICITADA'!H60</f>
        <v>0.61106640000000001</v>
      </c>
      <c r="K153" s="16">
        <f>'CUOTA LICITADA'!I60</f>
        <v>0</v>
      </c>
      <c r="L153" s="16">
        <f>'CUOTA LICITADA'!J60</f>
        <v>0.61106640000000001</v>
      </c>
      <c r="M153" s="22">
        <f>'CUOTA LICITADA'!K60</f>
        <v>0</v>
      </c>
      <c r="N153" s="17" t="s">
        <v>41</v>
      </c>
      <c r="O153" s="17">
        <f>'RESUMEN '!$B$3</f>
        <v>45789</v>
      </c>
      <c r="P153" s="15">
        <v>2025</v>
      </c>
      <c r="Q153" s="15"/>
    </row>
    <row r="154" spans="1:17" x14ac:dyDescent="0.25">
      <c r="A154" s="15" t="s">
        <v>178</v>
      </c>
      <c r="B154" s="15" t="s">
        <v>169</v>
      </c>
      <c r="C154" s="15" t="s">
        <v>95</v>
      </c>
      <c r="D154" s="15" t="s">
        <v>179</v>
      </c>
      <c r="E154" s="15" t="str">
        <f>'CUOTA LICITADA'!C59</f>
        <v>GRIMAR S.A. PESQ.</v>
      </c>
      <c r="F154" s="17">
        <v>45658</v>
      </c>
      <c r="G154" s="17">
        <v>46022</v>
      </c>
      <c r="H154" s="16">
        <f>'CUOTA LICITADA'!L59</f>
        <v>0.61106640000000001</v>
      </c>
      <c r="I154" s="16">
        <f>'CUOTA LICITADA'!M59</f>
        <v>0</v>
      </c>
      <c r="J154" s="16">
        <f>'CUOTA LICITADA'!N59</f>
        <v>0.61106640000000001</v>
      </c>
      <c r="K154" s="16">
        <f>'CUOTA LICITADA'!O59</f>
        <v>0</v>
      </c>
      <c r="L154" s="16">
        <f>'CUOTA LICITADA'!P59</f>
        <v>0.61106640000000001</v>
      </c>
      <c r="M154" s="22">
        <f>'CUOTA LICITADA'!Q59</f>
        <v>0</v>
      </c>
      <c r="N154" s="17" t="s">
        <v>41</v>
      </c>
      <c r="O154" s="17">
        <f>'RESUMEN '!$B$3</f>
        <v>45789</v>
      </c>
      <c r="P154" s="15">
        <v>2025</v>
      </c>
      <c r="Q154" s="15"/>
    </row>
    <row r="155" spans="1:17" x14ac:dyDescent="0.25">
      <c r="A155" s="15" t="s">
        <v>178</v>
      </c>
      <c r="B155" s="15" t="s">
        <v>169</v>
      </c>
      <c r="C155" s="15" t="s">
        <v>95</v>
      </c>
      <c r="D155" s="15" t="s">
        <v>179</v>
      </c>
      <c r="E155" s="15" t="str">
        <f>'CUOTA LICITADA'!C61</f>
        <v>ISLADAMAS S.A. PESQ.</v>
      </c>
      <c r="F155" s="17">
        <v>45717</v>
      </c>
      <c r="G155" s="17">
        <v>45900</v>
      </c>
      <c r="H155" s="16">
        <f>'CUOTA LICITADA'!F61</f>
        <v>170.5988088</v>
      </c>
      <c r="I155" s="16">
        <f>'CUOTA LICITADA'!G61</f>
        <v>-0.83099999999999996</v>
      </c>
      <c r="J155" s="16">
        <f>'CUOTA LICITADA'!H61</f>
        <v>169.76780880000001</v>
      </c>
      <c r="K155" s="16">
        <f>'CUOTA LICITADA'!I61</f>
        <v>0</v>
      </c>
      <c r="L155" s="16">
        <f>'CUOTA LICITADA'!J61</f>
        <v>169.76780880000001</v>
      </c>
      <c r="M155" s="22">
        <f>'CUOTA LICITADA'!K61</f>
        <v>0</v>
      </c>
      <c r="N155" s="17" t="s">
        <v>41</v>
      </c>
      <c r="O155" s="17">
        <f>'RESUMEN '!$B$3</f>
        <v>45789</v>
      </c>
      <c r="P155" s="15">
        <v>2025</v>
      </c>
      <c r="Q155" s="15"/>
    </row>
    <row r="156" spans="1:17" x14ac:dyDescent="0.25">
      <c r="A156" s="15" t="s">
        <v>178</v>
      </c>
      <c r="B156" s="15" t="s">
        <v>169</v>
      </c>
      <c r="C156" s="15" t="s">
        <v>95</v>
      </c>
      <c r="D156" s="15" t="s">
        <v>179</v>
      </c>
      <c r="E156" s="15" t="str">
        <f>'CUOTA LICITADA'!C61</f>
        <v>ISLADAMAS S.A. PESQ.</v>
      </c>
      <c r="F156" s="17">
        <v>45931</v>
      </c>
      <c r="G156" s="17">
        <v>46022</v>
      </c>
      <c r="H156" s="16">
        <f>'CUOTA LICITADA'!F62</f>
        <v>18.955423199999998</v>
      </c>
      <c r="I156" s="16">
        <f>'CUOTA LICITADA'!G62</f>
        <v>0</v>
      </c>
      <c r="J156" s="16">
        <f>'CUOTA LICITADA'!H62</f>
        <v>188.723232</v>
      </c>
      <c r="K156" s="16">
        <f>'CUOTA LICITADA'!I62</f>
        <v>0</v>
      </c>
      <c r="L156" s="16">
        <f>'CUOTA LICITADA'!J62</f>
        <v>188.723232</v>
      </c>
      <c r="M156" s="22">
        <f>'CUOTA LICITADA'!K62</f>
        <v>0</v>
      </c>
      <c r="N156" s="17" t="s">
        <v>41</v>
      </c>
      <c r="O156" s="17">
        <f>'RESUMEN '!$B$3</f>
        <v>45789</v>
      </c>
      <c r="P156" s="15">
        <v>2025</v>
      </c>
      <c r="Q156" s="15"/>
    </row>
    <row r="157" spans="1:17" x14ac:dyDescent="0.25">
      <c r="A157" s="15" t="s">
        <v>178</v>
      </c>
      <c r="B157" s="15" t="s">
        <v>169</v>
      </c>
      <c r="C157" s="15" t="s">
        <v>95</v>
      </c>
      <c r="D157" s="15" t="s">
        <v>179</v>
      </c>
      <c r="E157" s="15" t="str">
        <f>'CUOTA LICITADA'!C61</f>
        <v>ISLADAMAS S.A. PESQ.</v>
      </c>
      <c r="F157" s="17">
        <v>45658</v>
      </c>
      <c r="G157" s="17">
        <v>46022</v>
      </c>
      <c r="H157" s="16">
        <f>'CUOTA LICITADA'!L61</f>
        <v>189.55423200000001</v>
      </c>
      <c r="I157" s="16">
        <f>'CUOTA LICITADA'!M61</f>
        <v>-0.83099999999999996</v>
      </c>
      <c r="J157" s="16">
        <f>'CUOTA LICITADA'!N61</f>
        <v>188.72323200000002</v>
      </c>
      <c r="K157" s="16">
        <f>'CUOTA LICITADA'!O61</f>
        <v>0</v>
      </c>
      <c r="L157" s="16">
        <f>'CUOTA LICITADA'!P61</f>
        <v>188.72323200000002</v>
      </c>
      <c r="M157" s="22">
        <f>'CUOTA LICITADA'!Q61</f>
        <v>0</v>
      </c>
      <c r="N157" s="17" t="s">
        <v>41</v>
      </c>
      <c r="O157" s="17">
        <f>'RESUMEN '!$B$3</f>
        <v>45789</v>
      </c>
      <c r="P157" s="15">
        <v>2025</v>
      </c>
      <c r="Q157" s="15"/>
    </row>
    <row r="158" spans="1:17" x14ac:dyDescent="0.25">
      <c r="A158" s="15" t="s">
        <v>178</v>
      </c>
      <c r="B158" s="15" t="s">
        <v>169</v>
      </c>
      <c r="C158" s="15" t="s">
        <v>95</v>
      </c>
      <c r="D158" s="15" t="s">
        <v>179</v>
      </c>
      <c r="E158" s="15" t="str">
        <f>'CUOTA LICITADA'!C63</f>
        <v>LANDES S.A. PESQ.</v>
      </c>
      <c r="F158" s="17">
        <v>45717</v>
      </c>
      <c r="G158" s="17">
        <v>45900</v>
      </c>
      <c r="H158" s="16">
        <f>'CUOTA LICITADA'!F63</f>
        <v>1.512</v>
      </c>
      <c r="I158" s="16">
        <f>'CUOTA LICITADA'!G63</f>
        <v>0</v>
      </c>
      <c r="J158" s="16">
        <f>'CUOTA LICITADA'!H63</f>
        <v>1.512</v>
      </c>
      <c r="K158" s="16">
        <f>'CUOTA LICITADA'!I63</f>
        <v>0</v>
      </c>
      <c r="L158" s="16">
        <f>'CUOTA LICITADA'!J63</f>
        <v>1.512</v>
      </c>
      <c r="M158" s="22">
        <f>'CUOTA LICITADA'!K63</f>
        <v>0</v>
      </c>
      <c r="N158" s="17" t="s">
        <v>41</v>
      </c>
      <c r="O158" s="17">
        <f>'RESUMEN '!$B$3</f>
        <v>45789</v>
      </c>
      <c r="P158" s="15">
        <v>2025</v>
      </c>
      <c r="Q158" s="15"/>
    </row>
    <row r="159" spans="1:17" x14ac:dyDescent="0.25">
      <c r="A159" s="15" t="s">
        <v>178</v>
      </c>
      <c r="B159" s="15" t="s">
        <v>169</v>
      </c>
      <c r="C159" s="15" t="s">
        <v>95</v>
      </c>
      <c r="D159" s="15" t="s">
        <v>179</v>
      </c>
      <c r="E159" s="15" t="str">
        <f>'CUOTA LICITADA'!C63</f>
        <v>LANDES S.A. PESQ.</v>
      </c>
      <c r="F159" s="17">
        <v>45931</v>
      </c>
      <c r="G159" s="17">
        <v>46022</v>
      </c>
      <c r="H159" s="16">
        <f>'CUOTA LICITADA'!F64</f>
        <v>0.16800000000000001</v>
      </c>
      <c r="I159" s="16">
        <f>'CUOTA LICITADA'!G64</f>
        <v>0</v>
      </c>
      <c r="J159" s="16">
        <f>'CUOTA LICITADA'!H64</f>
        <v>1.68</v>
      </c>
      <c r="K159" s="16">
        <f>'CUOTA LICITADA'!I64</f>
        <v>0</v>
      </c>
      <c r="L159" s="16">
        <f>'CUOTA LICITADA'!J64</f>
        <v>1.68</v>
      </c>
      <c r="M159" s="22">
        <f>'CUOTA LICITADA'!K64</f>
        <v>0</v>
      </c>
      <c r="N159" s="17" t="s">
        <v>41</v>
      </c>
      <c r="O159" s="17">
        <f>'RESUMEN '!$B$3</f>
        <v>45789</v>
      </c>
      <c r="P159" s="15">
        <v>2025</v>
      </c>
      <c r="Q159" s="15"/>
    </row>
    <row r="160" spans="1:17" x14ac:dyDescent="0.25">
      <c r="A160" s="15" t="s">
        <v>178</v>
      </c>
      <c r="B160" s="15" t="s">
        <v>169</v>
      </c>
      <c r="C160" s="15" t="s">
        <v>95</v>
      </c>
      <c r="D160" s="15" t="s">
        <v>179</v>
      </c>
      <c r="E160" s="15" t="str">
        <f>'CUOTA LICITADA'!C63</f>
        <v>LANDES S.A. PESQ.</v>
      </c>
      <c r="F160" s="17">
        <v>45658</v>
      </c>
      <c r="G160" s="17">
        <v>46022</v>
      </c>
      <c r="H160" s="16">
        <f>'CUOTA LICITADA'!L63</f>
        <v>1.68</v>
      </c>
      <c r="I160" s="16">
        <f>'CUOTA LICITADA'!M63</f>
        <v>0</v>
      </c>
      <c r="J160" s="16">
        <f>'CUOTA LICITADA'!N63</f>
        <v>1.68</v>
      </c>
      <c r="K160" s="16">
        <f>'CUOTA LICITADA'!O63</f>
        <v>0</v>
      </c>
      <c r="L160" s="16">
        <f>'CUOTA LICITADA'!P63</f>
        <v>1.68</v>
      </c>
      <c r="M160" s="22">
        <f>'CUOTA LICITADA'!Q63</f>
        <v>0</v>
      </c>
      <c r="N160" s="17" t="s">
        <v>41</v>
      </c>
      <c r="O160" s="17">
        <f>'RESUMEN '!$B$3</f>
        <v>45789</v>
      </c>
      <c r="P160" s="15">
        <v>2025</v>
      </c>
      <c r="Q160" s="15"/>
    </row>
    <row r="161" spans="1:17" x14ac:dyDescent="0.25">
      <c r="A161" s="15" t="s">
        <v>178</v>
      </c>
      <c r="B161" s="15" t="s">
        <v>169</v>
      </c>
      <c r="C161" s="15" t="s">
        <v>95</v>
      </c>
      <c r="D161" s="15" t="s">
        <v>179</v>
      </c>
      <c r="E161" s="15" t="str">
        <f>'CUOTA LICITADA'!C65</f>
        <v>ZUÑIGA ROMERO GONZALO</v>
      </c>
      <c r="F161" s="17">
        <v>45717</v>
      </c>
      <c r="G161" s="17">
        <v>45900</v>
      </c>
      <c r="H161" s="16">
        <f>'CUOTA LICITADA'!F65</f>
        <v>0</v>
      </c>
      <c r="I161" s="16">
        <f>'CUOTA LICITADA'!G65</f>
        <v>0</v>
      </c>
      <c r="J161" s="16">
        <f>'CUOTA LICITADA'!H65</f>
        <v>0</v>
      </c>
      <c r="K161" s="16">
        <f>'CUOTA LICITADA'!I65</f>
        <v>0</v>
      </c>
      <c r="L161" s="16">
        <f>'CUOTA LICITADA'!J65</f>
        <v>0</v>
      </c>
      <c r="M161" s="22" t="e">
        <f>'CUOTA LICITADA'!K65</f>
        <v>#DIV/0!</v>
      </c>
      <c r="N161" s="17" t="s">
        <v>41</v>
      </c>
      <c r="O161" s="17">
        <f>'RESUMEN '!$B$3</f>
        <v>45789</v>
      </c>
      <c r="P161" s="15">
        <v>2025</v>
      </c>
      <c r="Q161" s="15"/>
    </row>
    <row r="162" spans="1:17" x14ac:dyDescent="0.25">
      <c r="A162" s="15" t="s">
        <v>178</v>
      </c>
      <c r="B162" s="15" t="s">
        <v>169</v>
      </c>
      <c r="C162" s="15" t="s">
        <v>95</v>
      </c>
      <c r="D162" s="15" t="s">
        <v>179</v>
      </c>
      <c r="E162" s="15" t="str">
        <f>'CUOTA LICITADA'!C65</f>
        <v>ZUÑIGA ROMERO GONZALO</v>
      </c>
      <c r="F162" s="17">
        <v>45931</v>
      </c>
      <c r="G162" s="17">
        <v>46022</v>
      </c>
      <c r="H162" s="16">
        <f>'CUOTA LICITADA'!F66</f>
        <v>0</v>
      </c>
      <c r="I162" s="16">
        <f>'CUOTA LICITADA'!G66</f>
        <v>0</v>
      </c>
      <c r="J162" s="16">
        <f>'CUOTA LICITADA'!H66</f>
        <v>0</v>
      </c>
      <c r="K162" s="16">
        <f>'CUOTA LICITADA'!I66</f>
        <v>0</v>
      </c>
      <c r="L162" s="16">
        <f>'CUOTA LICITADA'!J66</f>
        <v>0</v>
      </c>
      <c r="M162" s="22" t="e">
        <f>'CUOTA LICITADA'!K66</f>
        <v>#DIV/0!</v>
      </c>
      <c r="N162" s="17" t="s">
        <v>41</v>
      </c>
      <c r="O162" s="17">
        <f>'RESUMEN '!$B$3</f>
        <v>45789</v>
      </c>
      <c r="P162" s="15">
        <v>2025</v>
      </c>
      <c r="Q162" s="15"/>
    </row>
    <row r="163" spans="1:17" x14ac:dyDescent="0.25">
      <c r="A163" s="15" t="s">
        <v>178</v>
      </c>
      <c r="B163" s="15" t="s">
        <v>169</v>
      </c>
      <c r="C163" s="15" t="s">
        <v>95</v>
      </c>
      <c r="D163" s="15" t="s">
        <v>179</v>
      </c>
      <c r="E163" s="15" t="str">
        <f>'CUOTA LICITADA'!C65</f>
        <v>ZUÑIGA ROMERO GONZALO</v>
      </c>
      <c r="F163" s="17">
        <v>45658</v>
      </c>
      <c r="G163" s="17">
        <v>46022</v>
      </c>
      <c r="H163" s="16">
        <f>'CUOTA LICITADA'!L65</f>
        <v>0</v>
      </c>
      <c r="I163" s="16">
        <f>'CUOTA LICITADA'!M65</f>
        <v>0</v>
      </c>
      <c r="J163" s="16">
        <f>'CUOTA LICITADA'!N65</f>
        <v>0</v>
      </c>
      <c r="K163" s="16">
        <f>'CUOTA LICITADA'!O65</f>
        <v>0</v>
      </c>
      <c r="L163" s="16">
        <f>'CUOTA LICITADA'!P65</f>
        <v>0</v>
      </c>
      <c r="M163" s="22" t="e">
        <f>'CUOTA LICITADA'!Q65</f>
        <v>#DIV/0!</v>
      </c>
      <c r="N163" s="17" t="s">
        <v>41</v>
      </c>
      <c r="O163" s="17">
        <f>'RESUMEN '!$B$3</f>
        <v>45789</v>
      </c>
      <c r="P163" s="15">
        <v>2025</v>
      </c>
      <c r="Q163" s="15"/>
    </row>
    <row r="164" spans="1:17" x14ac:dyDescent="0.25">
      <c r="A164" s="15" t="s">
        <v>178</v>
      </c>
      <c r="B164" s="15" t="s">
        <v>169</v>
      </c>
      <c r="C164" s="15" t="s">
        <v>95</v>
      </c>
      <c r="D164" s="15" t="s">
        <v>179</v>
      </c>
      <c r="E164" s="15" t="str">
        <f>'CUOTA LICITADA'!C67</f>
        <v>PACIFICBLU SPA.</v>
      </c>
      <c r="F164" s="17">
        <v>45717</v>
      </c>
      <c r="G164" s="17">
        <v>45900</v>
      </c>
      <c r="H164" s="16">
        <f>'CUOTA LICITADA'!F67</f>
        <v>78.503039999999999</v>
      </c>
      <c r="I164" s="16">
        <f>'CUOTA LICITADA'!G67</f>
        <v>-33.6</v>
      </c>
      <c r="J164" s="16">
        <f>'CUOTA LICITADA'!H67</f>
        <v>44.903039999999997</v>
      </c>
      <c r="K164" s="16">
        <f>'CUOTA LICITADA'!I67</f>
        <v>17.420000000000002</v>
      </c>
      <c r="L164" s="16">
        <f>'CUOTA LICITADA'!J67</f>
        <v>27.483039999999995</v>
      </c>
      <c r="M164" s="22">
        <f>'CUOTA LICITADA'!K67</f>
        <v>0.38794700759681311</v>
      </c>
      <c r="N164" s="17" t="s">
        <v>41</v>
      </c>
      <c r="O164" s="17">
        <f>'RESUMEN '!$B$3</f>
        <v>45789</v>
      </c>
      <c r="P164" s="15">
        <v>2025</v>
      </c>
      <c r="Q164" s="15"/>
    </row>
    <row r="165" spans="1:17" x14ac:dyDescent="0.25">
      <c r="A165" s="15" t="s">
        <v>178</v>
      </c>
      <c r="B165" s="15" t="s">
        <v>169</v>
      </c>
      <c r="C165" s="15" t="s">
        <v>95</v>
      </c>
      <c r="D165" s="15" t="s">
        <v>179</v>
      </c>
      <c r="E165" s="15" t="str">
        <f>'CUOTA LICITADA'!C67</f>
        <v>PACIFICBLU SPA.</v>
      </c>
      <c r="F165" s="17">
        <v>45931</v>
      </c>
      <c r="G165" s="17">
        <v>46022</v>
      </c>
      <c r="H165" s="16">
        <f>'CUOTA LICITADA'!F68</f>
        <v>8.7225599999999996</v>
      </c>
      <c r="I165" s="16">
        <f>'CUOTA LICITADA'!G68</f>
        <v>0</v>
      </c>
      <c r="J165" s="16">
        <f>'CUOTA LICITADA'!H68</f>
        <v>36.205599999999997</v>
      </c>
      <c r="K165" s="16">
        <f>'CUOTA LICITADA'!I68</f>
        <v>0</v>
      </c>
      <c r="L165" s="16">
        <f>'CUOTA LICITADA'!J68</f>
        <v>36.205599999999997</v>
      </c>
      <c r="M165" s="22">
        <f>'CUOTA LICITADA'!K68</f>
        <v>0</v>
      </c>
      <c r="N165" s="17" t="s">
        <v>41</v>
      </c>
      <c r="O165" s="17">
        <f>'RESUMEN '!$B$3</f>
        <v>45789</v>
      </c>
      <c r="P165" s="15">
        <v>2025</v>
      </c>
      <c r="Q165" s="15"/>
    </row>
    <row r="166" spans="1:17" x14ac:dyDescent="0.25">
      <c r="A166" s="15" t="s">
        <v>178</v>
      </c>
      <c r="B166" s="15" t="s">
        <v>169</v>
      </c>
      <c r="C166" s="15" t="s">
        <v>95</v>
      </c>
      <c r="D166" s="15" t="s">
        <v>179</v>
      </c>
      <c r="E166" s="15" t="str">
        <f>'CUOTA LICITADA'!C67</f>
        <v>PACIFICBLU SPA.</v>
      </c>
      <c r="F166" s="17">
        <v>45658</v>
      </c>
      <c r="G166" s="17">
        <v>46022</v>
      </c>
      <c r="H166" s="16">
        <f>'CUOTA LICITADA'!L67</f>
        <v>87.2256</v>
      </c>
      <c r="I166" s="16">
        <f>'CUOTA LICITADA'!M67</f>
        <v>-33.6</v>
      </c>
      <c r="J166" s="16">
        <f>'CUOTA LICITADA'!N67</f>
        <v>53.625599999999999</v>
      </c>
      <c r="K166" s="16">
        <f>'CUOTA LICITADA'!O67</f>
        <v>17.420000000000002</v>
      </c>
      <c r="L166" s="16">
        <f>'CUOTA LICITADA'!P67</f>
        <v>36.205599999999997</v>
      </c>
      <c r="M166" s="22">
        <f>'CUOTA LICITADA'!Q67</f>
        <v>0.32484485022079013</v>
      </c>
      <c r="N166" s="17" t="s">
        <v>41</v>
      </c>
      <c r="O166" s="17">
        <f>'RESUMEN '!$B$3</f>
        <v>45789</v>
      </c>
      <c r="P166" s="15">
        <v>2025</v>
      </c>
      <c r="Q166" s="15"/>
    </row>
    <row r="167" spans="1:17" x14ac:dyDescent="0.25">
      <c r="A167" s="15" t="s">
        <v>178</v>
      </c>
      <c r="B167" s="15" t="s">
        <v>169</v>
      </c>
      <c r="C167" s="15" t="s">
        <v>95</v>
      </c>
      <c r="D167" s="15" t="s">
        <v>179</v>
      </c>
      <c r="E167" s="15" t="str">
        <f>'CUOTA LICITADA'!C69</f>
        <v>ERIC ARAVENA ARAVENA</v>
      </c>
      <c r="F167" s="17">
        <v>45717</v>
      </c>
      <c r="G167" s="17">
        <v>45900</v>
      </c>
      <c r="H167" s="16">
        <f>'CUOTA LICITADA'!F69</f>
        <v>0.76204799999999995</v>
      </c>
      <c r="I167" s="16">
        <f>'CUOTA LICITADA'!G69</f>
        <v>0</v>
      </c>
      <c r="J167" s="16">
        <f>'CUOTA LICITADA'!H69</f>
        <v>0.76204799999999995</v>
      </c>
      <c r="K167" s="16">
        <f>'CUOTA LICITADA'!I69</f>
        <v>0</v>
      </c>
      <c r="L167" s="16">
        <f>'CUOTA LICITADA'!J69</f>
        <v>0.76204799999999995</v>
      </c>
      <c r="M167" s="22">
        <f>'CUOTA LICITADA'!K69</f>
        <v>0</v>
      </c>
      <c r="N167" s="17" t="s">
        <v>41</v>
      </c>
      <c r="O167" s="17">
        <f>'RESUMEN '!$B$3</f>
        <v>45789</v>
      </c>
      <c r="P167" s="15">
        <v>2025</v>
      </c>
      <c r="Q167" s="15"/>
    </row>
    <row r="168" spans="1:17" x14ac:dyDescent="0.25">
      <c r="A168" s="15" t="s">
        <v>178</v>
      </c>
      <c r="B168" s="15" t="s">
        <v>169</v>
      </c>
      <c r="C168" s="15" t="s">
        <v>95</v>
      </c>
      <c r="D168" s="15" t="s">
        <v>179</v>
      </c>
      <c r="E168" s="15" t="str">
        <f>'CUOTA LICITADA'!C69</f>
        <v>ERIC ARAVENA ARAVENA</v>
      </c>
      <c r="F168" s="17">
        <v>45931</v>
      </c>
      <c r="G168" s="17">
        <v>46022</v>
      </c>
      <c r="H168" s="16">
        <f>'CUOTA LICITADA'!F70</f>
        <v>8.4671999999999997E-2</v>
      </c>
      <c r="I168" s="16">
        <f>'CUOTA LICITADA'!G70</f>
        <v>0</v>
      </c>
      <c r="J168" s="16">
        <f>'CUOTA LICITADA'!H70</f>
        <v>0.84671999999999992</v>
      </c>
      <c r="K168" s="16">
        <f>'CUOTA LICITADA'!I70</f>
        <v>0</v>
      </c>
      <c r="L168" s="16">
        <f>'CUOTA LICITADA'!J70</f>
        <v>0.84671999999999992</v>
      </c>
      <c r="M168" s="22">
        <f>'CUOTA LICITADA'!K70</f>
        <v>0</v>
      </c>
      <c r="N168" s="17" t="s">
        <v>41</v>
      </c>
      <c r="O168" s="17">
        <f>'RESUMEN '!$B$3</f>
        <v>45789</v>
      </c>
      <c r="P168" s="15">
        <v>2025</v>
      </c>
      <c r="Q168" s="15"/>
    </row>
    <row r="169" spans="1:17" x14ac:dyDescent="0.25">
      <c r="A169" s="15" t="s">
        <v>178</v>
      </c>
      <c r="B169" s="15" t="s">
        <v>169</v>
      </c>
      <c r="C169" s="15" t="s">
        <v>95</v>
      </c>
      <c r="D169" s="15" t="s">
        <v>179</v>
      </c>
      <c r="E169" s="15" t="str">
        <f>'CUOTA LICITADA'!C69</f>
        <v>ERIC ARAVENA ARAVENA</v>
      </c>
      <c r="F169" s="17">
        <v>45658</v>
      </c>
      <c r="G169" s="17">
        <v>46022</v>
      </c>
      <c r="H169" s="16">
        <f>'CUOTA LICITADA'!L69</f>
        <v>0.84671999999999992</v>
      </c>
      <c r="I169" s="16">
        <f>'CUOTA LICITADA'!M69</f>
        <v>0</v>
      </c>
      <c r="J169" s="16">
        <f>'CUOTA LICITADA'!N69</f>
        <v>0.84671999999999992</v>
      </c>
      <c r="K169" s="16">
        <f>'CUOTA LICITADA'!O69</f>
        <v>0</v>
      </c>
      <c r="L169" s="16">
        <f>'CUOTA LICITADA'!P69</f>
        <v>0.84671999999999992</v>
      </c>
      <c r="M169" s="22">
        <f>'CUOTA LICITADA'!Q69</f>
        <v>0</v>
      </c>
      <c r="N169" s="17" t="s">
        <v>41</v>
      </c>
      <c r="O169" s="17">
        <f>'RESUMEN '!$B$3</f>
        <v>45789</v>
      </c>
      <c r="P169" s="15">
        <v>2025</v>
      </c>
      <c r="Q169" s="15"/>
    </row>
    <row r="170" spans="1:17" x14ac:dyDescent="0.25">
      <c r="A170" s="15" t="s">
        <v>178</v>
      </c>
      <c r="B170" s="15" t="s">
        <v>169</v>
      </c>
      <c r="C170" s="15" t="s">
        <v>95</v>
      </c>
      <c r="D170" s="15" t="s">
        <v>179</v>
      </c>
      <c r="E170" s="15" t="str">
        <f>'CUOTA LICITADA'!C71</f>
        <v>ENFERMAR LTDA. SOC. PESQ.</v>
      </c>
      <c r="F170" s="17">
        <v>45717</v>
      </c>
      <c r="G170" s="17">
        <v>45900</v>
      </c>
      <c r="H170" s="16">
        <f>'CUOTA LICITADA'!F71</f>
        <v>5.3903556000000004</v>
      </c>
      <c r="I170" s="16">
        <f>'CUOTA LICITADA'!G71</f>
        <v>0.83099999999999996</v>
      </c>
      <c r="J170" s="16">
        <f>'CUOTA LICITADA'!H71</f>
        <v>6.2213556000000008</v>
      </c>
      <c r="K170" s="16">
        <f>'CUOTA LICITADA'!I71</f>
        <v>0</v>
      </c>
      <c r="L170" s="16">
        <f>'CUOTA LICITADA'!J71</f>
        <v>6.2213556000000008</v>
      </c>
      <c r="M170" s="22">
        <f>'CUOTA LICITADA'!K71</f>
        <v>0</v>
      </c>
      <c r="N170" s="17" t="s">
        <v>41</v>
      </c>
      <c r="O170" s="17">
        <f>'RESUMEN '!$B$3</f>
        <v>45789</v>
      </c>
      <c r="P170" s="15">
        <v>2025</v>
      </c>
      <c r="Q170" s="15"/>
    </row>
    <row r="171" spans="1:17" x14ac:dyDescent="0.25">
      <c r="A171" s="15" t="s">
        <v>178</v>
      </c>
      <c r="B171" s="15" t="s">
        <v>169</v>
      </c>
      <c r="C171" s="15" t="s">
        <v>95</v>
      </c>
      <c r="D171" s="15" t="s">
        <v>179</v>
      </c>
      <c r="E171" s="15" t="str">
        <f>'CUOTA LICITADA'!C71</f>
        <v>ENFERMAR LTDA. SOC. PESQ.</v>
      </c>
      <c r="F171" s="17">
        <v>45931</v>
      </c>
      <c r="G171" s="17">
        <v>46022</v>
      </c>
      <c r="H171" s="16">
        <f>'CUOTA LICITADA'!F72</f>
        <v>0.59892840000000003</v>
      </c>
      <c r="I171" s="16">
        <f>'CUOTA LICITADA'!G72</f>
        <v>0</v>
      </c>
      <c r="J171" s="16">
        <f>'CUOTA LICITADA'!H72</f>
        <v>6.8202840000000009</v>
      </c>
      <c r="K171" s="16">
        <f>'CUOTA LICITADA'!I72</f>
        <v>0</v>
      </c>
      <c r="L171" s="16">
        <f>'CUOTA LICITADA'!J72</f>
        <v>6.8202840000000009</v>
      </c>
      <c r="M171" s="22">
        <f>'CUOTA LICITADA'!K72</f>
        <v>0</v>
      </c>
      <c r="N171" s="17" t="s">
        <v>41</v>
      </c>
      <c r="O171" s="17">
        <f>'RESUMEN '!$B$3</f>
        <v>45789</v>
      </c>
      <c r="P171" s="15">
        <v>2025</v>
      </c>
      <c r="Q171" s="15"/>
    </row>
    <row r="172" spans="1:17" x14ac:dyDescent="0.25">
      <c r="A172" s="15" t="s">
        <v>178</v>
      </c>
      <c r="B172" s="15" t="s">
        <v>169</v>
      </c>
      <c r="C172" s="15" t="s">
        <v>95</v>
      </c>
      <c r="D172" s="15" t="s">
        <v>179</v>
      </c>
      <c r="E172" s="15" t="str">
        <f>'CUOTA LICITADA'!C71</f>
        <v>ENFERMAR LTDA. SOC. PESQ.</v>
      </c>
      <c r="F172" s="17">
        <v>45658</v>
      </c>
      <c r="G172" s="17">
        <v>46022</v>
      </c>
      <c r="H172" s="16">
        <f>'CUOTA LICITADA'!L71</f>
        <v>5.9892840000000005</v>
      </c>
      <c r="I172" s="16">
        <f>'CUOTA LICITADA'!M71</f>
        <v>0.83099999999999996</v>
      </c>
      <c r="J172" s="16">
        <f>'CUOTA LICITADA'!N71</f>
        <v>6.8202840000000009</v>
      </c>
      <c r="K172" s="16">
        <f>'CUOTA LICITADA'!O71</f>
        <v>0</v>
      </c>
      <c r="L172" s="16">
        <f>'CUOTA LICITADA'!P71</f>
        <v>6.8202840000000009</v>
      </c>
      <c r="M172" s="22">
        <f>'CUOTA LICITADA'!Q71</f>
        <v>0</v>
      </c>
      <c r="N172" s="17" t="s">
        <v>41</v>
      </c>
      <c r="O172" s="17">
        <f>'RESUMEN '!$B$3</f>
        <v>45789</v>
      </c>
      <c r="P172" s="15">
        <v>2025</v>
      </c>
      <c r="Q172" s="15"/>
    </row>
    <row r="173" spans="1:17" x14ac:dyDescent="0.25">
      <c r="A173" s="15" t="s">
        <v>178</v>
      </c>
      <c r="B173" s="15" t="s">
        <v>169</v>
      </c>
      <c r="C173" s="15" t="s">
        <v>95</v>
      </c>
      <c r="D173" s="15" t="s">
        <v>179</v>
      </c>
      <c r="E173" s="15" t="str">
        <f>'CUOTA LICITADA'!C73</f>
        <v>INVERSIONES NAKAL SPA.</v>
      </c>
      <c r="F173" s="17">
        <v>45717</v>
      </c>
      <c r="G173" s="17">
        <v>45900</v>
      </c>
      <c r="H173" s="16">
        <f>'CUOTA LICITADA'!F73</f>
        <v>0</v>
      </c>
      <c r="I173" s="16">
        <f>'CUOTA LICITADA'!G73</f>
        <v>0</v>
      </c>
      <c r="J173" s="16">
        <f>'CUOTA LICITADA'!H73</f>
        <v>0</v>
      </c>
      <c r="K173" s="16">
        <f>'CUOTA LICITADA'!I73</f>
        <v>0</v>
      </c>
      <c r="L173" s="16">
        <f>'CUOTA LICITADA'!J73</f>
        <v>0</v>
      </c>
      <c r="M173" s="22" t="e">
        <f>'CUOTA LICITADA'!K73</f>
        <v>#DIV/0!</v>
      </c>
      <c r="N173" s="17" t="s">
        <v>41</v>
      </c>
      <c r="O173" s="17">
        <f>'RESUMEN '!$B$3</f>
        <v>45789</v>
      </c>
      <c r="P173" s="15">
        <v>2025</v>
      </c>
      <c r="Q173" s="15"/>
    </row>
    <row r="174" spans="1:17" x14ac:dyDescent="0.25">
      <c r="A174" s="15" t="s">
        <v>178</v>
      </c>
      <c r="B174" s="15" t="s">
        <v>169</v>
      </c>
      <c r="C174" s="15" t="s">
        <v>95</v>
      </c>
      <c r="D174" s="15" t="s">
        <v>179</v>
      </c>
      <c r="E174" s="15" t="str">
        <f>'CUOTA LICITADA'!C73</f>
        <v>INVERSIONES NAKAL SPA.</v>
      </c>
      <c r="F174" s="17">
        <v>45931</v>
      </c>
      <c r="G174" s="17">
        <v>46022</v>
      </c>
      <c r="H174" s="16">
        <f>'CUOTA LICITADA'!F74</f>
        <v>0</v>
      </c>
      <c r="I174" s="16">
        <f>'CUOTA LICITADA'!G74</f>
        <v>0</v>
      </c>
      <c r="J174" s="16">
        <f>'CUOTA LICITADA'!H74</f>
        <v>0</v>
      </c>
      <c r="K174" s="16">
        <f>'CUOTA LICITADA'!I74</f>
        <v>0</v>
      </c>
      <c r="L174" s="16">
        <f>'CUOTA LICITADA'!J74</f>
        <v>0</v>
      </c>
      <c r="M174" s="22" t="e">
        <f>'CUOTA LICITADA'!K74</f>
        <v>#DIV/0!</v>
      </c>
      <c r="N174" s="17" t="s">
        <v>41</v>
      </c>
      <c r="O174" s="17">
        <f>'RESUMEN '!$B$3</f>
        <v>45789</v>
      </c>
      <c r="P174" s="15">
        <v>2025</v>
      </c>
      <c r="Q174" s="15"/>
    </row>
    <row r="175" spans="1:17" x14ac:dyDescent="0.25">
      <c r="A175" s="15" t="s">
        <v>178</v>
      </c>
      <c r="B175" s="15" t="s">
        <v>169</v>
      </c>
      <c r="C175" s="15" t="s">
        <v>95</v>
      </c>
      <c r="D175" s="15" t="s">
        <v>179</v>
      </c>
      <c r="E175" s="15" t="str">
        <f>'CUOTA LICITADA'!C73</f>
        <v>INVERSIONES NAKAL SPA.</v>
      </c>
      <c r="F175" s="17">
        <v>45658</v>
      </c>
      <c r="G175" s="17">
        <v>46022</v>
      </c>
      <c r="H175" s="16">
        <f>'CUOTA LICITADA'!L73</f>
        <v>0</v>
      </c>
      <c r="I175" s="16">
        <f>'CUOTA LICITADA'!M73</f>
        <v>0</v>
      </c>
      <c r="J175" s="16">
        <f>'CUOTA LICITADA'!N73</f>
        <v>0</v>
      </c>
      <c r="K175" s="16">
        <f>'CUOTA LICITADA'!O73</f>
        <v>0</v>
      </c>
      <c r="L175" s="16">
        <f>'CUOTA LICITADA'!P73</f>
        <v>0</v>
      </c>
      <c r="M175" s="22" t="e">
        <f>'CUOTA LICITADA'!Q73</f>
        <v>#DIV/0!</v>
      </c>
      <c r="N175" s="17" t="s">
        <v>41</v>
      </c>
      <c r="O175" s="17">
        <f>'RESUMEN '!$B$3</f>
        <v>45789</v>
      </c>
      <c r="P175" s="15">
        <v>2025</v>
      </c>
      <c r="Q175" s="15"/>
    </row>
    <row r="176" spans="1:17" x14ac:dyDescent="0.25">
      <c r="A176" s="15" t="s">
        <v>178</v>
      </c>
      <c r="B176" s="15" t="s">
        <v>169</v>
      </c>
      <c r="C176" s="15" t="s">
        <v>95</v>
      </c>
      <c r="D176" s="15" t="s">
        <v>179</v>
      </c>
      <c r="E176" s="15" t="str">
        <f>'CUOTA LICITADA'!C75</f>
        <v>SOC. PESQ. NORDIOMAR SPA.</v>
      </c>
      <c r="F176" s="17">
        <v>45717</v>
      </c>
      <c r="G176" s="17">
        <v>45900</v>
      </c>
      <c r="H176" s="16">
        <f>'CUOTA LICITADA'!F75</f>
        <v>15.044400000000001</v>
      </c>
      <c r="I176" s="16">
        <f>'CUOTA LICITADA'!G75</f>
        <v>0</v>
      </c>
      <c r="J176" s="16">
        <f>'CUOTA LICITADA'!H75</f>
        <v>15.044400000000001</v>
      </c>
      <c r="K176" s="16">
        <f>'CUOTA LICITADA'!I75</f>
        <v>0</v>
      </c>
      <c r="L176" s="16">
        <f>'CUOTA LICITADA'!J75</f>
        <v>15.044400000000001</v>
      </c>
      <c r="M176" s="22">
        <f>'CUOTA LICITADA'!K75</f>
        <v>0</v>
      </c>
      <c r="N176" s="17" t="s">
        <v>41</v>
      </c>
      <c r="O176" s="17">
        <f>'RESUMEN '!$B$3</f>
        <v>45789</v>
      </c>
      <c r="P176" s="15">
        <v>2025</v>
      </c>
      <c r="Q176" s="15"/>
    </row>
    <row r="177" spans="1:17" x14ac:dyDescent="0.25">
      <c r="A177" s="15" t="s">
        <v>178</v>
      </c>
      <c r="B177" s="15" t="s">
        <v>169</v>
      </c>
      <c r="C177" s="15" t="s">
        <v>95</v>
      </c>
      <c r="D177" s="15" t="s">
        <v>179</v>
      </c>
      <c r="E177" s="15" t="str">
        <f>'CUOTA LICITADA'!C75</f>
        <v>SOC. PESQ. NORDIOMAR SPA.</v>
      </c>
      <c r="F177" s="17">
        <v>45931</v>
      </c>
      <c r="G177" s="17">
        <v>46022</v>
      </c>
      <c r="H177" s="16">
        <f>'CUOTA LICITADA'!F76</f>
        <v>1.6716000000000002</v>
      </c>
      <c r="I177" s="16">
        <f>'CUOTA LICITADA'!G76</f>
        <v>0</v>
      </c>
      <c r="J177" s="16">
        <f>'CUOTA LICITADA'!H76</f>
        <v>16.716000000000001</v>
      </c>
      <c r="K177" s="16">
        <f>'CUOTA LICITADA'!I76</f>
        <v>0</v>
      </c>
      <c r="L177" s="16">
        <f>'CUOTA LICITADA'!J76</f>
        <v>16.716000000000001</v>
      </c>
      <c r="M177" s="22">
        <f>'CUOTA LICITADA'!K76</f>
        <v>0</v>
      </c>
      <c r="N177" s="17" t="s">
        <v>41</v>
      </c>
      <c r="O177" s="17">
        <f>'RESUMEN '!$B$3</f>
        <v>45789</v>
      </c>
      <c r="P177" s="15">
        <v>2025</v>
      </c>
      <c r="Q177" s="15"/>
    </row>
    <row r="178" spans="1:17" x14ac:dyDescent="0.25">
      <c r="A178" s="15" t="s">
        <v>178</v>
      </c>
      <c r="B178" s="15" t="s">
        <v>169</v>
      </c>
      <c r="C178" s="15" t="s">
        <v>95</v>
      </c>
      <c r="D178" s="15" t="s">
        <v>179</v>
      </c>
      <c r="E178" s="15" t="str">
        <f>'CUOTA LICITADA'!C75</f>
        <v>SOC. PESQ. NORDIOMAR SPA.</v>
      </c>
      <c r="F178" s="17">
        <v>45658</v>
      </c>
      <c r="G178" s="17">
        <v>46022</v>
      </c>
      <c r="H178" s="16">
        <f>'CUOTA LICITADA'!L75</f>
        <v>16.716000000000001</v>
      </c>
      <c r="I178" s="16">
        <f>'CUOTA LICITADA'!M75</f>
        <v>0</v>
      </c>
      <c r="J178" s="16">
        <f>'CUOTA LICITADA'!N75</f>
        <v>16.716000000000001</v>
      </c>
      <c r="K178" s="16">
        <f>'CUOTA LICITADA'!O75</f>
        <v>0</v>
      </c>
      <c r="L178" s="16">
        <f>'CUOTA LICITADA'!P75</f>
        <v>16.716000000000001</v>
      </c>
      <c r="M178" s="22">
        <f>'CUOTA LICITADA'!Q75</f>
        <v>0</v>
      </c>
      <c r="N178" s="17" t="s">
        <v>41</v>
      </c>
      <c r="O178" s="17">
        <f>'RESUMEN '!$B$3</f>
        <v>45789</v>
      </c>
      <c r="P178" s="15">
        <v>2025</v>
      </c>
      <c r="Q178" s="15"/>
    </row>
    <row r="179" spans="1:17" x14ac:dyDescent="0.25">
      <c r="A179" s="15" t="s">
        <v>178</v>
      </c>
      <c r="B179" s="15" t="s">
        <v>169</v>
      </c>
      <c r="C179" s="15" t="s">
        <v>95</v>
      </c>
      <c r="D179" s="15" t="s">
        <v>179</v>
      </c>
      <c r="E179" s="15" t="str">
        <f>'CUOTA LICITADA'!C77</f>
        <v>PESQUERA SUR AUSTRAL</v>
      </c>
      <c r="F179" s="17">
        <v>45717</v>
      </c>
      <c r="G179" s="17">
        <v>45900</v>
      </c>
      <c r="H179" s="16">
        <f>'CUOTA LICITADA'!F77</f>
        <v>7.2999359999999999E-2</v>
      </c>
      <c r="I179" s="16">
        <f>'CUOTA LICITADA'!G77</f>
        <v>0</v>
      </c>
      <c r="J179" s="16">
        <f>'CUOTA LICITADA'!H77</f>
        <v>7.2999359999999999E-2</v>
      </c>
      <c r="K179" s="16">
        <f>'CUOTA LICITADA'!I77</f>
        <v>0</v>
      </c>
      <c r="L179" s="16">
        <f>'CUOTA LICITADA'!J77</f>
        <v>7.2999359999999999E-2</v>
      </c>
      <c r="M179" s="22">
        <f>'CUOTA LICITADA'!K77</f>
        <v>0</v>
      </c>
      <c r="N179" s="17" t="s">
        <v>41</v>
      </c>
      <c r="O179" s="17">
        <f>'RESUMEN '!$B$3</f>
        <v>45789</v>
      </c>
      <c r="P179" s="15">
        <v>2025</v>
      </c>
      <c r="Q179" s="15"/>
    </row>
    <row r="180" spans="1:17" x14ac:dyDescent="0.25">
      <c r="A180" s="15" t="s">
        <v>178</v>
      </c>
      <c r="B180" s="15" t="s">
        <v>169</v>
      </c>
      <c r="C180" s="15" t="s">
        <v>95</v>
      </c>
      <c r="D180" s="15" t="s">
        <v>179</v>
      </c>
      <c r="E180" s="15" t="str">
        <f>'CUOTA LICITADA'!C77</f>
        <v>PESQUERA SUR AUSTRAL</v>
      </c>
      <c r="F180" s="17">
        <v>45931</v>
      </c>
      <c r="G180" s="17">
        <v>46022</v>
      </c>
      <c r="H180" s="16">
        <f>'CUOTA LICITADA'!F78</f>
        <v>8.1110399999999999E-3</v>
      </c>
      <c r="I180" s="16">
        <f>'CUOTA LICITADA'!G78</f>
        <v>0</v>
      </c>
      <c r="J180" s="16">
        <f>'CUOTA LICITADA'!H78</f>
        <v>8.1110399999999999E-2</v>
      </c>
      <c r="K180" s="16">
        <f>'CUOTA LICITADA'!I78</f>
        <v>0</v>
      </c>
      <c r="L180" s="16">
        <f>'CUOTA LICITADA'!J78</f>
        <v>8.1110399999999999E-2</v>
      </c>
      <c r="M180" s="22">
        <f>'CUOTA LICITADA'!K78</f>
        <v>0</v>
      </c>
      <c r="N180" s="17" t="s">
        <v>41</v>
      </c>
      <c r="O180" s="17">
        <f>'RESUMEN '!$B$3</f>
        <v>45789</v>
      </c>
      <c r="P180" s="15">
        <v>2025</v>
      </c>
      <c r="Q180" s="15"/>
    </row>
    <row r="181" spans="1:17" x14ac:dyDescent="0.25">
      <c r="A181" s="15" t="s">
        <v>178</v>
      </c>
      <c r="B181" s="15" t="s">
        <v>169</v>
      </c>
      <c r="C181" s="15" t="s">
        <v>95</v>
      </c>
      <c r="D181" s="15" t="s">
        <v>179</v>
      </c>
      <c r="E181" s="15" t="str">
        <f>'CUOTA LICITADA'!C77</f>
        <v>PESQUERA SUR AUSTRAL</v>
      </c>
      <c r="F181" s="17">
        <v>45658</v>
      </c>
      <c r="G181" s="17">
        <v>46022</v>
      </c>
      <c r="H181" s="16">
        <f>'CUOTA LICITADA'!L77</f>
        <v>8.1110399999999999E-2</v>
      </c>
      <c r="I181" s="16">
        <f>'CUOTA LICITADA'!M77</f>
        <v>0</v>
      </c>
      <c r="J181" s="16">
        <f>'CUOTA LICITADA'!N77</f>
        <v>8.1110399999999999E-2</v>
      </c>
      <c r="K181" s="16">
        <f>'CUOTA LICITADA'!O77</f>
        <v>0</v>
      </c>
      <c r="L181" s="16">
        <f>'CUOTA LICITADA'!P77</f>
        <v>8.1110399999999999E-2</v>
      </c>
      <c r="M181" s="22">
        <f>'CUOTA LICITADA'!Q77</f>
        <v>0</v>
      </c>
      <c r="N181" s="17" t="s">
        <v>41</v>
      </c>
      <c r="O181" s="17">
        <f>'RESUMEN '!$B$3</f>
        <v>45789</v>
      </c>
      <c r="P181" s="15">
        <v>2025</v>
      </c>
      <c r="Q181" s="15"/>
    </row>
    <row r="182" spans="1:17" x14ac:dyDescent="0.25">
      <c r="A182" s="15" t="s">
        <v>178</v>
      </c>
      <c r="B182" s="15" t="s">
        <v>169</v>
      </c>
      <c r="C182" s="15" t="s">
        <v>95</v>
      </c>
      <c r="D182" s="15" t="s">
        <v>179</v>
      </c>
      <c r="E182" s="15" t="str">
        <f>'CUOTA LICITADA'!C79</f>
        <v>COMERCIALIZADORA SIMON SEAFOOD LTDA.</v>
      </c>
      <c r="F182" s="17">
        <v>45717</v>
      </c>
      <c r="G182" s="17">
        <v>45900</v>
      </c>
      <c r="H182" s="16">
        <f>'CUOTA LICITADA'!F79</f>
        <v>0</v>
      </c>
      <c r="I182" s="16">
        <f>'CUOTA LICITADA'!G79</f>
        <v>0</v>
      </c>
      <c r="J182" s="16">
        <f>'CUOTA LICITADA'!H79</f>
        <v>0</v>
      </c>
      <c r="K182" s="16">
        <f>'CUOTA LICITADA'!I79</f>
        <v>0</v>
      </c>
      <c r="L182" s="16">
        <f>'CUOTA LICITADA'!J79</f>
        <v>0</v>
      </c>
      <c r="M182" s="22" t="e">
        <f>'CUOTA LICITADA'!K79</f>
        <v>#DIV/0!</v>
      </c>
      <c r="N182" s="17" t="s">
        <v>41</v>
      </c>
      <c r="O182" s="17">
        <f>'RESUMEN '!$B$3</f>
        <v>45789</v>
      </c>
      <c r="P182" s="15">
        <v>2025</v>
      </c>
      <c r="Q182" s="15"/>
    </row>
    <row r="183" spans="1:17" x14ac:dyDescent="0.25">
      <c r="A183" s="15" t="s">
        <v>178</v>
      </c>
      <c r="B183" s="15" t="s">
        <v>169</v>
      </c>
      <c r="C183" s="15" t="s">
        <v>95</v>
      </c>
      <c r="D183" s="15" t="s">
        <v>179</v>
      </c>
      <c r="E183" s="15" t="str">
        <f>'CUOTA LICITADA'!C79</f>
        <v>COMERCIALIZADORA SIMON SEAFOOD LTDA.</v>
      </c>
      <c r="F183" s="17">
        <v>45931</v>
      </c>
      <c r="G183" s="17">
        <v>46022</v>
      </c>
      <c r="H183" s="16">
        <f>'CUOTA LICITADA'!F80</f>
        <v>0</v>
      </c>
      <c r="I183" s="16">
        <f>'CUOTA LICITADA'!G80</f>
        <v>0</v>
      </c>
      <c r="J183" s="16">
        <f>'CUOTA LICITADA'!H80</f>
        <v>0</v>
      </c>
      <c r="K183" s="16">
        <f>'CUOTA LICITADA'!I80</f>
        <v>0</v>
      </c>
      <c r="L183" s="16">
        <f>'CUOTA LICITADA'!J80</f>
        <v>0</v>
      </c>
      <c r="M183" s="22" t="e">
        <f>'CUOTA LICITADA'!K80</f>
        <v>#DIV/0!</v>
      </c>
      <c r="N183" s="17" t="s">
        <v>41</v>
      </c>
      <c r="O183" s="17">
        <f>'RESUMEN '!$B$3</f>
        <v>45789</v>
      </c>
      <c r="P183" s="15">
        <v>2025</v>
      </c>
      <c r="Q183" s="15"/>
    </row>
    <row r="184" spans="1:17" x14ac:dyDescent="0.25">
      <c r="A184" s="15" t="s">
        <v>178</v>
      </c>
      <c r="B184" s="15" t="s">
        <v>169</v>
      </c>
      <c r="C184" s="15" t="s">
        <v>95</v>
      </c>
      <c r="D184" s="15" t="s">
        <v>179</v>
      </c>
      <c r="E184" s="15" t="str">
        <f>'CUOTA LICITADA'!C79</f>
        <v>COMERCIALIZADORA SIMON SEAFOOD LTDA.</v>
      </c>
      <c r="F184" s="17">
        <v>45658</v>
      </c>
      <c r="G184" s="17">
        <v>46022</v>
      </c>
      <c r="H184" s="16">
        <f>'CUOTA LICITADA'!L79</f>
        <v>0</v>
      </c>
      <c r="I184" s="16">
        <f>'CUOTA LICITADA'!M79</f>
        <v>0</v>
      </c>
      <c r="J184" s="16">
        <f>'CUOTA LICITADA'!N79</f>
        <v>0</v>
      </c>
      <c r="K184" s="16">
        <f>'CUOTA LICITADA'!O79</f>
        <v>0</v>
      </c>
      <c r="L184" s="16">
        <f>'CUOTA LICITADA'!P79</f>
        <v>0</v>
      </c>
      <c r="M184" s="22" t="e">
        <f>'CUOTA LICITADA'!Q79</f>
        <v>#DIV/0!</v>
      </c>
      <c r="N184" s="17" t="s">
        <v>41</v>
      </c>
      <c r="O184" s="17">
        <f>'RESUMEN '!$B$3</f>
        <v>45789</v>
      </c>
      <c r="P184" s="15">
        <v>2025</v>
      </c>
      <c r="Q184" s="15"/>
    </row>
    <row r="185" spans="1:17" x14ac:dyDescent="0.25">
      <c r="A185" s="15" t="s">
        <v>178</v>
      </c>
      <c r="B185" s="15" t="s">
        <v>169</v>
      </c>
      <c r="C185" s="15" t="s">
        <v>95</v>
      </c>
      <c r="D185" s="15" t="s">
        <v>179</v>
      </c>
      <c r="E185" s="15" t="str">
        <f>'CUOTA LICITADA'!C81</f>
        <v>WILLIAMS MAUAD MEZA</v>
      </c>
      <c r="F185" s="17">
        <v>45717</v>
      </c>
      <c r="G185" s="17">
        <v>45900</v>
      </c>
      <c r="H185" s="16">
        <f>'CUOTA LICITADA'!F81</f>
        <v>0</v>
      </c>
      <c r="I185" s="16">
        <f>'CUOTA LICITADA'!G81</f>
        <v>0</v>
      </c>
      <c r="J185" s="16">
        <f>'CUOTA LICITADA'!H81</f>
        <v>0</v>
      </c>
      <c r="K185" s="16">
        <f>'CUOTA LICITADA'!I81</f>
        <v>0</v>
      </c>
      <c r="L185" s="16">
        <f>'CUOTA LICITADA'!J81</f>
        <v>0</v>
      </c>
      <c r="M185" s="22" t="e">
        <f>'CUOTA LICITADA'!K81</f>
        <v>#DIV/0!</v>
      </c>
      <c r="N185" s="17" t="s">
        <v>41</v>
      </c>
      <c r="O185" s="17">
        <f>'RESUMEN '!$B$3</f>
        <v>45789</v>
      </c>
      <c r="P185" s="15">
        <v>2025</v>
      </c>
      <c r="Q185" s="15"/>
    </row>
    <row r="186" spans="1:17" x14ac:dyDescent="0.25">
      <c r="A186" s="15" t="s">
        <v>178</v>
      </c>
      <c r="B186" s="15" t="s">
        <v>169</v>
      </c>
      <c r="C186" s="15" t="s">
        <v>95</v>
      </c>
      <c r="D186" s="15" t="s">
        <v>179</v>
      </c>
      <c r="E186" s="15" t="str">
        <f>'CUOTA LICITADA'!C81</f>
        <v>WILLIAMS MAUAD MEZA</v>
      </c>
      <c r="F186" s="17">
        <v>45931</v>
      </c>
      <c r="G186" s="17">
        <v>46022</v>
      </c>
      <c r="H186" s="16">
        <f>'CUOTA LICITADA'!F82</f>
        <v>0</v>
      </c>
      <c r="I186" s="16">
        <f>'CUOTA LICITADA'!G82</f>
        <v>0</v>
      </c>
      <c r="J186" s="16">
        <f>'CUOTA LICITADA'!H82</f>
        <v>0</v>
      </c>
      <c r="K186" s="16">
        <f>'CUOTA LICITADA'!I82</f>
        <v>0</v>
      </c>
      <c r="L186" s="16">
        <f>'CUOTA LICITADA'!J82</f>
        <v>0</v>
      </c>
      <c r="M186" s="22" t="e">
        <f>'CUOTA LICITADA'!K82</f>
        <v>#DIV/0!</v>
      </c>
      <c r="N186" s="17" t="s">
        <v>41</v>
      </c>
      <c r="O186" s="17">
        <f>'RESUMEN '!$B$3</f>
        <v>45789</v>
      </c>
      <c r="P186" s="15">
        <v>2025</v>
      </c>
      <c r="Q186" s="15"/>
    </row>
    <row r="187" spans="1:17" x14ac:dyDescent="0.25">
      <c r="A187" s="15" t="s">
        <v>178</v>
      </c>
      <c r="B187" s="15" t="s">
        <v>169</v>
      </c>
      <c r="C187" s="15" t="s">
        <v>95</v>
      </c>
      <c r="D187" s="15" t="s">
        <v>179</v>
      </c>
      <c r="E187" s="15" t="str">
        <f>'CUOTA LICITADA'!C81</f>
        <v>WILLIAMS MAUAD MEZA</v>
      </c>
      <c r="F187" s="17">
        <v>45658</v>
      </c>
      <c r="G187" s="17">
        <v>46022</v>
      </c>
      <c r="H187" s="16">
        <f>'CUOTA LICITADA'!L81</f>
        <v>0</v>
      </c>
      <c r="I187" s="16">
        <f>'CUOTA LICITADA'!M81</f>
        <v>0</v>
      </c>
      <c r="J187" s="16">
        <f>'CUOTA LICITADA'!N81</f>
        <v>0</v>
      </c>
      <c r="K187" s="16">
        <f>'CUOTA LICITADA'!O81</f>
        <v>0</v>
      </c>
      <c r="L187" s="16">
        <f>'CUOTA LICITADA'!P81</f>
        <v>0</v>
      </c>
      <c r="M187" s="22" t="e">
        <f>'CUOTA LICITADA'!Q81</f>
        <v>#DIV/0!</v>
      </c>
      <c r="N187" s="17" t="s">
        <v>41</v>
      </c>
      <c r="O187" s="17">
        <f>'RESUMEN '!$B$3</f>
        <v>45789</v>
      </c>
      <c r="P187" s="15">
        <v>2025</v>
      </c>
      <c r="Q187" s="15"/>
    </row>
    <row r="188" spans="1:17" x14ac:dyDescent="0.25">
      <c r="A188" s="15" t="s">
        <v>178</v>
      </c>
      <c r="B188" s="15" t="s">
        <v>169</v>
      </c>
      <c r="C188" s="15" t="s">
        <v>95</v>
      </c>
      <c r="D188" s="15" t="s">
        <v>179</v>
      </c>
      <c r="E188" s="15" t="str">
        <f>'CUOTA LICITADA'!C83</f>
        <v xml:space="preserve">GUILLEROMO DONOSO TOBAR </v>
      </c>
      <c r="F188" s="17">
        <v>45717</v>
      </c>
      <c r="G188" s="17">
        <v>45900</v>
      </c>
      <c r="H188" s="16">
        <f>'CUOTA LICITADA'!F83</f>
        <v>22.68</v>
      </c>
      <c r="I188" s="16">
        <f>'CUOTA LICITADA'!G83</f>
        <v>0</v>
      </c>
      <c r="J188" s="16">
        <f>'CUOTA LICITADA'!H83</f>
        <v>22.68</v>
      </c>
      <c r="K188" s="16">
        <f>'CUOTA LICITADA'!I83</f>
        <v>0</v>
      </c>
      <c r="L188" s="16">
        <f>'CUOTA LICITADA'!J83</f>
        <v>22.68</v>
      </c>
      <c r="M188" s="22">
        <f>'CUOTA LICITADA'!K83</f>
        <v>0</v>
      </c>
      <c r="N188" s="17" t="s">
        <v>41</v>
      </c>
      <c r="O188" s="17">
        <f>'RESUMEN '!$B$3</f>
        <v>45789</v>
      </c>
      <c r="P188" s="15">
        <v>2025</v>
      </c>
      <c r="Q188" s="15"/>
    </row>
    <row r="189" spans="1:17" x14ac:dyDescent="0.25">
      <c r="A189" s="15" t="s">
        <v>178</v>
      </c>
      <c r="B189" s="15" t="s">
        <v>169</v>
      </c>
      <c r="C189" s="15" t="s">
        <v>95</v>
      </c>
      <c r="D189" s="15" t="s">
        <v>179</v>
      </c>
      <c r="E189" s="15" t="str">
        <f>'CUOTA LICITADA'!C83</f>
        <v xml:space="preserve">GUILLEROMO DONOSO TOBAR </v>
      </c>
      <c r="F189" s="17">
        <v>45931</v>
      </c>
      <c r="G189" s="17">
        <v>46022</v>
      </c>
      <c r="H189" s="16">
        <f>'CUOTA LICITADA'!F84</f>
        <v>2.52</v>
      </c>
      <c r="I189" s="16">
        <f>'CUOTA LICITADA'!G84</f>
        <v>0</v>
      </c>
      <c r="J189" s="16">
        <f>'CUOTA LICITADA'!H84</f>
        <v>25.2</v>
      </c>
      <c r="K189" s="16">
        <f>'CUOTA LICITADA'!I84</f>
        <v>0</v>
      </c>
      <c r="L189" s="16">
        <f>'CUOTA LICITADA'!J84</f>
        <v>25.2</v>
      </c>
      <c r="M189" s="22">
        <f>'CUOTA LICITADA'!K84</f>
        <v>0</v>
      </c>
      <c r="N189" s="17" t="s">
        <v>41</v>
      </c>
      <c r="O189" s="17">
        <f>'RESUMEN '!$B$3</f>
        <v>45789</v>
      </c>
      <c r="P189" s="15">
        <v>2025</v>
      </c>
      <c r="Q189" s="15"/>
    </row>
    <row r="190" spans="1:17" x14ac:dyDescent="0.25">
      <c r="A190" s="15" t="s">
        <v>178</v>
      </c>
      <c r="B190" s="15" t="s">
        <v>169</v>
      </c>
      <c r="C190" s="15" t="s">
        <v>95</v>
      </c>
      <c r="D190" s="15" t="s">
        <v>179</v>
      </c>
      <c r="E190" s="15" t="str">
        <f>'CUOTA LICITADA'!C83</f>
        <v xml:space="preserve">GUILLEROMO DONOSO TOBAR </v>
      </c>
      <c r="F190" s="17">
        <v>45658</v>
      </c>
      <c r="G190" s="17">
        <v>46022</v>
      </c>
      <c r="H190" s="16">
        <f>'CUOTA LICITADA'!L83</f>
        <v>25.2</v>
      </c>
      <c r="I190" s="16">
        <f>'CUOTA LICITADA'!M83</f>
        <v>0</v>
      </c>
      <c r="J190" s="16">
        <f>'CUOTA LICITADA'!N83</f>
        <v>25.2</v>
      </c>
      <c r="K190" s="16">
        <f>'CUOTA LICITADA'!O83</f>
        <v>0</v>
      </c>
      <c r="L190" s="16">
        <f>'CUOTA LICITADA'!P83</f>
        <v>25.2</v>
      </c>
      <c r="M190" s="22">
        <f>'CUOTA LICITADA'!Q83</f>
        <v>0</v>
      </c>
      <c r="N190" s="17" t="s">
        <v>41</v>
      </c>
      <c r="O190" s="17">
        <f>'RESUMEN '!$B$3</f>
        <v>45789</v>
      </c>
      <c r="P190" s="15">
        <v>2025</v>
      </c>
      <c r="Q190" s="15"/>
    </row>
    <row r="191" spans="1:17" x14ac:dyDescent="0.25">
      <c r="A191" s="18" t="s">
        <v>178</v>
      </c>
      <c r="B191" s="18" t="s">
        <v>169</v>
      </c>
      <c r="C191" s="18" t="s">
        <v>180</v>
      </c>
      <c r="D191" s="18" t="s">
        <v>181</v>
      </c>
      <c r="E191" s="18" t="s">
        <v>182</v>
      </c>
      <c r="F191" s="20">
        <v>45658</v>
      </c>
      <c r="G191" s="20">
        <v>46022</v>
      </c>
      <c r="H191" s="19">
        <f>'CUOTA LICITADA'!F89</f>
        <v>2705.5045173600015</v>
      </c>
      <c r="I191" s="19">
        <f>'CUOTA LICITADA'!G89</f>
        <v>0</v>
      </c>
      <c r="J191" s="19">
        <f>'CUOTA LICITADA'!H89</f>
        <v>2705.5045173600015</v>
      </c>
      <c r="K191" s="19">
        <f>'CUOTA LICITADA'!I89</f>
        <v>450.36299999999994</v>
      </c>
      <c r="L191" s="19">
        <f>'CUOTA LICITADA'!J89</f>
        <v>2255.1415173600017</v>
      </c>
      <c r="M191" s="23">
        <f>'CUOTA LICITADA'!K89</f>
        <v>0.16646174386707685</v>
      </c>
      <c r="N191" s="20" t="s">
        <v>41</v>
      </c>
      <c r="O191" s="20">
        <f>'RESUMEN '!$B$3</f>
        <v>45789</v>
      </c>
      <c r="P191" s="15">
        <v>2025</v>
      </c>
      <c r="Q191" s="15"/>
    </row>
  </sheetData>
  <autoFilter ref="A1:Q191" xr:uid="{00000000-0001-0000-0700-000000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D0522A5D04824CAFEE4629576674BA" ma:contentTypeVersion="6" ma:contentTypeDescription="Crear nuevo documento." ma:contentTypeScope="" ma:versionID="cdc9e2882860f1ca845cdbd4952898c0">
  <xsd:schema xmlns:xsd="http://www.w3.org/2001/XMLSchema" xmlns:xs="http://www.w3.org/2001/XMLSchema" xmlns:p="http://schemas.microsoft.com/office/2006/metadata/properties" xmlns:ns3="8cf7c8d3-8c47-4a85-ae2f-ccca1975db4e" targetNamespace="http://schemas.microsoft.com/office/2006/metadata/properties" ma:root="true" ma:fieldsID="9d625578095516db8c74fdb9d1fa844a" ns3:_="">
    <xsd:import namespace="8cf7c8d3-8c47-4a85-ae2f-ccca1975db4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7c8d3-8c47-4a85-ae2f-ccca1975db4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f7c8d3-8c47-4a85-ae2f-ccca1975db4e" xsi:nil="true"/>
  </documentManagement>
</p:properties>
</file>

<file path=customXml/itemProps1.xml><?xml version="1.0" encoding="utf-8"?>
<ds:datastoreItem xmlns:ds="http://schemas.openxmlformats.org/officeDocument/2006/customXml" ds:itemID="{4417399E-8AEC-4DA5-B979-CBEE780F40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7c8d3-8c47-4a85-ae2f-ccca1975db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6A6AD2-AAE5-4BC6-A3E8-1E78101766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AD67BE-9254-4DC6-9872-473CAE7260AA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8cf7c8d3-8c47-4a85-ae2f-ccca1975db4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</vt:lpstr>
      <vt:lpstr>CUOTA ARTESANAL</vt:lpstr>
      <vt:lpstr>CUOTA LTP</vt:lpstr>
      <vt:lpstr>CUOTA LICITADA</vt:lpstr>
      <vt:lpstr>PESCA DE INVESTIGACION</vt:lpstr>
      <vt:lpstr>CESIONES INDIVIDUALES</vt:lpstr>
      <vt:lpstr>Hoja1</vt:lpstr>
      <vt:lpstr>PAG. WEB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CEA TELLO, MARIO ANDRES</dc:creator>
  <cp:keywords/>
  <dc:description/>
  <cp:lastModifiedBy>CEA TELLO, MARIO ANDRES</cp:lastModifiedBy>
  <cp:revision/>
  <dcterms:created xsi:type="dcterms:W3CDTF">2020-01-22T15:25:15Z</dcterms:created>
  <dcterms:modified xsi:type="dcterms:W3CDTF">2025-05-12T20:07:52Z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0x010100E3D0522A5D04824CAFEE4629576674BA</vt:lpwstr>
  </property>
</Properties>
</file>