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5_ANCHOVETA-SARDINA ESPAÑOLA XV-IV/"/>
    </mc:Choice>
  </mc:AlternateContent>
  <xr:revisionPtr revIDLastSave="74" documentId="11_1DBF3F3F7CB8448B98A8DE87AD54A4C4DFC23D07" xr6:coauthVersionLast="47" xr6:coauthVersionMax="47" xr10:uidLastSave="{81BF1189-0264-4A59-BD4F-6331AF0AE690}"/>
  <bookViews>
    <workbookView xWindow="-120" yWindow="-120" windowWidth="19440" windowHeight="15000" tabRatio="831" xr2:uid="{00000000-000D-0000-FFFF-FFFF00000000}"/>
  </bookViews>
  <sheets>
    <sheet name="Resumen" sheetId="1" r:id="rId1"/>
    <sheet name="Artesanal Anchoveta XV-IV" sheetId="2" r:id="rId2"/>
    <sheet name="Artesanal S.española XV-IV" sheetId="7" r:id="rId3"/>
    <sheet name="CRUC" sheetId="15" r:id="rId4"/>
    <sheet name="Cesiones ind y colec" sheetId="5" r:id="rId5"/>
    <sheet name="CUOTA INDUSTRIAL" sheetId="3" r:id="rId6"/>
    <sheet name="MOVIMIENTO INDUSTRIAL" sheetId="14" r:id="rId7"/>
    <sheet name="P. Investigación" sheetId="4" r:id="rId8"/>
    <sheet name="Publicacion web" sheetId="6" r:id="rId9"/>
  </sheets>
  <definedNames>
    <definedName name="_xlnm._FilterDatabase" localSheetId="4" hidden="1">'Cesiones ind y colec'!$B$1:$U$7</definedName>
    <definedName name="_xlnm._FilterDatabase" localSheetId="8" hidden="1">'Publicacion web'!$A$1:$Q$57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8" i="3"/>
  <c r="F42" i="3" l="1"/>
  <c r="S6" i="5"/>
  <c r="R6" i="5"/>
  <c r="O64" i="5"/>
  <c r="O53" i="5"/>
  <c r="N64" i="5"/>
  <c r="N53" i="5"/>
  <c r="F45" i="3"/>
  <c r="I11" i="7"/>
  <c r="O34" i="5"/>
  <c r="N34" i="5"/>
  <c r="F52" i="3"/>
  <c r="B3" i="15"/>
  <c r="N21" i="5"/>
  <c r="O21" i="5"/>
  <c r="E63" i="3"/>
  <c r="F57" i="3" l="1"/>
  <c r="M7" i="2"/>
  <c r="I12" i="7"/>
  <c r="S5" i="5" l="1"/>
  <c r="U5" i="5" s="1"/>
  <c r="R5" i="5"/>
  <c r="T5" i="5" s="1"/>
  <c r="J13" i="5" l="1"/>
  <c r="R7" i="5"/>
  <c r="K13" i="5"/>
  <c r="F15" i="3"/>
  <c r="K5" i="5"/>
  <c r="J5" i="5"/>
  <c r="F12" i="3"/>
  <c r="G12" i="3" s="1"/>
  <c r="G25" i="1"/>
  <c r="I25" i="1" s="1"/>
  <c r="F32" i="1"/>
  <c r="G10" i="15"/>
  <c r="H33" i="1" s="1"/>
  <c r="E10" i="15"/>
  <c r="F7" i="15"/>
  <c r="H7" i="15" s="1"/>
  <c r="F8" i="15"/>
  <c r="I8" i="15" s="1"/>
  <c r="F9" i="15"/>
  <c r="I9" i="15" s="1"/>
  <c r="F6" i="15"/>
  <c r="I6" i="15" s="1"/>
  <c r="D10" i="15"/>
  <c r="E33" i="1" s="1"/>
  <c r="G12" i="7"/>
  <c r="F12" i="7"/>
  <c r="H12" i="7" s="1"/>
  <c r="H8" i="2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7" i="2"/>
  <c r="J8" i="2"/>
  <c r="I15" i="2"/>
  <c r="G15" i="2"/>
  <c r="H59" i="3"/>
  <c r="F59" i="3"/>
  <c r="H46" i="3"/>
  <c r="F46" i="3"/>
  <c r="E46" i="3"/>
  <c r="G45" i="3"/>
  <c r="H35" i="3"/>
  <c r="G9" i="3"/>
  <c r="J9" i="3" s="1"/>
  <c r="G10" i="3"/>
  <c r="J10" i="3" s="1"/>
  <c r="G11" i="3"/>
  <c r="I11" i="3" s="1"/>
  <c r="G13" i="3"/>
  <c r="I13" i="3" s="1"/>
  <c r="G14" i="3"/>
  <c r="J14" i="3" s="1"/>
  <c r="G15" i="3"/>
  <c r="J15" i="3" s="1"/>
  <c r="G16" i="3"/>
  <c r="I16" i="3" s="1"/>
  <c r="G8" i="3"/>
  <c r="J8" i="3" s="1"/>
  <c r="G46" i="3" l="1"/>
  <c r="J25" i="1"/>
  <c r="F10" i="15"/>
  <c r="H10" i="15" s="1"/>
  <c r="I33" i="1" s="1"/>
  <c r="J13" i="3"/>
  <c r="I10" i="3"/>
  <c r="I9" i="3"/>
  <c r="I7" i="15"/>
  <c r="H6" i="15"/>
  <c r="H9" i="15"/>
  <c r="F33" i="1"/>
  <c r="H8" i="15"/>
  <c r="J12" i="3"/>
  <c r="I12" i="3"/>
  <c r="K12" i="7"/>
  <c r="J12" i="7"/>
  <c r="F15" i="2"/>
  <c r="H15" i="2" s="1"/>
  <c r="K15" i="2" s="1"/>
  <c r="J11" i="3"/>
  <c r="I8" i="3"/>
  <c r="I15" i="3"/>
  <c r="I46" i="3"/>
  <c r="I14" i="3"/>
  <c r="J16" i="3"/>
  <c r="I10" i="15" l="1"/>
  <c r="J33" i="1" s="1"/>
  <c r="G33" i="1"/>
  <c r="J15" i="2"/>
  <c r="C4" i="4"/>
  <c r="F17" i="3"/>
  <c r="H24" i="6"/>
  <c r="I24" i="6"/>
  <c r="K24" i="6"/>
  <c r="O24" i="6"/>
  <c r="E24" i="6"/>
  <c r="G41" i="3"/>
  <c r="I41" i="3" s="1"/>
  <c r="L24" i="6" s="1"/>
  <c r="K41" i="3"/>
  <c r="L41" i="3"/>
  <c r="N41" i="3"/>
  <c r="K9" i="3"/>
  <c r="L9" i="3"/>
  <c r="N9" i="3"/>
  <c r="J7" i="2"/>
  <c r="E15" i="1"/>
  <c r="E17" i="3"/>
  <c r="G24" i="1"/>
  <c r="H24" i="1"/>
  <c r="H17" i="3"/>
  <c r="K16" i="3"/>
  <c r="L16" i="3"/>
  <c r="N16" i="3"/>
  <c r="G44" i="3"/>
  <c r="J44" i="3" s="1"/>
  <c r="K44" i="3"/>
  <c r="L44" i="3"/>
  <c r="N44" i="3"/>
  <c r="F35" i="3"/>
  <c r="G43" i="3"/>
  <c r="J43" i="3" s="1"/>
  <c r="K43" i="3"/>
  <c r="L43" i="3"/>
  <c r="N43" i="3"/>
  <c r="K14" i="3"/>
  <c r="L14" i="3"/>
  <c r="N14" i="3"/>
  <c r="H7" i="7"/>
  <c r="H32" i="1" l="1"/>
  <c r="S7" i="5"/>
  <c r="U7" i="5" s="1"/>
  <c r="M14" i="3"/>
  <c r="O14" i="3" s="1"/>
  <c r="M9" i="3"/>
  <c r="O9" i="3" s="1"/>
  <c r="M43" i="3"/>
  <c r="O43" i="3" s="1"/>
  <c r="M16" i="3"/>
  <c r="O16" i="3" s="1"/>
  <c r="M41" i="3"/>
  <c r="P41" i="3" s="1"/>
  <c r="I24" i="1"/>
  <c r="J24" i="1"/>
  <c r="I43" i="3"/>
  <c r="M44" i="3"/>
  <c r="P44" i="3" s="1"/>
  <c r="I44" i="3"/>
  <c r="P43" i="3"/>
  <c r="O41" i="3"/>
  <c r="J24" i="6"/>
  <c r="J41" i="3"/>
  <c r="M24" i="6" s="1"/>
  <c r="K7" i="2"/>
  <c r="G17" i="3"/>
  <c r="I17" i="3" s="1"/>
  <c r="P16" i="3" l="1"/>
  <c r="P9" i="3"/>
  <c r="P14" i="3"/>
  <c r="J17" i="3"/>
  <c r="O44" i="3"/>
  <c r="H2" i="5" l="1"/>
  <c r="L2" i="5" s="1"/>
  <c r="O4" i="6" l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3" i="6"/>
  <c r="O2" i="6"/>
  <c r="E27" i="1" l="1"/>
  <c r="F15" i="1" l="1"/>
  <c r="F13" i="1"/>
  <c r="F11" i="1"/>
  <c r="F9" i="1"/>
  <c r="E13" i="1"/>
  <c r="E11" i="1"/>
  <c r="E9" i="1"/>
  <c r="B4" i="3" l="1"/>
  <c r="B4" i="7"/>
  <c r="B4" i="2"/>
  <c r="E35" i="3"/>
  <c r="G35" i="3" s="1"/>
  <c r="H8" i="7"/>
  <c r="K8" i="7" s="1"/>
  <c r="P8" i="2"/>
  <c r="N7" i="2"/>
  <c r="O7" i="2"/>
  <c r="J35" i="3" l="1"/>
  <c r="I35" i="3"/>
  <c r="K8" i="2"/>
  <c r="G11" i="1"/>
  <c r="J8" i="7"/>
  <c r="N12" i="2" l="1"/>
  <c r="P12" i="2"/>
  <c r="E59" i="3" l="1"/>
  <c r="G59" i="3" s="1"/>
  <c r="J59" i="3" l="1"/>
  <c r="I59" i="3"/>
  <c r="U6" i="5"/>
  <c r="H6" i="6" l="1"/>
  <c r="K6" i="6"/>
  <c r="E6" i="6"/>
  <c r="N13" i="3" l="1"/>
  <c r="L12" i="3"/>
  <c r="K13" i="3"/>
  <c r="I6" i="6"/>
  <c r="M6" i="6" l="1"/>
  <c r="L13" i="3"/>
  <c r="M13" i="3" l="1"/>
  <c r="L6" i="6"/>
  <c r="J6" i="6"/>
  <c r="O13" i="3" l="1"/>
  <c r="P13" i="3"/>
  <c r="H11" i="7"/>
  <c r="G32" i="3" l="1"/>
  <c r="I32" i="3" s="1"/>
  <c r="G42" i="3" l="1"/>
  <c r="K15" i="3" l="1"/>
  <c r="L15" i="3"/>
  <c r="M15" i="3" l="1"/>
  <c r="L11" i="3"/>
  <c r="K11" i="3"/>
  <c r="M11" i="3" s="1"/>
  <c r="K10" i="3"/>
  <c r="K8" i="3"/>
  <c r="K11" i="7" l="1"/>
  <c r="T6" i="5" l="1"/>
  <c r="I32" i="1" l="1"/>
  <c r="T7" i="5"/>
  <c r="H31" i="1"/>
  <c r="G32" i="1"/>
  <c r="G31" i="1"/>
  <c r="I31" i="1" l="1"/>
  <c r="F31" i="1"/>
  <c r="K45" i="6"/>
  <c r="I45" i="6"/>
  <c r="H45" i="6"/>
  <c r="E45" i="6"/>
  <c r="K12" i="2"/>
  <c r="M45" i="6" s="1"/>
  <c r="M12" i="2"/>
  <c r="O12" i="2" s="1"/>
  <c r="Q12" i="2" l="1"/>
  <c r="R12" i="2"/>
  <c r="L45" i="6"/>
  <c r="J45" i="6"/>
  <c r="I10" i="6"/>
  <c r="K10" i="6"/>
  <c r="H10" i="6"/>
  <c r="E10" i="6"/>
  <c r="H7" i="6"/>
  <c r="E35" i="6" l="1"/>
  <c r="H35" i="6"/>
  <c r="K35" i="6"/>
  <c r="G58" i="3"/>
  <c r="I58" i="3" s="1"/>
  <c r="L35" i="6" s="1"/>
  <c r="K58" i="3"/>
  <c r="N58" i="3"/>
  <c r="I35" i="6"/>
  <c r="E21" i="6"/>
  <c r="H21" i="6"/>
  <c r="I21" i="6"/>
  <c r="K21" i="6"/>
  <c r="L34" i="3"/>
  <c r="G34" i="3"/>
  <c r="J34" i="3" s="1"/>
  <c r="M21" i="6" s="1"/>
  <c r="K34" i="3"/>
  <c r="N34" i="3"/>
  <c r="J35" i="6" l="1"/>
  <c r="L58" i="3"/>
  <c r="M58" i="3" s="1"/>
  <c r="M34" i="3"/>
  <c r="O34" i="3" s="1"/>
  <c r="J21" i="6"/>
  <c r="J58" i="3"/>
  <c r="M35" i="6" s="1"/>
  <c r="I34" i="3"/>
  <c r="L21" i="6" s="1"/>
  <c r="O58" i="3" l="1"/>
  <c r="P58" i="3"/>
  <c r="P34" i="3"/>
  <c r="N51" i="6"/>
  <c r="G23" i="3" l="1"/>
  <c r="K23" i="3"/>
  <c r="N23" i="3"/>
  <c r="I23" i="3" l="1"/>
  <c r="L10" i="6" s="1"/>
  <c r="J10" i="6"/>
  <c r="L23" i="3"/>
  <c r="M23" i="3" s="1"/>
  <c r="J23" i="3"/>
  <c r="M10" i="6" s="1"/>
  <c r="O23" i="3" l="1"/>
  <c r="P23" i="3"/>
  <c r="H44" i="6" l="1"/>
  <c r="I44" i="6"/>
  <c r="K44" i="6"/>
  <c r="E44" i="6"/>
  <c r="M11" i="2"/>
  <c r="N11" i="2"/>
  <c r="P11" i="2"/>
  <c r="J44" i="6"/>
  <c r="O11" i="2" l="1"/>
  <c r="Q11" i="2"/>
  <c r="R11" i="2"/>
  <c r="L44" i="6"/>
  <c r="K11" i="2"/>
  <c r="M44" i="6" s="1"/>
  <c r="K4" i="6" l="1"/>
  <c r="K5" i="6"/>
  <c r="K7" i="6"/>
  <c r="I4" i="6"/>
  <c r="I5" i="6"/>
  <c r="H4" i="6"/>
  <c r="H5" i="6"/>
  <c r="E4" i="6"/>
  <c r="E5" i="6"/>
  <c r="N11" i="3"/>
  <c r="P11" i="3" s="1"/>
  <c r="K12" i="3"/>
  <c r="N12" i="3"/>
  <c r="M5" i="6"/>
  <c r="H23" i="1"/>
  <c r="E2" i="6"/>
  <c r="E3" i="6"/>
  <c r="E7" i="6"/>
  <c r="M12" i="3" l="1"/>
  <c r="O12" i="3" s="1"/>
  <c r="K17" i="3"/>
  <c r="O11" i="3"/>
  <c r="J4" i="6"/>
  <c r="L5" i="6"/>
  <c r="J5" i="6"/>
  <c r="H56" i="6"/>
  <c r="I56" i="6"/>
  <c r="K56" i="6"/>
  <c r="H47" i="6"/>
  <c r="I47" i="6"/>
  <c r="K47" i="6"/>
  <c r="P12" i="3" l="1"/>
  <c r="L4" i="6"/>
  <c r="M4" i="6"/>
  <c r="M8" i="2" l="1"/>
  <c r="K46" i="6" l="1"/>
  <c r="I46" i="6"/>
  <c r="H46" i="6"/>
  <c r="E46" i="6"/>
  <c r="N13" i="2"/>
  <c r="P13" i="2"/>
  <c r="M13" i="2"/>
  <c r="O13" i="2" l="1"/>
  <c r="Q13" i="2" s="1"/>
  <c r="K13" i="2"/>
  <c r="M46" i="6" s="1"/>
  <c r="L46" i="6"/>
  <c r="J46" i="6"/>
  <c r="K42" i="3"/>
  <c r="L42" i="3"/>
  <c r="N42" i="3"/>
  <c r="K45" i="3"/>
  <c r="L45" i="3"/>
  <c r="N45" i="3"/>
  <c r="N40" i="3"/>
  <c r="N46" i="3" s="1"/>
  <c r="L40" i="3"/>
  <c r="K40" i="3"/>
  <c r="L10" i="3"/>
  <c r="N10" i="3"/>
  <c r="N15" i="3"/>
  <c r="N8" i="3"/>
  <c r="L8" i="3"/>
  <c r="M8" i="3" s="1"/>
  <c r="O8" i="3" s="1"/>
  <c r="R13" i="2" l="1"/>
  <c r="L46" i="3"/>
  <c r="K46" i="3"/>
  <c r="O15" i="3"/>
  <c r="P15" i="3"/>
  <c r="L17" i="3"/>
  <c r="F27" i="1" s="1"/>
  <c r="M10" i="3"/>
  <c r="O10" i="3" s="1"/>
  <c r="P8" i="3"/>
  <c r="N17" i="3"/>
  <c r="M42" i="3"/>
  <c r="P42" i="3" s="1"/>
  <c r="M45" i="3"/>
  <c r="O45" i="3" s="1"/>
  <c r="M46" i="3" l="1"/>
  <c r="O46" i="3" s="1"/>
  <c r="P10" i="3"/>
  <c r="O42" i="3"/>
  <c r="P45" i="3"/>
  <c r="P8" i="7" l="1"/>
  <c r="N8" i="7"/>
  <c r="F19" i="1" s="1"/>
  <c r="M8" i="7"/>
  <c r="P7" i="7"/>
  <c r="N7" i="7"/>
  <c r="M7" i="7"/>
  <c r="N8" i="2"/>
  <c r="O8" i="2" s="1"/>
  <c r="P7" i="2"/>
  <c r="Q7" i="2" s="1"/>
  <c r="E18" i="1" l="1"/>
  <c r="R8" i="2"/>
  <c r="Q8" i="2"/>
  <c r="F18" i="1"/>
  <c r="N39" i="6"/>
  <c r="H9" i="1" l="1"/>
  <c r="H38" i="6" l="1"/>
  <c r="I38" i="6"/>
  <c r="K38" i="6"/>
  <c r="I9" i="1" l="1"/>
  <c r="R7" i="2"/>
  <c r="J9" i="1" s="1"/>
  <c r="I7" i="6" l="1"/>
  <c r="L7" i="6" l="1"/>
  <c r="J7" i="6"/>
  <c r="M7" i="6"/>
  <c r="G26" i="1" l="1"/>
  <c r="F22" i="1"/>
  <c r="H22" i="1"/>
  <c r="F17" i="1"/>
  <c r="H17" i="1"/>
  <c r="M9" i="7"/>
  <c r="M12" i="7" s="1"/>
  <c r="N9" i="7"/>
  <c r="P9" i="7"/>
  <c r="M11" i="7"/>
  <c r="N11" i="7"/>
  <c r="P11" i="7"/>
  <c r="N14" i="2"/>
  <c r="P14" i="2"/>
  <c r="M14" i="2"/>
  <c r="E55" i="6"/>
  <c r="I55" i="6"/>
  <c r="K55" i="6"/>
  <c r="H55" i="6"/>
  <c r="I53" i="6"/>
  <c r="K53" i="6"/>
  <c r="E53" i="6"/>
  <c r="H53" i="6"/>
  <c r="I51" i="6"/>
  <c r="K51" i="6"/>
  <c r="H51" i="6"/>
  <c r="E51" i="6"/>
  <c r="E49" i="6"/>
  <c r="I49" i="6"/>
  <c r="K49" i="6"/>
  <c r="H49" i="6"/>
  <c r="P10" i="7"/>
  <c r="H21" i="1" s="1"/>
  <c r="N10" i="7"/>
  <c r="F21" i="1" s="1"/>
  <c r="M10" i="7"/>
  <c r="E21" i="1" s="1"/>
  <c r="H10" i="7"/>
  <c r="H9" i="7"/>
  <c r="J53" i="6" s="1"/>
  <c r="H19" i="1"/>
  <c r="H18" i="1"/>
  <c r="J7" i="7"/>
  <c r="F20" i="1" l="1"/>
  <c r="N12" i="7"/>
  <c r="O14" i="2"/>
  <c r="Q14" i="2" s="1"/>
  <c r="O12" i="7"/>
  <c r="R14" i="2"/>
  <c r="H20" i="1"/>
  <c r="P12" i="7"/>
  <c r="J47" i="6"/>
  <c r="M56" i="6"/>
  <c r="J56" i="6"/>
  <c r="K10" i="7"/>
  <c r="M55" i="6" s="1"/>
  <c r="E29" i="1"/>
  <c r="H27" i="6"/>
  <c r="O7" i="7"/>
  <c r="G18" i="1" s="1"/>
  <c r="I18" i="1" s="1"/>
  <c r="O8" i="7"/>
  <c r="G19" i="1" s="1"/>
  <c r="I19" i="1" s="1"/>
  <c r="I52" i="6"/>
  <c r="I57" i="6"/>
  <c r="G22" i="1"/>
  <c r="J22" i="1" s="1"/>
  <c r="J9" i="7"/>
  <c r="L53" i="6" s="1"/>
  <c r="L51" i="6"/>
  <c r="J51" i="6"/>
  <c r="O10" i="7"/>
  <c r="H50" i="6"/>
  <c r="H52" i="6"/>
  <c r="J55" i="6"/>
  <c r="H57" i="6"/>
  <c r="E19" i="1"/>
  <c r="K14" i="2"/>
  <c r="M47" i="6" s="1"/>
  <c r="G17" i="1"/>
  <c r="J17" i="1" s="1"/>
  <c r="K9" i="7"/>
  <c r="J10" i="7"/>
  <c r="L55" i="6" s="1"/>
  <c r="L49" i="6"/>
  <c r="J49" i="6"/>
  <c r="K50" i="6"/>
  <c r="I50" i="6"/>
  <c r="I54" i="6"/>
  <c r="L47" i="6"/>
  <c r="J11" i="7"/>
  <c r="L56" i="6" s="1"/>
  <c r="O11" i="7"/>
  <c r="R11" i="7" s="1"/>
  <c r="O9" i="7"/>
  <c r="R9" i="7" s="1"/>
  <c r="K57" i="6"/>
  <c r="K54" i="6"/>
  <c r="K52" i="6"/>
  <c r="H54" i="6"/>
  <c r="E20" i="1"/>
  <c r="K7" i="7"/>
  <c r="M49" i="6" s="1"/>
  <c r="M51" i="6"/>
  <c r="I33" i="6"/>
  <c r="I12" i="6"/>
  <c r="G23" i="1"/>
  <c r="I43" i="6"/>
  <c r="K43" i="6"/>
  <c r="H43" i="6"/>
  <c r="H41" i="6"/>
  <c r="I41" i="6"/>
  <c r="K41" i="6"/>
  <c r="I39" i="6"/>
  <c r="K39" i="6"/>
  <c r="H39" i="6"/>
  <c r="I37" i="6"/>
  <c r="K37" i="6"/>
  <c r="H37" i="6"/>
  <c r="I28" i="6"/>
  <c r="K28" i="6"/>
  <c r="I29" i="6"/>
  <c r="K29" i="6"/>
  <c r="I30" i="6"/>
  <c r="K30" i="6"/>
  <c r="I31" i="6"/>
  <c r="K31" i="6"/>
  <c r="I32" i="6"/>
  <c r="K32" i="6"/>
  <c r="K33" i="6"/>
  <c r="I34" i="6"/>
  <c r="K34" i="6"/>
  <c r="H29" i="6"/>
  <c r="H30" i="6"/>
  <c r="H31" i="6"/>
  <c r="H32" i="6"/>
  <c r="H33" i="6"/>
  <c r="H34" i="6"/>
  <c r="H28" i="6"/>
  <c r="I26" i="6"/>
  <c r="K26" i="6"/>
  <c r="H26" i="6"/>
  <c r="I25" i="6"/>
  <c r="K25" i="6"/>
  <c r="H25" i="6"/>
  <c r="I23" i="6"/>
  <c r="K23" i="6"/>
  <c r="H23" i="6"/>
  <c r="I9" i="6"/>
  <c r="K9" i="6"/>
  <c r="I11" i="6"/>
  <c r="K11" i="6"/>
  <c r="K12" i="6"/>
  <c r="I13" i="6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H11" i="6"/>
  <c r="H12" i="6"/>
  <c r="H13" i="6"/>
  <c r="H14" i="6"/>
  <c r="H15" i="6"/>
  <c r="H16" i="6"/>
  <c r="H17" i="6"/>
  <c r="H18" i="6"/>
  <c r="H19" i="6"/>
  <c r="H20" i="6"/>
  <c r="H9" i="6"/>
  <c r="I3" i="6"/>
  <c r="K3" i="6"/>
  <c r="H3" i="6"/>
  <c r="I2" i="6"/>
  <c r="K2" i="6"/>
  <c r="H2" i="6"/>
  <c r="E43" i="6"/>
  <c r="E41" i="6"/>
  <c r="E39" i="6"/>
  <c r="E37" i="6"/>
  <c r="E29" i="6"/>
  <c r="E30" i="6"/>
  <c r="E31" i="6"/>
  <c r="E32" i="6"/>
  <c r="E33" i="6"/>
  <c r="E34" i="6"/>
  <c r="E28" i="6"/>
  <c r="E26" i="6"/>
  <c r="E25" i="6"/>
  <c r="E23" i="6"/>
  <c r="E18" i="6"/>
  <c r="E19" i="6"/>
  <c r="E20" i="6"/>
  <c r="E11" i="6"/>
  <c r="E12" i="6"/>
  <c r="E13" i="6"/>
  <c r="E14" i="6"/>
  <c r="E15" i="6"/>
  <c r="E16" i="6"/>
  <c r="E17" i="6"/>
  <c r="E9" i="6"/>
  <c r="N53" i="3"/>
  <c r="N52" i="3"/>
  <c r="N51" i="3"/>
  <c r="N54" i="3"/>
  <c r="N55" i="3"/>
  <c r="N56" i="3"/>
  <c r="N57" i="3"/>
  <c r="L53" i="3"/>
  <c r="L54" i="3"/>
  <c r="L55" i="3"/>
  <c r="L56" i="3"/>
  <c r="L57" i="3"/>
  <c r="L52" i="3"/>
  <c r="L51" i="3"/>
  <c r="K52" i="3"/>
  <c r="K53" i="3"/>
  <c r="K54" i="3"/>
  <c r="K55" i="3"/>
  <c r="K56" i="3"/>
  <c r="K57" i="3"/>
  <c r="K51" i="3"/>
  <c r="K59" i="3" s="1"/>
  <c r="N22" i="3"/>
  <c r="K24" i="3"/>
  <c r="L24" i="3"/>
  <c r="N24" i="3"/>
  <c r="K25" i="3"/>
  <c r="N25" i="3"/>
  <c r="K26" i="3"/>
  <c r="L26" i="3"/>
  <c r="N26" i="3"/>
  <c r="K27" i="3"/>
  <c r="L27" i="3"/>
  <c r="N27" i="3"/>
  <c r="K28" i="3"/>
  <c r="L28" i="3"/>
  <c r="N28" i="3"/>
  <c r="K29" i="3"/>
  <c r="L29" i="3"/>
  <c r="N29" i="3"/>
  <c r="K30" i="3"/>
  <c r="L30" i="3"/>
  <c r="N30" i="3"/>
  <c r="K31" i="3"/>
  <c r="L31" i="3"/>
  <c r="N31" i="3"/>
  <c r="K32" i="3"/>
  <c r="L32" i="3"/>
  <c r="N32" i="3"/>
  <c r="K33" i="3"/>
  <c r="L33" i="3"/>
  <c r="N33" i="3"/>
  <c r="L22" i="3"/>
  <c r="K22" i="3"/>
  <c r="G52" i="3"/>
  <c r="J29" i="6" s="1"/>
  <c r="G53" i="3"/>
  <c r="I53" i="3" s="1"/>
  <c r="L30" i="6" s="1"/>
  <c r="G54" i="3"/>
  <c r="J31" i="6" s="1"/>
  <c r="G55" i="3"/>
  <c r="I55" i="3" s="1"/>
  <c r="L32" i="6" s="1"/>
  <c r="G56" i="3"/>
  <c r="J33" i="6" s="1"/>
  <c r="G57" i="3"/>
  <c r="I57" i="3" s="1"/>
  <c r="L34" i="6" s="1"/>
  <c r="G51" i="3"/>
  <c r="I51" i="3" s="1"/>
  <c r="L28" i="6" s="1"/>
  <c r="J45" i="3"/>
  <c r="M26" i="6" s="1"/>
  <c r="J25" i="6"/>
  <c r="G40" i="3"/>
  <c r="J23" i="6" s="1"/>
  <c r="G24" i="3"/>
  <c r="J24" i="3" s="1"/>
  <c r="M11" i="6" s="1"/>
  <c r="G26" i="3"/>
  <c r="I26" i="3" s="1"/>
  <c r="L13" i="6" s="1"/>
  <c r="G27" i="3"/>
  <c r="J27" i="3" s="1"/>
  <c r="M14" i="6" s="1"/>
  <c r="G28" i="3"/>
  <c r="G29" i="3"/>
  <c r="I29" i="3" s="1"/>
  <c r="L16" i="6" s="1"/>
  <c r="G30" i="3"/>
  <c r="G31" i="3"/>
  <c r="I31" i="3" s="1"/>
  <c r="L18" i="6" s="1"/>
  <c r="L19" i="6"/>
  <c r="G33" i="3"/>
  <c r="J33" i="3" s="1"/>
  <c r="M20" i="6" s="1"/>
  <c r="G22" i="3"/>
  <c r="I22" i="3" s="1"/>
  <c r="L9" i="6" s="1"/>
  <c r="M2" i="6"/>
  <c r="P9" i="2"/>
  <c r="N9" i="2"/>
  <c r="P10" i="2"/>
  <c r="H15" i="1" s="1"/>
  <c r="N10" i="2"/>
  <c r="M10" i="2"/>
  <c r="M9" i="2"/>
  <c r="H11" i="1"/>
  <c r="I40" i="6"/>
  <c r="H40" i="6"/>
  <c r="K9" i="2"/>
  <c r="M39" i="6"/>
  <c r="N15" i="2" l="1"/>
  <c r="O9" i="2"/>
  <c r="Q9" i="2" s="1"/>
  <c r="O10" i="2"/>
  <c r="R10" i="2" s="1"/>
  <c r="L59" i="3"/>
  <c r="M59" i="3" s="1"/>
  <c r="R12" i="7"/>
  <c r="Q12" i="7"/>
  <c r="Q10" i="2"/>
  <c r="H42" i="6"/>
  <c r="M15" i="2"/>
  <c r="O15" i="2" s="1"/>
  <c r="K42" i="6"/>
  <c r="P15" i="2"/>
  <c r="N35" i="3"/>
  <c r="J43" i="6"/>
  <c r="G15" i="1"/>
  <c r="L37" i="6"/>
  <c r="G9" i="1"/>
  <c r="J38" i="6" s="1"/>
  <c r="M32" i="3"/>
  <c r="P32" i="3" s="1"/>
  <c r="L41" i="6"/>
  <c r="G13" i="1"/>
  <c r="M37" i="6"/>
  <c r="R10" i="7"/>
  <c r="M57" i="6" s="1"/>
  <c r="L3" i="6"/>
  <c r="M3" i="6"/>
  <c r="J30" i="3"/>
  <c r="M17" i="6" s="1"/>
  <c r="I28" i="3"/>
  <c r="L15" i="6" s="1"/>
  <c r="J28" i="3"/>
  <c r="M15" i="6" s="1"/>
  <c r="H48" i="6"/>
  <c r="I48" i="6"/>
  <c r="M55" i="3"/>
  <c r="O55" i="3" s="1"/>
  <c r="J54" i="3"/>
  <c r="M31" i="6" s="1"/>
  <c r="M40" i="3"/>
  <c r="O40" i="3" s="1"/>
  <c r="M57" i="3"/>
  <c r="P57" i="3" s="1"/>
  <c r="M53" i="3"/>
  <c r="O53" i="3" s="1"/>
  <c r="M54" i="3"/>
  <c r="P54" i="3" s="1"/>
  <c r="J54" i="6"/>
  <c r="J50" i="6"/>
  <c r="Q10" i="7"/>
  <c r="L57" i="6" s="1"/>
  <c r="Q7" i="7"/>
  <c r="L50" i="6" s="1"/>
  <c r="J18" i="1"/>
  <c r="J55" i="3"/>
  <c r="M32" i="6" s="1"/>
  <c r="J53" i="3"/>
  <c r="M30" i="6" s="1"/>
  <c r="J52" i="3"/>
  <c r="M29" i="6" s="1"/>
  <c r="R7" i="7"/>
  <c r="M50" i="6" s="1"/>
  <c r="J19" i="1"/>
  <c r="M31" i="3"/>
  <c r="P31" i="3" s="1"/>
  <c r="R8" i="7"/>
  <c r="M52" i="6" s="1"/>
  <c r="Q11" i="7"/>
  <c r="Q8" i="7"/>
  <c r="L52" i="6" s="1"/>
  <c r="J52" i="6"/>
  <c r="M27" i="3"/>
  <c r="P27" i="3" s="1"/>
  <c r="H8" i="6"/>
  <c r="I22" i="1"/>
  <c r="Q9" i="7"/>
  <c r="L54" i="6" s="1"/>
  <c r="I17" i="1"/>
  <c r="J51" i="3"/>
  <c r="M28" i="6" s="1"/>
  <c r="J26" i="6"/>
  <c r="G20" i="1"/>
  <c r="I20" i="1" s="1"/>
  <c r="I40" i="3"/>
  <c r="J40" i="3"/>
  <c r="M23" i="6" s="1"/>
  <c r="F29" i="1"/>
  <c r="J32" i="6"/>
  <c r="J57" i="3"/>
  <c r="M34" i="6" s="1"/>
  <c r="M30" i="3"/>
  <c r="M26" i="3"/>
  <c r="M24" i="3"/>
  <c r="P24" i="3" s="1"/>
  <c r="H28" i="1"/>
  <c r="H29" i="1"/>
  <c r="N59" i="3"/>
  <c r="H30" i="1" s="1"/>
  <c r="J3" i="6"/>
  <c r="J28" i="6"/>
  <c r="J37" i="6"/>
  <c r="G21" i="1"/>
  <c r="J57" i="6"/>
  <c r="M17" i="3"/>
  <c r="P17" i="3" s="1"/>
  <c r="I23" i="1"/>
  <c r="J23" i="1"/>
  <c r="M52" i="3"/>
  <c r="O52" i="3" s="1"/>
  <c r="J16" i="6"/>
  <c r="K48" i="6"/>
  <c r="M28" i="3"/>
  <c r="J15" i="6"/>
  <c r="L43" i="6"/>
  <c r="J42" i="6"/>
  <c r="I42" i="6"/>
  <c r="M41" i="6"/>
  <c r="J41" i="6"/>
  <c r="K10" i="2"/>
  <c r="M22" i="3"/>
  <c r="P22" i="3" s="1"/>
  <c r="M56" i="3"/>
  <c r="O56" i="3" s="1"/>
  <c r="J56" i="3"/>
  <c r="M33" i="6" s="1"/>
  <c r="G25" i="3"/>
  <c r="I25" i="3" s="1"/>
  <c r="L12" i="6" s="1"/>
  <c r="L25" i="3"/>
  <c r="M25" i="3" s="1"/>
  <c r="P25" i="3" s="1"/>
  <c r="M33" i="3"/>
  <c r="J42" i="3"/>
  <c r="M25" i="6" s="1"/>
  <c r="I42" i="3"/>
  <c r="I45" i="3"/>
  <c r="J2" i="6"/>
  <c r="J14" i="6"/>
  <c r="J11" i="6"/>
  <c r="J20" i="6"/>
  <c r="I52" i="3"/>
  <c r="L29" i="6" s="1"/>
  <c r="M29" i="3"/>
  <c r="P29" i="3" s="1"/>
  <c r="H13" i="1"/>
  <c r="K40" i="6"/>
  <c r="H36" i="6"/>
  <c r="J34" i="6"/>
  <c r="I56" i="3"/>
  <c r="L33" i="6" s="1"/>
  <c r="I54" i="3"/>
  <c r="L31" i="6" s="1"/>
  <c r="J30" i="6"/>
  <c r="M51" i="3"/>
  <c r="J19" i="6"/>
  <c r="J18" i="6"/>
  <c r="J17" i="6"/>
  <c r="J26" i="3"/>
  <c r="M13" i="6" s="1"/>
  <c r="J13" i="6"/>
  <c r="K35" i="3"/>
  <c r="E28" i="1" s="1"/>
  <c r="E34" i="1" s="1"/>
  <c r="J9" i="6"/>
  <c r="J39" i="6"/>
  <c r="J29" i="3"/>
  <c r="M16" i="6" s="1"/>
  <c r="J22" i="3"/>
  <c r="M9" i="6" s="1"/>
  <c r="J31" i="3"/>
  <c r="M18" i="6" s="1"/>
  <c r="J32" i="3"/>
  <c r="M19" i="6" s="1"/>
  <c r="I33" i="3"/>
  <c r="L20" i="6" s="1"/>
  <c r="I30" i="3"/>
  <c r="L17" i="6" s="1"/>
  <c r="I27" i="3"/>
  <c r="L14" i="6" s="1"/>
  <c r="I24" i="3"/>
  <c r="L11" i="6" s="1"/>
  <c r="R9" i="2" l="1"/>
  <c r="H35" i="1"/>
  <c r="R15" i="2"/>
  <c r="Q15" i="2"/>
  <c r="P55" i="3"/>
  <c r="P40" i="3"/>
  <c r="I36" i="6"/>
  <c r="F30" i="1"/>
  <c r="F35" i="1" s="1"/>
  <c r="O57" i="3"/>
  <c r="P53" i="3"/>
  <c r="O54" i="3"/>
  <c r="K36" i="6"/>
  <c r="O27" i="3"/>
  <c r="K22" i="6"/>
  <c r="O30" i="3"/>
  <c r="P30" i="3"/>
  <c r="O28" i="3"/>
  <c r="P28" i="3"/>
  <c r="E30" i="1"/>
  <c r="E35" i="1" s="1"/>
  <c r="O31" i="3"/>
  <c r="O32" i="3"/>
  <c r="O33" i="3"/>
  <c r="P33" i="3"/>
  <c r="O26" i="3"/>
  <c r="P26" i="3"/>
  <c r="I27" i="6"/>
  <c r="K27" i="6"/>
  <c r="J20" i="1"/>
  <c r="P56" i="3"/>
  <c r="G29" i="1"/>
  <c r="I29" i="1" s="1"/>
  <c r="O24" i="3"/>
  <c r="L23" i="6"/>
  <c r="L38" i="6"/>
  <c r="J21" i="1"/>
  <c r="I21" i="1"/>
  <c r="P52" i="3"/>
  <c r="O17" i="3"/>
  <c r="H27" i="1"/>
  <c r="H34" i="1" s="1"/>
  <c r="J25" i="3"/>
  <c r="M12" i="6" s="1"/>
  <c r="O29" i="3"/>
  <c r="J48" i="6"/>
  <c r="L48" i="6"/>
  <c r="J15" i="1"/>
  <c r="M48" i="6" s="1"/>
  <c r="O22" i="3"/>
  <c r="J12" i="6"/>
  <c r="L35" i="3"/>
  <c r="F28" i="1" s="1"/>
  <c r="I13" i="1"/>
  <c r="M43" i="6"/>
  <c r="O25" i="3"/>
  <c r="I8" i="6"/>
  <c r="L25" i="6"/>
  <c r="L2" i="6"/>
  <c r="L26" i="6"/>
  <c r="K8" i="6"/>
  <c r="P51" i="3"/>
  <c r="P59" i="3"/>
  <c r="O51" i="3"/>
  <c r="H22" i="6"/>
  <c r="L39" i="6"/>
  <c r="J40" i="6"/>
  <c r="G35" i="1" l="1"/>
  <c r="I35" i="1" s="1"/>
  <c r="F34" i="1"/>
  <c r="G34" i="1" s="1"/>
  <c r="M35" i="3"/>
  <c r="G28" i="1" s="1"/>
  <c r="O59" i="3"/>
  <c r="L36" i="6" s="1"/>
  <c r="P46" i="3"/>
  <c r="J8" i="6"/>
  <c r="M38" i="6"/>
  <c r="J27" i="6"/>
  <c r="G27" i="1"/>
  <c r="J27" i="1" s="1"/>
  <c r="J29" i="1"/>
  <c r="I11" i="1"/>
  <c r="J11" i="1"/>
  <c r="J13" i="1"/>
  <c r="L42" i="6"/>
  <c r="M42" i="6"/>
  <c r="L8" i="6"/>
  <c r="I22" i="6"/>
  <c r="M8" i="6"/>
  <c r="L27" i="6"/>
  <c r="M36" i="6"/>
  <c r="J36" i="6"/>
  <c r="G30" i="1"/>
  <c r="L40" i="6"/>
  <c r="M40" i="6"/>
  <c r="J35" i="1" l="1"/>
  <c r="I34" i="1"/>
  <c r="J34" i="1"/>
  <c r="J22" i="6"/>
  <c r="P35" i="3"/>
  <c r="M22" i="6" s="1"/>
  <c r="O35" i="3"/>
  <c r="L22" i="6" s="1"/>
  <c r="I27" i="1"/>
  <c r="I30" i="1"/>
  <c r="J30" i="1"/>
  <c r="J28" i="1"/>
  <c r="I28" i="1"/>
  <c r="M27" i="6"/>
  <c r="J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mcea</author>
  </authors>
  <commentList>
    <comment ref="L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N°138-26 Cierre de Cuota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PEREZ SALGADO, NICOLAS RODRIGO</author>
    <author>mcea</author>
  </authors>
  <commentList>
    <comment ref="L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PEREZ SALGADO, NICOLAS RODRIGO:</t>
        </r>
        <r>
          <rPr>
            <sz val="9"/>
            <color indexed="81"/>
            <rFont val="Tahoma"/>
            <family val="2"/>
          </rPr>
          <t xml:space="preserve">
Res 29-26 Cierre cuota.</t>
        </r>
      </text>
    </comment>
    <comment ref="L9" authorId="1" shapeId="0" xr:uid="{00000000-0006-0000-0200-000002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N°91-26 Cierre de Cuota
Res. Ex. N°117-26 Apertura de Cuota</t>
        </r>
      </text>
    </comment>
    <comment ref="L10" authorId="1" shapeId="0" xr:uid="{00000000-0006-0000-0200-000003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N°134-26 Cierre de Cuota
Res. Ex. N°196-26 Apertura de Cuota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21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N°957-26 Incorpora embarcaciones
Res. Ex. N°1058-26 Incorpora embarcación
Res. Ex. N° 1495-256 Modifica Res. N°497-26 a 750 Ton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  <author>mcea</author>
  </authors>
  <commentList>
    <comment ref="F8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471,049 Ton a Corpesca S.A XV-II</t>
        </r>
      </text>
    </comment>
    <comment ref="F11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471,049 Ton desde Arica Seafood Producer S.A XV-II</t>
        </r>
      </text>
    </comment>
    <comment ref="F12" authorId="1" shapeId="0" xr:uid="{00000000-0006-0000-0500-000003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N°487-26 Cesion de 1520,507 Ton a embarcaciones XV</t>
        </r>
      </text>
    </comment>
    <comment ref="F15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mcea:</t>
        </r>
        <r>
          <rPr>
            <sz val="9"/>
            <color indexed="81"/>
            <rFont val="Tahoma"/>
            <family val="2"/>
          </rPr>
          <t xml:space="preserve">
Res. Ex. N°489-26 Cesion de 929,198 Ton a embarcaciones XV</t>
        </r>
      </text>
    </comment>
    <comment ref="F42" authorId="0" shapeId="0" xr:uid="{00000000-0006-0000-0500-000005000000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N°497-26 Cesion de 600 Ton a embarcaciones XV-I
Res. Ex. N°1495-26 Modifica Res. Ex. N° 495-25 a 750 Ton a embarcaciones XV-I</t>
        </r>
      </text>
    </comment>
    <comment ref="F45" authorId="1" shapeId="0" xr:uid="{00000000-0006-0000-0500-000006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N°1435-26 Cesion de 1200 Ton a embarcaciones XV-I</t>
        </r>
      </text>
    </comment>
    <comment ref="F52" authorId="1" shapeId="0" xr:uid="{00000000-0006-0000-0500-00000700000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III</t>
        </r>
      </text>
    </comment>
    <comment ref="F57" authorId="0" shapeId="0" xr:uid="{00000000-0006-0000-0500-000008000000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IV</t>
        </r>
      </text>
    </comment>
  </commentList>
</comments>
</file>

<file path=xl/sharedStrings.xml><?xml version="1.0" encoding="utf-8"?>
<sst xmlns="http://schemas.openxmlformats.org/spreadsheetml/2006/main" count="800" uniqueCount="258">
  <si>
    <t>RESUMEN CONSUMO ANUAL ANCHOVETA Y SARDINA ESPAÑOLA XV-IV AÑO 2026. Dato en Toneladas</t>
  </si>
  <si>
    <t>Información preliminar</t>
  </si>
  <si>
    <t>Fracción</t>
  </si>
  <si>
    <t>Recurso</t>
  </si>
  <si>
    <t>Unidad Pesquería</t>
  </si>
  <si>
    <t>Cuota Asignada</t>
  </si>
  <si>
    <t>Movimientos</t>
  </si>
  <si>
    <t>Cuota Efectiva</t>
  </si>
  <si>
    <t>Captura</t>
  </si>
  <si>
    <t>Saldo</t>
  </si>
  <si>
    <t>Consumo</t>
  </si>
  <si>
    <t>ARTESANAL</t>
  </si>
  <si>
    <t>Anchoveta</t>
  </si>
  <si>
    <t>XV - I</t>
  </si>
  <si>
    <t>Cesiones Ind y Colec XV-I</t>
  </si>
  <si>
    <t>-</t>
  </si>
  <si>
    <t>II</t>
  </si>
  <si>
    <t>Cesiones Ind y Colec II</t>
  </si>
  <si>
    <t>III</t>
  </si>
  <si>
    <t>Cesiones Ind y Colec III</t>
  </si>
  <si>
    <t>IV</t>
  </si>
  <si>
    <t>Cesiones Ind y Colec IV</t>
  </si>
  <si>
    <t>FA XV - IV</t>
  </si>
  <si>
    <t>Sardina española</t>
  </si>
  <si>
    <t>INVESTIGACION</t>
  </si>
  <si>
    <t xml:space="preserve">Anchoveta </t>
  </si>
  <si>
    <t>XV-IV</t>
  </si>
  <si>
    <t xml:space="preserve">Sardina Española </t>
  </si>
  <si>
    <t>CONSUMO HUMANO</t>
  </si>
  <si>
    <t>IMPREVISTO</t>
  </si>
  <si>
    <t>INDUSTRIAL</t>
  </si>
  <si>
    <t>XV - II</t>
  </si>
  <si>
    <t>III - IV</t>
  </si>
  <si>
    <t xml:space="preserve">Sardina española </t>
  </si>
  <si>
    <t>CESIONES</t>
  </si>
  <si>
    <t>XV - IV</t>
  </si>
  <si>
    <t>CRUC</t>
  </si>
  <si>
    <t>TOTAL ANCHOVETA</t>
  </si>
  <si>
    <t>TOTAL SARDINA ESPAÑOLA</t>
  </si>
  <si>
    <t>CONTROL CUOTA ANCHOVETA  XV - IV AÑO 2026</t>
  </si>
  <si>
    <t>RESUMEN ANUAL</t>
  </si>
  <si>
    <t>Unidad de pesquería</t>
  </si>
  <si>
    <t>Fraccionamiento</t>
  </si>
  <si>
    <t>Asignatario</t>
  </si>
  <si>
    <t>Período</t>
  </si>
  <si>
    <t>Cuota asignada</t>
  </si>
  <si>
    <t>Cuota efectiva</t>
  </si>
  <si>
    <t>Captura (ton)</t>
  </si>
  <si>
    <t>Saldo (ton)</t>
  </si>
  <si>
    <t>% Consumo</t>
  </si>
  <si>
    <t>Cierre</t>
  </si>
  <si>
    <t>Anchoveta XV - IV</t>
  </si>
  <si>
    <t xml:space="preserve"> Arica y Parinacota - Tarapacá</t>
  </si>
  <si>
    <t>MACROZONA XV - I</t>
  </si>
  <si>
    <t>Ene - Dic</t>
  </si>
  <si>
    <t xml:space="preserve"> Antofagasta</t>
  </si>
  <si>
    <t>REGIÓN II</t>
  </si>
  <si>
    <t xml:space="preserve"> Atacama</t>
  </si>
  <si>
    <t>REGIÓN III</t>
  </si>
  <si>
    <t>Coquimbo</t>
  </si>
  <si>
    <t>AG de Coquimbo RAG 55-4</t>
  </si>
  <si>
    <t>CERCOPESCA Rol 4276</t>
  </si>
  <si>
    <t>Cooperativa Pesquera Cerqueros Bahía Coquimbo Rol 6923</t>
  </si>
  <si>
    <t>CUOTA RESIDUAL</t>
  </si>
  <si>
    <t>Fauna acompañante</t>
  </si>
  <si>
    <t>TOTAL ANCHOVETA XV-IV</t>
  </si>
  <si>
    <t>CONTROL CUOTA SARDINA ESPAÑOLA ARTESANAL XV - IV AÑO 2026</t>
  </si>
  <si>
    <t>Sardina española XV - IV</t>
  </si>
  <si>
    <t>Arica y Parinacota - Tarapacá</t>
  </si>
  <si>
    <t>Antofagasta</t>
  </si>
  <si>
    <t>Atacama</t>
  </si>
  <si>
    <t>REGIÓN IV</t>
  </si>
  <si>
    <t>TOTAL SARDINA ESPAÑOLA XV-IV</t>
  </si>
  <si>
    <t>CUOTA CRUC ANCHOVETA, AÑO 2026</t>
  </si>
  <si>
    <t>REGION</t>
  </si>
  <si>
    <t>PERIODO</t>
  </si>
  <si>
    <t>CUOTA ASIGNADA</t>
  </si>
  <si>
    <t>MOVIMIENTOS</t>
  </si>
  <si>
    <t>CUOTA EFECTIVA</t>
  </si>
  <si>
    <t>CAPTURA</t>
  </si>
  <si>
    <t>SALDO</t>
  </si>
  <si>
    <t>% CONSUMO</t>
  </si>
  <si>
    <t>FECHA CIERRE</t>
  </si>
  <si>
    <t>Ene-Dic</t>
  </si>
  <si>
    <t>Total</t>
  </si>
  <si>
    <t>ANCHOVETA 2026</t>
  </si>
  <si>
    <t>SARDINA ESPAÑOLA 2026</t>
  </si>
  <si>
    <t>CUOTA</t>
  </si>
  <si>
    <t>TOTAL CESIONES 2026</t>
  </si>
  <si>
    <t>Tipo</t>
  </si>
  <si>
    <t>Fecha</t>
  </si>
  <si>
    <t>N° Resolución</t>
  </si>
  <si>
    <t>Región</t>
  </si>
  <si>
    <t>Embarcación</t>
  </si>
  <si>
    <t>RPA</t>
  </si>
  <si>
    <t>55T</t>
  </si>
  <si>
    <t>XV</t>
  </si>
  <si>
    <t>Fernanda I</t>
  </si>
  <si>
    <t>Valentina</t>
  </si>
  <si>
    <t>S. Española</t>
  </si>
  <si>
    <t>Antonela Paz</t>
  </si>
  <si>
    <t>TOTAL</t>
  </si>
  <si>
    <t>Andreas</t>
  </si>
  <si>
    <t>Francesca</t>
  </si>
  <si>
    <t>Renata</t>
  </si>
  <si>
    <t>Liliana</t>
  </si>
  <si>
    <t>Niña Ximena</t>
  </si>
  <si>
    <t>Abdon I</t>
  </si>
  <si>
    <t>Carolina I</t>
  </si>
  <si>
    <t>Lile</t>
  </si>
  <si>
    <t>Don Mauricio I</t>
  </si>
  <si>
    <t>Rey Mar II</t>
  </si>
  <si>
    <t>Mariano A</t>
  </si>
  <si>
    <t>Don Seba I</t>
  </si>
  <si>
    <t>Guerrero del Golfo</t>
  </si>
  <si>
    <t>Camila Antonia</t>
  </si>
  <si>
    <t>Amadeus III</t>
  </si>
  <si>
    <t>Amadeus IV</t>
  </si>
  <si>
    <t>Doña Lidia</t>
  </si>
  <si>
    <t>Leo I</t>
  </si>
  <si>
    <t>Atenea II</t>
  </si>
  <si>
    <t>Delfin 2000</t>
  </si>
  <si>
    <t>El Bellaco II</t>
  </si>
  <si>
    <t>Don Gabriel</t>
  </si>
  <si>
    <t>Don Victorino</t>
  </si>
  <si>
    <t>Garota III</t>
  </si>
  <si>
    <t>Atenea III</t>
  </si>
  <si>
    <t>Garota II</t>
  </si>
  <si>
    <t>Garota V</t>
  </si>
  <si>
    <t>Pa.ke.Te.Pikay</t>
  </si>
  <si>
    <t>Kalejo</t>
  </si>
  <si>
    <t>El Reno I</t>
  </si>
  <si>
    <t>Garota VIII</t>
  </si>
  <si>
    <t>Garota VI</t>
  </si>
  <si>
    <t>Michelle</t>
  </si>
  <si>
    <t>Sta. Veronica II</t>
  </si>
  <si>
    <t>Don Perucho II</t>
  </si>
  <si>
    <t>Haylen Carolina</t>
  </si>
  <si>
    <t>Zeus I</t>
  </si>
  <si>
    <t>Daniela Andrea I</t>
  </si>
  <si>
    <t>Rey Mar I</t>
  </si>
  <si>
    <t>Durga I</t>
  </si>
  <si>
    <t>Sea Quest</t>
  </si>
  <si>
    <t>Tom Jerry</t>
  </si>
  <si>
    <t>Lonquimay 2</t>
  </si>
  <si>
    <t>Yuliana Antonella</t>
  </si>
  <si>
    <t>Don Jose Miguel</t>
  </si>
  <si>
    <t>Don Jose Edgardo</t>
  </si>
  <si>
    <t>Fortuna VI</t>
  </si>
  <si>
    <t>Don Benito III</t>
  </si>
  <si>
    <t>XV-I</t>
  </si>
  <si>
    <t>Arkhos IV</t>
  </si>
  <si>
    <t>Don Ubaldo H.Q.</t>
  </si>
  <si>
    <t>Coyi I</t>
  </si>
  <si>
    <t>Santa Margarita I</t>
  </si>
  <si>
    <t>Mar Tercero</t>
  </si>
  <si>
    <t>Lobo de Afuera VIII</t>
  </si>
  <si>
    <t>Consuelito I</t>
  </si>
  <si>
    <t>Don Salomon</t>
  </si>
  <si>
    <t>Arkhos III</t>
  </si>
  <si>
    <t>Cesar Miguel</t>
  </si>
  <si>
    <t>Don German Csa</t>
  </si>
  <si>
    <t>Agujilla</t>
  </si>
  <si>
    <t>Karen Pamela</t>
  </si>
  <si>
    <t>Arkhos II</t>
  </si>
  <si>
    <t>Don Mario 1</t>
  </si>
  <si>
    <t>Benjamin A</t>
  </si>
  <si>
    <t>Abel</t>
  </si>
  <si>
    <t>Gracias a Dios I</t>
  </si>
  <si>
    <t>Petrohue III</t>
  </si>
  <si>
    <t>Elvas</t>
  </si>
  <si>
    <t>Petrohue II</t>
  </si>
  <si>
    <t>Ragnar</t>
  </si>
  <si>
    <t>Rina F Y M</t>
  </si>
  <si>
    <t>Zarko</t>
  </si>
  <si>
    <t>Loreto V</t>
  </si>
  <si>
    <t>Petrohue I</t>
  </si>
  <si>
    <t>Daniel</t>
  </si>
  <si>
    <t>Pelicano II</t>
  </si>
  <si>
    <t>CONTROL CUOTA ANCHOVETA Y SARDINA ESPAÑOLA INDUSTRIAL XV - IV AÑO 2026</t>
  </si>
  <si>
    <t>CUOTA (TONELADAS)</t>
  </si>
  <si>
    <t>OPERACIÓN</t>
  </si>
  <si>
    <t>Titular de cuota LTP</t>
  </si>
  <si>
    <t>Periodo</t>
  </si>
  <si>
    <t>Captura (t)</t>
  </si>
  <si>
    <t>Saldo (t)</t>
  </si>
  <si>
    <t>% Consumido</t>
  </si>
  <si>
    <t>Anchoveta XV - II</t>
  </si>
  <si>
    <t>ARICA SEAFOOD PRODUCER S.A.</t>
  </si>
  <si>
    <t xml:space="preserve">BLUMAR S.A. </t>
  </si>
  <si>
    <t>CAMANCHACA S.A</t>
  </si>
  <si>
    <t>CORPESCA S.A</t>
  </si>
  <si>
    <t>DECASUR SPA</t>
  </si>
  <si>
    <t>LOTE RENUNCIADO</t>
  </si>
  <si>
    <t>ORIZON S.A.</t>
  </si>
  <si>
    <t>ESPACIO PESQUERO SpA.</t>
  </si>
  <si>
    <t>SOCIEDAD PESQUERA LANDES S.A.</t>
  </si>
  <si>
    <t>Anchoveta III - IV</t>
  </si>
  <si>
    <t>ABASTECIMIENTO DEL PACIFICO S.A.</t>
  </si>
  <si>
    <t xml:space="preserve">ALIMENTOS MARINOS S.A.          </t>
  </si>
  <si>
    <t>ATILIO REYES BARRERA</t>
  </si>
  <si>
    <t xml:space="preserve">BAHIA CALDERA S.A. PESQ.          </t>
  </si>
  <si>
    <t xml:space="preserve">BLUMAR S.A.                                              </t>
  </si>
  <si>
    <t xml:space="preserve">CAMANCHACA S.A. CIA. PESQ    </t>
  </si>
  <si>
    <t>ERIC ARACENA REYNUABA</t>
  </si>
  <si>
    <t>FOODCORP CHILE S.A.</t>
  </si>
  <si>
    <t>GIULLIANO REYNUABA SALAS</t>
  </si>
  <si>
    <t xml:space="preserve">LANDES S.A. SOC. PESQ.                           </t>
  </si>
  <si>
    <t xml:space="preserve">ORIZON S.A                                                   </t>
  </si>
  <si>
    <t>PROCESOS TECNOLOGICOS DEL BIO BIO SpA</t>
  </si>
  <si>
    <t>SIPESUR SPA</t>
  </si>
  <si>
    <t>Moviemientos</t>
  </si>
  <si>
    <t>Sardina española XV - II</t>
  </si>
  <si>
    <t xml:space="preserve">ARICA SEAFOOD PRODUCER S.A.  </t>
  </si>
  <si>
    <t>BLUMAR S.A.</t>
  </si>
  <si>
    <t xml:space="preserve">CAMANCHACA S.A. CIA. PESQ      </t>
  </si>
  <si>
    <t xml:space="preserve">CORPESCA S.A.                             </t>
  </si>
  <si>
    <t>Sardina española III - IV</t>
  </si>
  <si>
    <t>CAMANCHACA S.A.</t>
  </si>
  <si>
    <t>LANDES S.A. SOC. PESQ.</t>
  </si>
  <si>
    <t>UP ANCHOVETA</t>
  </si>
  <si>
    <t>XV-II</t>
  </si>
  <si>
    <t>III-IV</t>
  </si>
  <si>
    <t>UP SARDINA ESPAÑOLA</t>
  </si>
  <si>
    <t>N° doc.</t>
  </si>
  <si>
    <t>CEDE</t>
  </si>
  <si>
    <t>RECIBE</t>
  </si>
  <si>
    <t>Coeficiente</t>
  </si>
  <si>
    <t xml:space="preserve">Especie </t>
  </si>
  <si>
    <t>CONTROL DE CUOTAS PESCA DE INVESTIGACIÓN AÑO 2026</t>
  </si>
  <si>
    <t>Resolución</t>
  </si>
  <si>
    <t>Cuota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</si>
  <si>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</si>
  <si>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</si>
  <si>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</si>
  <si>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</si>
  <si>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</si>
  <si>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</si>
  <si>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</si>
  <si>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</si>
  <si>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</si>
  <si>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</si>
  <si>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</si>
  <si>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</si>
  <si>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saldo_porcentaje</t>
  </si>
  <si>
    <t>cierre</t>
  </si>
  <si>
    <t>Preliminar</t>
  </si>
  <si>
    <t>año</t>
  </si>
  <si>
    <t>comentario</t>
  </si>
  <si>
    <t>ANCHOVETA</t>
  </si>
  <si>
    <t>TITULAR LTP</t>
  </si>
  <si>
    <t>TOTAL ASIGNATARIO LTP</t>
  </si>
  <si>
    <t>SARDINA ESPAÑOLA</t>
  </si>
  <si>
    <t>TOTAL ASIGNATARIO MACROZONA</t>
  </si>
  <si>
    <t>TOTAL ASIGNATARIO REGION</t>
  </si>
  <si>
    <t>ORGANIZACIÓN</t>
  </si>
  <si>
    <t>Fauna acompañante III-IV</t>
  </si>
  <si>
    <t>MACROZONA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</si>
</sst>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00"/>
    <numFmt numFmtId="167" formatCode="[$-F800]dddd\,\ mmmm\ dd\,\ yyyy"/>
    <numFmt numFmtId="168" formatCode="yyyy/mm/dd;@"/>
    <numFmt numFmtId="169" formatCode="#\ ##0.000"/>
    <numFmt numFmtId="170" formatCode="#\ ##0.00"/>
    <numFmt numFmtId="171" formatCode="##\ ##0.000"/>
    <numFmt numFmtId="172" formatCode="0.000%"/>
    <numFmt numFmtId="173" formatCode="0.0"/>
    <numFmt numFmtId="174" formatCode="##\ ##0.00"/>
    <numFmt numFmtId="175" formatCode="0.0000000"/>
    <numFmt numFmtId="176" formatCode="0.000000"/>
    <numFmt numFmtId="177" formatCode="0.0000"/>
    <numFmt numFmtId="178" formatCode="#,#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theme="1"/>
      <name val="gobC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DF5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">
    <xf numFmtId="0" fontId="0" fillId="0" borderId="0"/>
    <xf numFmtId="9" fontId="1" fillId="0" borderId="0" applyFont="0" applyFill="0" applyBorder="0" applyAlignment="0" applyProtection="0"/>
    <xf numFmtId="9" fontId="1" fillId="26" borderId="0" applyFont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" fillId="0" borderId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" fillId="0" borderId="0" applyFont="0" applyFill="0" applyBorder="0" applyAlignment="0" applyProtection="0"/>
  </cellStyleXfs>
  <cellXfs count="359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/>
    <xf numFmtId="9" fontId="0" fillId="0" borderId="0" xfId="1" applyFont="1" applyBorder="1" applyAlignment="1"/>
    <xf numFmtId="0" fontId="29" fillId="0" borderId="0" xfId="0" applyFont="1"/>
    <xf numFmtId="0" fontId="0" fillId="0" borderId="0" xfId="0" applyAlignment="1">
      <alignment vertical="center"/>
    </xf>
    <xf numFmtId="169" fontId="0" fillId="31" borderId="0" xfId="0" applyNumberFormat="1" applyFill="1" applyAlignment="1">
      <alignment horizontal="center" vertical="center"/>
    </xf>
    <xf numFmtId="9" fontId="0" fillId="31" borderId="0" xfId="1" applyFont="1" applyFill="1" applyBorder="1" applyAlignment="1"/>
    <xf numFmtId="0" fontId="0" fillId="31" borderId="0" xfId="0" applyFill="1"/>
    <xf numFmtId="0" fontId="0" fillId="31" borderId="0" xfId="0" applyFill="1" applyAlignment="1">
      <alignment vertical="center"/>
    </xf>
    <xf numFmtId="170" fontId="0" fillId="31" borderId="0" xfId="0" applyNumberFormat="1" applyFill="1"/>
    <xf numFmtId="0" fontId="0" fillId="31" borderId="0" xfId="0" applyFill="1" applyAlignment="1">
      <alignment horizontal="left" vertical="top"/>
    </xf>
    <xf numFmtId="14" fontId="0" fillId="31" borderId="0" xfId="0" applyNumberFormat="1" applyFill="1"/>
    <xf numFmtId="0" fontId="0" fillId="0" borderId="0" xfId="0" applyAlignment="1">
      <alignment horizontal="left" vertical="top"/>
    </xf>
    <xf numFmtId="0" fontId="2" fillId="29" borderId="21" xfId="0" applyFont="1" applyFill="1" applyBorder="1" applyAlignment="1">
      <alignment horizontal="center" vertical="center"/>
    </xf>
    <xf numFmtId="0" fontId="2" fillId="29" borderId="21" xfId="0" applyFont="1" applyFill="1" applyBorder="1" applyAlignment="1">
      <alignment horizontal="center" vertical="center" wrapText="1"/>
    </xf>
    <xf numFmtId="0" fontId="2" fillId="29" borderId="20" xfId="0" applyFont="1" applyFill="1" applyBorder="1" applyAlignment="1">
      <alignment horizontal="center" vertical="center"/>
    </xf>
    <xf numFmtId="2" fontId="0" fillId="31" borderId="0" xfId="0" applyNumberFormat="1" applyFill="1"/>
    <xf numFmtId="174" fontId="0" fillId="31" borderId="0" xfId="0" applyNumberFormat="1" applyFill="1"/>
    <xf numFmtId="177" fontId="0" fillId="31" borderId="0" xfId="0" applyNumberFormat="1" applyFill="1"/>
    <xf numFmtId="166" fontId="0" fillId="31" borderId="0" xfId="0" applyNumberFormat="1" applyFill="1"/>
    <xf numFmtId="175" fontId="0" fillId="0" borderId="0" xfId="0" applyNumberFormat="1"/>
    <xf numFmtId="0" fontId="2" fillId="29" borderId="34" xfId="0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0" fontId="34" fillId="31" borderId="1" xfId="0" applyFont="1" applyFill="1" applyBorder="1" applyAlignment="1">
      <alignment horizontal="left" vertical="center" wrapText="1"/>
    </xf>
    <xf numFmtId="0" fontId="34" fillId="31" borderId="1" xfId="0" applyFont="1" applyFill="1" applyBorder="1" applyAlignment="1">
      <alignment horizontal="center" vertical="center"/>
    </xf>
    <xf numFmtId="169" fontId="34" fillId="31" borderId="1" xfId="0" applyNumberFormat="1" applyFont="1" applyFill="1" applyBorder="1" applyAlignment="1">
      <alignment horizontal="center" vertical="center"/>
    </xf>
    <xf numFmtId="9" fontId="34" fillId="31" borderId="18" xfId="1" applyFont="1" applyFill="1" applyBorder="1" applyAlignment="1">
      <alignment horizontal="center" vertical="center"/>
    </xf>
    <xf numFmtId="0" fontId="33" fillId="31" borderId="22" xfId="0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29" borderId="3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/>
    </xf>
    <xf numFmtId="0" fontId="0" fillId="0" borderId="35" xfId="0" applyBorder="1"/>
    <xf numFmtId="0" fontId="29" fillId="0" borderId="35" xfId="0" applyFont="1" applyBorder="1"/>
    <xf numFmtId="0" fontId="2" fillId="34" borderId="35" xfId="0" applyFont="1" applyFill="1" applyBorder="1" applyAlignment="1">
      <alignment horizontal="center"/>
    </xf>
    <xf numFmtId="0" fontId="34" fillId="0" borderId="0" xfId="0" applyFont="1"/>
    <xf numFmtId="0" fontId="34" fillId="31" borderId="0" xfId="0" applyFont="1" applyFill="1"/>
    <xf numFmtId="0" fontId="34" fillId="31" borderId="0" xfId="0" applyFont="1" applyFill="1" applyAlignment="1">
      <alignment horizontal="center" vertical="center" textRotation="90" wrapText="1"/>
    </xf>
    <xf numFmtId="0" fontId="34" fillId="31" borderId="0" xfId="0" applyFont="1" applyFill="1" applyAlignment="1">
      <alignment horizontal="center" vertical="center" wrapText="1"/>
    </xf>
    <xf numFmtId="0" fontId="34" fillId="31" borderId="0" xfId="0" applyFont="1" applyFill="1" applyAlignment="1">
      <alignment horizontal="left"/>
    </xf>
    <xf numFmtId="1" fontId="34" fillId="31" borderId="0" xfId="0" applyNumberFormat="1" applyFont="1" applyFill="1"/>
    <xf numFmtId="0" fontId="34" fillId="31" borderId="0" xfId="0" applyFont="1" applyFill="1" applyAlignment="1">
      <alignment horizontal="center"/>
    </xf>
    <xf numFmtId="169" fontId="34" fillId="31" borderId="0" xfId="0" applyNumberFormat="1" applyFont="1" applyFill="1"/>
    <xf numFmtId="9" fontId="34" fillId="31" borderId="0" xfId="1" applyFont="1" applyFill="1" applyBorder="1" applyAlignment="1">
      <alignment horizontal="center"/>
    </xf>
    <xf numFmtId="169" fontId="34" fillId="31" borderId="0" xfId="0" applyNumberFormat="1" applyFont="1" applyFill="1" applyAlignment="1">
      <alignment horizontal="center" vertical="center"/>
    </xf>
    <xf numFmtId="170" fontId="34" fillId="31" borderId="0" xfId="0" applyNumberFormat="1" applyFont="1" applyFill="1"/>
    <xf numFmtId="170" fontId="34" fillId="31" borderId="0" xfId="0" applyNumberFormat="1" applyFont="1" applyFill="1" applyAlignment="1">
      <alignment horizontal="center" vertical="center"/>
    </xf>
    <xf numFmtId="9" fontId="34" fillId="31" borderId="0" xfId="1" applyFont="1" applyFill="1" applyBorder="1" applyAlignment="1">
      <alignment horizontal="center" vertical="center"/>
    </xf>
    <xf numFmtId="0" fontId="34" fillId="31" borderId="0" xfId="0" applyFont="1" applyFill="1" applyAlignment="1">
      <alignment horizontal="left" wrapText="1"/>
    </xf>
    <xf numFmtId="173" fontId="34" fillId="31" borderId="0" xfId="0" applyNumberFormat="1" applyFont="1" applyFill="1"/>
    <xf numFmtId="169" fontId="34" fillId="31" borderId="0" xfId="0" applyNumberFormat="1" applyFont="1" applyFill="1" applyAlignment="1">
      <alignment horizontal="center"/>
    </xf>
    <xf numFmtId="0" fontId="34" fillId="31" borderId="0" xfId="0" applyFont="1" applyFill="1" applyAlignment="1">
      <alignment horizontal="left" vertical="center" wrapText="1"/>
    </xf>
    <xf numFmtId="172" fontId="34" fillId="31" borderId="0" xfId="1" applyNumberFormat="1" applyFont="1" applyFill="1" applyBorder="1" applyAlignment="1">
      <alignment horizontal="center" vertical="center"/>
    </xf>
    <xf numFmtId="9" fontId="34" fillId="31" borderId="0" xfId="1" applyFont="1" applyFill="1"/>
    <xf numFmtId="0" fontId="34" fillId="31" borderId="0" xfId="0" applyFont="1" applyFill="1" applyAlignment="1">
      <alignment vertical="center"/>
    </xf>
    <xf numFmtId="9" fontId="34" fillId="31" borderId="0" xfId="1" applyFont="1" applyFill="1" applyBorder="1" applyAlignment="1"/>
    <xf numFmtId="0" fontId="34" fillId="31" borderId="0" xfId="0" applyFont="1" applyFill="1" applyAlignment="1">
      <alignment horizontal="center" vertical="center"/>
    </xf>
    <xf numFmtId="14" fontId="34" fillId="31" borderId="0" xfId="0" applyNumberFormat="1" applyFont="1" applyFill="1"/>
    <xf numFmtId="167" fontId="0" fillId="0" borderId="0" xfId="0" applyNumberFormat="1" applyAlignment="1">
      <alignment horizontal="center" vertical="center"/>
    </xf>
    <xf numFmtId="0" fontId="33" fillId="29" borderId="3" xfId="0" applyFont="1" applyFill="1" applyBorder="1" applyAlignment="1">
      <alignment horizontal="center" vertical="center"/>
    </xf>
    <xf numFmtId="3" fontId="34" fillId="31" borderId="1" xfId="0" applyNumberFormat="1" applyFont="1" applyFill="1" applyBorder="1" applyAlignment="1">
      <alignment horizontal="center" vertical="center"/>
    </xf>
    <xf numFmtId="0" fontId="33" fillId="29" borderId="7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/>
    </xf>
    <xf numFmtId="3" fontId="33" fillId="0" borderId="22" xfId="0" applyNumberFormat="1" applyFont="1" applyBorder="1" applyAlignment="1">
      <alignment horizontal="center" vertical="center"/>
    </xf>
    <xf numFmtId="169" fontId="33" fillId="0" borderId="22" xfId="0" applyNumberFormat="1" applyFont="1" applyBorder="1" applyAlignment="1">
      <alignment horizontal="center" vertical="center"/>
    </xf>
    <xf numFmtId="166" fontId="33" fillId="0" borderId="22" xfId="0" applyNumberFormat="1" applyFont="1" applyBorder="1" applyAlignment="1">
      <alignment horizontal="center" vertical="center"/>
    </xf>
    <xf numFmtId="9" fontId="33" fillId="0" borderId="24" xfId="1" applyFont="1" applyBorder="1" applyAlignment="1">
      <alignment horizontal="center" vertical="center"/>
    </xf>
    <xf numFmtId="3" fontId="33" fillId="31" borderId="38" xfId="0" applyNumberFormat="1" applyFont="1" applyFill="1" applyBorder="1" applyAlignment="1">
      <alignment horizontal="center" vertical="center"/>
    </xf>
    <xf numFmtId="0" fontId="33" fillId="29" borderId="36" xfId="0" applyFont="1" applyFill="1" applyBorder="1" applyAlignment="1">
      <alignment horizontal="left" vertical="center"/>
    </xf>
    <xf numFmtId="0" fontId="39" fillId="35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33" fillId="31" borderId="39" xfId="0" applyFont="1" applyFill="1" applyBorder="1" applyAlignment="1">
      <alignment horizontal="left" vertical="center"/>
    </xf>
    <xf numFmtId="0" fontId="33" fillId="31" borderId="39" xfId="0" applyFont="1" applyFill="1" applyBorder="1" applyAlignment="1">
      <alignment horizontal="left" vertical="center" wrapText="1"/>
    </xf>
    <xf numFmtId="0" fontId="27" fillId="31" borderId="39" xfId="0" applyFont="1" applyFill="1" applyBorder="1" applyAlignment="1">
      <alignment horizontal="left" vertical="center"/>
    </xf>
    <xf numFmtId="0" fontId="34" fillId="29" borderId="39" xfId="0" applyFont="1" applyFill="1" applyBorder="1" applyAlignment="1">
      <alignment vertical="center"/>
    </xf>
    <xf numFmtId="3" fontId="34" fillId="0" borderId="1" xfId="0" applyNumberFormat="1" applyFont="1" applyBorder="1" applyAlignment="1">
      <alignment horizontal="center" vertical="center"/>
    </xf>
    <xf numFmtId="9" fontId="34" fillId="0" borderId="18" xfId="1" applyFont="1" applyFill="1" applyBorder="1" applyAlignment="1">
      <alignment horizontal="center" vertical="center"/>
    </xf>
    <xf numFmtId="9" fontId="34" fillId="0" borderId="2" xfId="1" applyFont="1" applyFill="1" applyBorder="1" applyAlignment="1">
      <alignment horizontal="center" vertical="center"/>
    </xf>
    <xf numFmtId="9" fontId="34" fillId="0" borderId="37" xfId="1" applyFont="1" applyFill="1" applyBorder="1" applyAlignment="1">
      <alignment horizontal="center" vertical="center"/>
    </xf>
    <xf numFmtId="3" fontId="34" fillId="0" borderId="39" xfId="0" applyNumberFormat="1" applyFont="1" applyBorder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/>
    </xf>
    <xf numFmtId="9" fontId="0" fillId="0" borderId="39" xfId="1" applyFont="1" applyBorder="1" applyAlignment="1">
      <alignment horizontal="center"/>
    </xf>
    <xf numFmtId="0" fontId="27" fillId="3" borderId="39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 wrapText="1"/>
    </xf>
    <xf numFmtId="9" fontId="27" fillId="3" borderId="39" xfId="1" applyFont="1" applyFill="1" applyBorder="1" applyAlignment="1">
      <alignment horizontal="center" vertical="center"/>
    </xf>
    <xf numFmtId="14" fontId="27" fillId="3" borderId="39" xfId="1" applyNumberFormat="1" applyFont="1" applyFill="1" applyBorder="1" applyAlignment="1">
      <alignment horizontal="center" vertical="center"/>
    </xf>
    <xf numFmtId="168" fontId="27" fillId="3" borderId="39" xfId="0" applyNumberFormat="1" applyFont="1" applyFill="1" applyBorder="1" applyAlignment="1">
      <alignment horizontal="center" vertical="center"/>
    </xf>
    <xf numFmtId="14" fontId="0" fillId="0" borderId="39" xfId="1" applyNumberFormat="1" applyFont="1" applyBorder="1" applyAlignment="1">
      <alignment horizontal="center"/>
    </xf>
    <xf numFmtId="14" fontId="2" fillId="0" borderId="39" xfId="1" applyNumberFormat="1" applyFont="1" applyBorder="1" applyAlignment="1">
      <alignment horizontal="center"/>
    </xf>
    <xf numFmtId="14" fontId="2" fillId="0" borderId="39" xfId="1" applyNumberFormat="1" applyFont="1" applyFill="1" applyBorder="1" applyAlignment="1">
      <alignment horizontal="center"/>
    </xf>
    <xf numFmtId="14" fontId="0" fillId="0" borderId="39" xfId="1" applyNumberFormat="1" applyFont="1" applyFill="1" applyBorder="1" applyAlignment="1">
      <alignment horizontal="center"/>
    </xf>
    <xf numFmtId="14" fontId="0" fillId="0" borderId="39" xfId="0" applyNumberFormat="1" applyBorder="1" applyAlignment="1">
      <alignment horizontal="center"/>
    </xf>
    <xf numFmtId="0" fontId="2" fillId="0" borderId="39" xfId="0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9" fontId="2" fillId="0" borderId="39" xfId="1" applyFont="1" applyBorder="1" applyAlignment="1">
      <alignment horizontal="center"/>
    </xf>
    <xf numFmtId="9" fontId="0" fillId="0" borderId="39" xfId="1" applyFont="1" applyFill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9" fontId="2" fillId="0" borderId="39" xfId="1" applyFont="1" applyFill="1" applyBorder="1" applyAlignment="1">
      <alignment horizontal="center"/>
    </xf>
    <xf numFmtId="0" fontId="34" fillId="29" borderId="39" xfId="0" applyFont="1" applyFill="1" applyBorder="1" applyAlignment="1">
      <alignment vertical="center" wrapText="1"/>
    </xf>
    <xf numFmtId="0" fontId="33" fillId="29" borderId="40" xfId="0" applyFont="1" applyFill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/>
    </xf>
    <xf numFmtId="3" fontId="34" fillId="0" borderId="33" xfId="0" applyNumberFormat="1" applyFont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  <xf numFmtId="0" fontId="34" fillId="31" borderId="18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 vertical="center"/>
    </xf>
    <xf numFmtId="0" fontId="34" fillId="31" borderId="37" xfId="0" applyFont="1" applyFill="1" applyBorder="1" applyAlignment="1">
      <alignment horizontal="center" vertical="center"/>
    </xf>
    <xf numFmtId="3" fontId="33" fillId="31" borderId="45" xfId="0" applyNumberFormat="1" applyFont="1" applyFill="1" applyBorder="1" applyAlignment="1">
      <alignment horizontal="center" vertical="center"/>
    </xf>
    <xf numFmtId="9" fontId="33" fillId="31" borderId="44" xfId="1" applyFont="1" applyFill="1" applyBorder="1" applyAlignment="1">
      <alignment horizontal="center" vertical="center"/>
    </xf>
    <xf numFmtId="3" fontId="33" fillId="31" borderId="40" xfId="0" applyNumberFormat="1" applyFont="1" applyFill="1" applyBorder="1" applyAlignment="1">
      <alignment horizontal="center" vertical="center"/>
    </xf>
    <xf numFmtId="3" fontId="33" fillId="31" borderId="4" xfId="0" applyNumberFormat="1" applyFont="1" applyFill="1" applyBorder="1" applyAlignment="1">
      <alignment horizontal="center" vertical="center"/>
    </xf>
    <xf numFmtId="9" fontId="33" fillId="31" borderId="5" xfId="1" applyFont="1" applyFill="1" applyBorder="1" applyAlignment="1">
      <alignment horizontal="center" vertical="center"/>
    </xf>
    <xf numFmtId="9" fontId="33" fillId="0" borderId="22" xfId="1" applyFont="1" applyBorder="1" applyAlignment="1">
      <alignment horizontal="center" vertical="center"/>
    </xf>
    <xf numFmtId="9" fontId="34" fillId="31" borderId="1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" fontId="0" fillId="36" borderId="39" xfId="0" applyNumberFormat="1" applyFill="1" applyBorder="1" applyAlignment="1">
      <alignment vertical="center"/>
    </xf>
    <xf numFmtId="0" fontId="0" fillId="36" borderId="39" xfId="0" applyFill="1" applyBorder="1" applyAlignment="1">
      <alignment vertical="center"/>
    </xf>
    <xf numFmtId="0" fontId="0" fillId="36" borderId="39" xfId="0" applyFill="1" applyBorder="1" applyAlignment="1">
      <alignment horizontal="center" vertical="center"/>
    </xf>
    <xf numFmtId="4" fontId="0" fillId="29" borderId="39" xfId="0" applyNumberForma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2" fontId="0" fillId="0" borderId="4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33" fillId="31" borderId="4" xfId="0" applyNumberFormat="1" applyFont="1" applyFill="1" applyBorder="1" applyAlignment="1">
      <alignment horizontal="center" vertical="center"/>
    </xf>
    <xf numFmtId="178" fontId="33" fillId="31" borderId="38" xfId="0" applyNumberFormat="1" applyFont="1" applyFill="1" applyBorder="1" applyAlignment="1">
      <alignment horizontal="center" vertical="center"/>
    </xf>
    <xf numFmtId="172" fontId="0" fillId="0" borderId="39" xfId="1" applyNumberFormat="1" applyFont="1" applyBorder="1" applyAlignment="1">
      <alignment vertical="center"/>
    </xf>
    <xf numFmtId="166" fontId="34" fillId="31" borderId="0" xfId="0" applyNumberFormat="1" applyFont="1" applyFill="1"/>
    <xf numFmtId="0" fontId="34" fillId="29" borderId="49" xfId="0" applyFont="1" applyFill="1" applyBorder="1" applyAlignment="1">
      <alignment vertical="center"/>
    </xf>
    <xf numFmtId="3" fontId="34" fillId="0" borderId="49" xfId="0" applyNumberFormat="1" applyFont="1" applyBorder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/>
    </xf>
    <xf numFmtId="0" fontId="33" fillId="31" borderId="39" xfId="0" applyFont="1" applyFill="1" applyBorder="1" applyAlignment="1">
      <alignment horizontal="center" vertical="center" wrapText="1"/>
    </xf>
    <xf numFmtId="0" fontId="34" fillId="31" borderId="39" xfId="0" applyFont="1" applyFill="1" applyBorder="1" applyAlignment="1">
      <alignment horizontal="left" vertical="center" wrapText="1"/>
    </xf>
    <xf numFmtId="0" fontId="34" fillId="31" borderId="39" xfId="0" applyFont="1" applyFill="1" applyBorder="1" applyAlignment="1">
      <alignment horizontal="center" vertical="center"/>
    </xf>
    <xf numFmtId="3" fontId="34" fillId="31" borderId="39" xfId="0" applyNumberFormat="1" applyFont="1" applyFill="1" applyBorder="1" applyAlignment="1">
      <alignment horizontal="center" vertical="center"/>
    </xf>
    <xf numFmtId="9" fontId="34" fillId="31" borderId="39" xfId="1" applyFont="1" applyFill="1" applyBorder="1" applyAlignment="1">
      <alignment horizontal="center" vertical="center"/>
    </xf>
    <xf numFmtId="14" fontId="33" fillId="0" borderId="39" xfId="0" applyNumberFormat="1" applyFont="1" applyBorder="1" applyAlignment="1">
      <alignment horizontal="center" vertical="center"/>
    </xf>
    <xf numFmtId="169" fontId="34" fillId="31" borderId="39" xfId="0" applyNumberFormat="1" applyFont="1" applyFill="1" applyBorder="1" applyAlignment="1">
      <alignment horizontal="center" vertical="center"/>
    </xf>
    <xf numFmtId="0" fontId="27" fillId="31" borderId="39" xfId="0" applyFont="1" applyFill="1" applyBorder="1" applyAlignment="1">
      <alignment horizontal="center" vertical="center"/>
    </xf>
    <xf numFmtId="178" fontId="33" fillId="31" borderId="39" xfId="0" applyNumberFormat="1" applyFont="1" applyFill="1" applyBorder="1" applyAlignment="1">
      <alignment horizontal="center" vertical="center"/>
    </xf>
    <xf numFmtId="0" fontId="35" fillId="31" borderId="39" xfId="0" applyFont="1" applyFill="1" applyBorder="1" applyAlignment="1">
      <alignment horizontal="left" vertical="center" wrapText="1"/>
    </xf>
    <xf numFmtId="178" fontId="34" fillId="31" borderId="39" xfId="0" applyNumberFormat="1" applyFont="1" applyFill="1" applyBorder="1" applyAlignment="1">
      <alignment horizontal="center" vertical="center"/>
    </xf>
    <xf numFmtId="0" fontId="33" fillId="31" borderId="39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/>
    </xf>
    <xf numFmtId="0" fontId="34" fillId="31" borderId="39" xfId="0" applyFont="1" applyFill="1" applyBorder="1" applyAlignment="1">
      <alignment horizontal="center" vertical="center" wrapText="1"/>
    </xf>
    <xf numFmtId="4" fontId="34" fillId="31" borderId="39" xfId="0" applyNumberFormat="1" applyFont="1" applyFill="1" applyBorder="1" applyAlignment="1">
      <alignment horizontal="center" vertical="center"/>
    </xf>
    <xf numFmtId="14" fontId="27" fillId="0" borderId="39" xfId="0" applyNumberFormat="1" applyFont="1" applyBorder="1" applyAlignment="1">
      <alignment horizontal="center" vertical="center"/>
    </xf>
    <xf numFmtId="0" fontId="35" fillId="31" borderId="39" xfId="0" applyFont="1" applyFill="1" applyBorder="1" applyAlignment="1">
      <alignment horizontal="center" vertical="center" wrapText="1"/>
    </xf>
    <xf numFmtId="0" fontId="35" fillId="31" borderId="39" xfId="0" applyFont="1" applyFill="1" applyBorder="1" applyAlignment="1">
      <alignment horizontal="center" vertical="center"/>
    </xf>
    <xf numFmtId="3" fontId="35" fillId="31" borderId="39" xfId="0" applyNumberFormat="1" applyFont="1" applyFill="1" applyBorder="1" applyAlignment="1">
      <alignment horizontal="center" vertical="center"/>
    </xf>
    <xf numFmtId="0" fontId="38" fillId="31" borderId="39" xfId="0" applyFont="1" applyFill="1" applyBorder="1" applyAlignment="1">
      <alignment horizontal="left" vertical="center"/>
    </xf>
    <xf numFmtId="0" fontId="36" fillId="31" borderId="39" xfId="0" applyFont="1" applyFill="1" applyBorder="1" applyAlignment="1">
      <alignment horizontal="center" vertical="center"/>
    </xf>
    <xf numFmtId="3" fontId="36" fillId="31" borderId="39" xfId="0" applyNumberFormat="1" applyFont="1" applyFill="1" applyBorder="1" applyAlignment="1">
      <alignment horizontal="center" vertical="center"/>
    </xf>
    <xf numFmtId="3" fontId="37" fillId="31" borderId="39" xfId="0" applyNumberFormat="1" applyFont="1" applyFill="1" applyBorder="1" applyAlignment="1">
      <alignment horizontal="center" vertical="center"/>
    </xf>
    <xf numFmtId="4" fontId="35" fillId="31" borderId="39" xfId="0" applyNumberFormat="1" applyFont="1" applyFill="1" applyBorder="1" applyAlignment="1">
      <alignment horizontal="center" vertical="center"/>
    </xf>
    <xf numFmtId="9" fontId="35" fillId="31" borderId="39" xfId="1" applyFont="1" applyFill="1" applyBorder="1" applyAlignment="1">
      <alignment horizontal="center" vertical="center"/>
    </xf>
    <xf numFmtId="178" fontId="35" fillId="31" borderId="39" xfId="0" applyNumberFormat="1" applyFont="1" applyFill="1" applyBorder="1" applyAlignment="1">
      <alignment horizontal="center" vertical="center"/>
    </xf>
    <xf numFmtId="3" fontId="33" fillId="0" borderId="39" xfId="0" applyNumberFormat="1" applyFont="1" applyBorder="1" applyAlignment="1">
      <alignment horizontal="center"/>
    </xf>
    <xf numFmtId="178" fontId="33" fillId="0" borderId="39" xfId="0" applyNumberFormat="1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9" fontId="33" fillId="0" borderId="39" xfId="1" applyFont="1" applyBorder="1" applyAlignment="1">
      <alignment horizontal="center"/>
    </xf>
    <xf numFmtId="0" fontId="2" fillId="28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9" borderId="39" xfId="0" applyFont="1" applyFill="1" applyBorder="1" applyAlignment="1">
      <alignment horizontal="center" vertical="center" wrapText="1"/>
    </xf>
    <xf numFmtId="0" fontId="2" fillId="29" borderId="49" xfId="0" applyFont="1" applyFill="1" applyBorder="1" applyAlignment="1">
      <alignment horizontal="center" vertical="center" wrapText="1"/>
    </xf>
    <xf numFmtId="0" fontId="0" fillId="36" borderId="48" xfId="0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9" fontId="0" fillId="0" borderId="39" xfId="1" applyFont="1" applyBorder="1" applyAlignment="1">
      <alignment horizontal="center" vertical="center"/>
    </xf>
    <xf numFmtId="0" fontId="29" fillId="36" borderId="48" xfId="0" applyFont="1" applyFill="1" applyBorder="1" applyAlignment="1">
      <alignment horizontal="center" vertical="center"/>
    </xf>
    <xf numFmtId="0" fontId="0" fillId="29" borderId="39" xfId="0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33" fillId="29" borderId="39" xfId="0" applyFont="1" applyFill="1" applyBorder="1" applyAlignment="1">
      <alignment horizontal="center" vertical="center" wrapText="1"/>
    </xf>
    <xf numFmtId="0" fontId="33" fillId="29" borderId="39" xfId="0" applyFont="1" applyFill="1" applyBorder="1" applyAlignment="1">
      <alignment horizontal="center" vertical="center"/>
    </xf>
    <xf numFmtId="178" fontId="34" fillId="38" borderId="39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169" fontId="34" fillId="0" borderId="39" xfId="0" applyNumberFormat="1" applyFont="1" applyBorder="1" applyAlignment="1">
      <alignment horizontal="center" vertical="center"/>
    </xf>
    <xf numFmtId="9" fontId="34" fillId="0" borderId="39" xfId="1" applyFont="1" applyFill="1" applyBorder="1" applyAlignment="1">
      <alignment horizontal="center" vertical="center"/>
    </xf>
    <xf numFmtId="171" fontId="34" fillId="0" borderId="39" xfId="0" applyNumberFormat="1" applyFont="1" applyBorder="1" applyAlignment="1">
      <alignment horizontal="center" vertical="center"/>
    </xf>
    <xf numFmtId="166" fontId="34" fillId="0" borderId="39" xfId="0" applyNumberFormat="1" applyFont="1" applyBorder="1" applyAlignment="1">
      <alignment horizontal="center" vertical="center"/>
    </xf>
    <xf numFmtId="9" fontId="34" fillId="0" borderId="39" xfId="1" applyFont="1" applyBorder="1" applyAlignment="1">
      <alignment horizontal="center" vertical="center"/>
    </xf>
    <xf numFmtId="166" fontId="33" fillId="0" borderId="39" xfId="0" applyNumberFormat="1" applyFont="1" applyBorder="1" applyAlignment="1">
      <alignment horizontal="center" vertical="center"/>
    </xf>
    <xf numFmtId="1" fontId="33" fillId="31" borderId="39" xfId="0" applyNumberFormat="1" applyFont="1" applyFill="1" applyBorder="1" applyAlignment="1">
      <alignment horizontal="center" vertical="center"/>
    </xf>
    <xf numFmtId="9" fontId="33" fillId="0" borderId="39" xfId="1" applyFont="1" applyFill="1" applyBorder="1" applyAlignment="1">
      <alignment horizontal="center" vertical="center"/>
    </xf>
    <xf numFmtId="9" fontId="33" fillId="31" borderId="39" xfId="1" applyFont="1" applyFill="1" applyBorder="1" applyAlignment="1">
      <alignment horizontal="center" vertical="center"/>
    </xf>
    <xf numFmtId="0" fontId="34" fillId="31" borderId="39" xfId="0" applyFont="1" applyFill="1" applyBorder="1" applyAlignment="1">
      <alignment horizontal="left" vertical="center"/>
    </xf>
    <xf numFmtId="0" fontId="34" fillId="31" borderId="39" xfId="0" applyFont="1" applyFill="1" applyBorder="1" applyAlignment="1">
      <alignment horizontal="center"/>
    </xf>
    <xf numFmtId="169" fontId="34" fillId="38" borderId="39" xfId="0" applyNumberFormat="1" applyFont="1" applyFill="1" applyBorder="1" applyAlignment="1">
      <alignment horizontal="center" vertical="center"/>
    </xf>
    <xf numFmtId="169" fontId="34" fillId="0" borderId="3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9" fontId="34" fillId="0" borderId="39" xfId="1" applyFont="1" applyFill="1" applyBorder="1" applyAlignment="1">
      <alignment horizontal="center"/>
    </xf>
    <xf numFmtId="0" fontId="34" fillId="0" borderId="39" xfId="0" applyFont="1" applyBorder="1" applyAlignment="1">
      <alignment horizontal="left" vertical="center" wrapText="1"/>
    </xf>
    <xf numFmtId="1" fontId="34" fillId="0" borderId="39" xfId="0" applyNumberFormat="1" applyFont="1" applyBorder="1" applyAlignment="1">
      <alignment horizontal="center" vertical="center"/>
    </xf>
    <xf numFmtId="0" fontId="33" fillId="31" borderId="39" xfId="0" applyFont="1" applyFill="1" applyBorder="1" applyAlignment="1">
      <alignment horizontal="left" wrapText="1"/>
    </xf>
    <xf numFmtId="0" fontId="33" fillId="31" borderId="39" xfId="0" applyFont="1" applyFill="1" applyBorder="1" applyAlignment="1">
      <alignment horizontal="center"/>
    </xf>
    <xf numFmtId="1" fontId="33" fillId="31" borderId="39" xfId="0" applyNumberFormat="1" applyFont="1" applyFill="1" applyBorder="1" applyAlignment="1">
      <alignment horizontal="center"/>
    </xf>
    <xf numFmtId="9" fontId="33" fillId="0" borderId="39" xfId="1" applyFont="1" applyFill="1" applyBorder="1" applyAlignment="1">
      <alignment horizontal="center"/>
    </xf>
    <xf numFmtId="9" fontId="33" fillId="31" borderId="39" xfId="1" applyFont="1" applyFill="1" applyBorder="1" applyAlignment="1">
      <alignment horizontal="center"/>
    </xf>
    <xf numFmtId="0" fontId="35" fillId="31" borderId="39" xfId="0" applyFont="1" applyFill="1" applyBorder="1" applyAlignment="1">
      <alignment vertical="center" wrapText="1"/>
    </xf>
    <xf numFmtId="0" fontId="34" fillId="31" borderId="39" xfId="0" applyFont="1" applyFill="1" applyBorder="1"/>
    <xf numFmtId="169" fontId="34" fillId="31" borderId="39" xfId="0" applyNumberFormat="1" applyFont="1" applyFill="1" applyBorder="1" applyAlignment="1">
      <alignment horizontal="center"/>
    </xf>
    <xf numFmtId="9" fontId="34" fillId="31" borderId="39" xfId="1" applyFont="1" applyFill="1" applyBorder="1" applyAlignment="1">
      <alignment horizontal="center"/>
    </xf>
    <xf numFmtId="166" fontId="34" fillId="31" borderId="39" xfId="0" applyNumberFormat="1" applyFont="1" applyFill="1" applyBorder="1" applyAlignment="1">
      <alignment horizontal="center" vertical="center"/>
    </xf>
    <xf numFmtId="0" fontId="33" fillId="31" borderId="39" xfId="0" applyFont="1" applyFill="1" applyBorder="1"/>
    <xf numFmtId="172" fontId="33" fillId="31" borderId="39" xfId="1" applyNumberFormat="1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0" fontId="35" fillId="31" borderId="39" xfId="0" applyFont="1" applyFill="1" applyBorder="1" applyAlignment="1">
      <alignment horizontal="left" vertical="center"/>
    </xf>
    <xf numFmtId="0" fontId="35" fillId="0" borderId="39" xfId="0" applyFont="1" applyBorder="1" applyAlignment="1">
      <alignment horizontal="left" vertical="center"/>
    </xf>
    <xf numFmtId="0" fontId="33" fillId="0" borderId="39" xfId="0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2" fillId="34" borderId="39" xfId="0" applyFont="1" applyFill="1" applyBorder="1" applyAlignment="1">
      <alignment horizontal="center"/>
    </xf>
    <xf numFmtId="0" fontId="2" fillId="34" borderId="48" xfId="0" applyFont="1" applyFill="1" applyBorder="1" applyAlignment="1">
      <alignment horizontal="center"/>
    </xf>
    <xf numFmtId="175" fontId="0" fillId="0" borderId="39" xfId="0" applyNumberFormat="1" applyBorder="1" applyAlignment="1">
      <alignment horizontal="center"/>
    </xf>
    <xf numFmtId="166" fontId="0" fillId="0" borderId="48" xfId="0" applyNumberForma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14" fontId="29" fillId="0" borderId="39" xfId="0" applyNumberFormat="1" applyFont="1" applyBorder="1" applyAlignment="1">
      <alignment horizontal="center"/>
    </xf>
    <xf numFmtId="175" fontId="29" fillId="0" borderId="39" xfId="0" applyNumberFormat="1" applyFont="1" applyBorder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/>
    </xf>
    <xf numFmtId="176" fontId="29" fillId="0" borderId="39" xfId="0" applyNumberFormat="1" applyFont="1" applyBorder="1" applyAlignment="1">
      <alignment horizontal="center"/>
    </xf>
    <xf numFmtId="0" fontId="2" fillId="30" borderId="39" xfId="0" applyFont="1" applyFill="1" applyBorder="1" applyAlignment="1">
      <alignment horizontal="center" vertical="center"/>
    </xf>
    <xf numFmtId="3" fontId="34" fillId="39" borderId="33" xfId="0" applyNumberFormat="1" applyFont="1" applyFill="1" applyBorder="1" applyAlignment="1">
      <alignment horizontal="center" vertical="center"/>
    </xf>
    <xf numFmtId="178" fontId="34" fillId="40" borderId="39" xfId="0" applyNumberFormat="1" applyFont="1" applyFill="1" applyBorder="1" applyAlignment="1">
      <alignment horizontal="center" vertical="center"/>
    </xf>
    <xf numFmtId="178" fontId="35" fillId="40" borderId="39" xfId="0" applyNumberFormat="1" applyFont="1" applyFill="1" applyBorder="1" applyAlignment="1">
      <alignment horizontal="center" vertical="center"/>
    </xf>
    <xf numFmtId="178" fontId="33" fillId="40" borderId="39" xfId="0" applyNumberFormat="1" applyFont="1" applyFill="1" applyBorder="1" applyAlignment="1">
      <alignment horizontal="center" vertical="center"/>
    </xf>
    <xf numFmtId="0" fontId="0" fillId="40" borderId="39" xfId="0" applyFill="1" applyBorder="1" applyAlignment="1">
      <alignment horizontal="center" vertical="center"/>
    </xf>
    <xf numFmtId="0" fontId="33" fillId="31" borderId="3" xfId="0" applyFont="1" applyFill="1" applyBorder="1" applyAlignment="1">
      <alignment horizontal="left" vertical="center"/>
    </xf>
    <xf numFmtId="0" fontId="33" fillId="31" borderId="4" xfId="0" applyFont="1" applyFill="1" applyBorder="1" applyAlignment="1">
      <alignment horizontal="left" vertical="center"/>
    </xf>
    <xf numFmtId="0" fontId="33" fillId="31" borderId="5" xfId="0" applyFont="1" applyFill="1" applyBorder="1" applyAlignment="1">
      <alignment horizontal="left" vertical="center"/>
    </xf>
    <xf numFmtId="0" fontId="33" fillId="31" borderId="43" xfId="0" applyFont="1" applyFill="1" applyBorder="1" applyAlignment="1">
      <alignment horizontal="left" vertical="center"/>
    </xf>
    <xf numFmtId="0" fontId="33" fillId="31" borderId="38" xfId="0" applyFont="1" applyFill="1" applyBorder="1" applyAlignment="1">
      <alignment horizontal="left" vertical="center"/>
    </xf>
    <xf numFmtId="0" fontId="33" fillId="31" borderId="44" xfId="0" applyFont="1" applyFill="1" applyBorder="1" applyAlignment="1">
      <alignment horizontal="left" vertical="center"/>
    </xf>
    <xf numFmtId="0" fontId="33" fillId="29" borderId="7" xfId="0" applyFont="1" applyFill="1" applyBorder="1" applyAlignment="1">
      <alignment horizontal="left" vertical="center"/>
    </xf>
    <xf numFmtId="0" fontId="33" fillId="29" borderId="36" xfId="0" applyFont="1" applyFill="1" applyBorder="1" applyAlignment="1">
      <alignment horizontal="left" vertical="center"/>
    </xf>
    <xf numFmtId="0" fontId="34" fillId="31" borderId="2" xfId="0" applyFont="1" applyFill="1" applyBorder="1" applyAlignment="1">
      <alignment horizontal="center" vertical="center"/>
    </xf>
    <xf numFmtId="0" fontId="34" fillId="31" borderId="37" xfId="0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center" vertical="center"/>
    </xf>
    <xf numFmtId="0" fontId="2" fillId="28" borderId="26" xfId="0" applyFont="1" applyFill="1" applyBorder="1" applyAlignment="1">
      <alignment horizontal="center" vertical="center"/>
    </xf>
    <xf numFmtId="0" fontId="2" fillId="28" borderId="27" xfId="0" applyFont="1" applyFill="1" applyBorder="1" applyAlignment="1">
      <alignment horizontal="center" vertical="center"/>
    </xf>
    <xf numFmtId="0" fontId="2" fillId="28" borderId="28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8" borderId="29" xfId="0" applyFont="1" applyFill="1" applyBorder="1" applyAlignment="1">
      <alignment horizontal="center" vertical="center"/>
    </xf>
    <xf numFmtId="0" fontId="34" fillId="29" borderId="39" xfId="0" applyFont="1" applyFill="1" applyBorder="1" applyAlignment="1">
      <alignment vertical="center" wrapText="1"/>
    </xf>
    <xf numFmtId="0" fontId="33" fillId="29" borderId="16" xfId="0" applyFont="1" applyFill="1" applyBorder="1" applyAlignment="1">
      <alignment horizontal="left" vertical="center"/>
    </xf>
    <xf numFmtId="0" fontId="34" fillId="29" borderId="1" xfId="0" applyFont="1" applyFill="1" applyBorder="1" applyAlignment="1">
      <alignment vertical="center"/>
    </xf>
    <xf numFmtId="0" fontId="34" fillId="29" borderId="39" xfId="0" applyFont="1" applyFill="1" applyBorder="1" applyAlignment="1">
      <alignment vertical="center"/>
    </xf>
    <xf numFmtId="0" fontId="2" fillId="28" borderId="30" xfId="0" applyFont="1" applyFill="1" applyBorder="1" applyAlignment="1">
      <alignment horizontal="center" vertical="center"/>
    </xf>
    <xf numFmtId="0" fontId="2" fillId="28" borderId="31" xfId="0" applyFont="1" applyFill="1" applyBorder="1" applyAlignment="1">
      <alignment horizontal="center" vertical="center"/>
    </xf>
    <xf numFmtId="0" fontId="2" fillId="28" borderId="32" xfId="0" applyFont="1" applyFill="1" applyBorder="1" applyAlignment="1">
      <alignment horizontal="center" vertical="center"/>
    </xf>
    <xf numFmtId="167" fontId="2" fillId="28" borderId="28" xfId="0" applyNumberFormat="1" applyFont="1" applyFill="1" applyBorder="1" applyAlignment="1">
      <alignment horizontal="center" vertical="center"/>
    </xf>
    <xf numFmtId="167" fontId="2" fillId="28" borderId="0" xfId="0" applyNumberFormat="1" applyFont="1" applyFill="1" applyAlignment="1">
      <alignment horizontal="center" vertical="center"/>
    </xf>
    <xf numFmtId="167" fontId="2" fillId="28" borderId="29" xfId="0" applyNumberFormat="1" applyFont="1" applyFill="1" applyBorder="1" applyAlignment="1">
      <alignment horizontal="center" vertical="center"/>
    </xf>
    <xf numFmtId="0" fontId="34" fillId="29" borderId="49" xfId="0" applyFont="1" applyFill="1" applyBorder="1" applyAlignment="1">
      <alignment vertical="center" wrapText="1"/>
    </xf>
    <xf numFmtId="0" fontId="34" fillId="29" borderId="1" xfId="0" applyFont="1" applyFill="1" applyBorder="1" applyAlignment="1">
      <alignment vertical="center" wrapText="1"/>
    </xf>
    <xf numFmtId="167" fontId="2" fillId="28" borderId="30" xfId="0" applyNumberFormat="1" applyFont="1" applyFill="1" applyBorder="1" applyAlignment="1">
      <alignment horizontal="center" vertical="center"/>
    </xf>
    <xf numFmtId="167" fontId="2" fillId="28" borderId="31" xfId="0" applyNumberFormat="1" applyFont="1" applyFill="1" applyBorder="1" applyAlignment="1">
      <alignment horizontal="center" vertical="center"/>
    </xf>
    <xf numFmtId="167" fontId="2" fillId="28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31" borderId="39" xfId="0" applyFont="1" applyFill="1" applyBorder="1" applyAlignment="1">
      <alignment horizontal="center" vertical="center"/>
    </xf>
    <xf numFmtId="0" fontId="33" fillId="31" borderId="16" xfId="0" applyFont="1" applyFill="1" applyBorder="1" applyAlignment="1">
      <alignment horizontal="center" vertical="center"/>
    </xf>
    <xf numFmtId="0" fontId="33" fillId="31" borderId="7" xfId="0" applyFont="1" applyFill="1" applyBorder="1" applyAlignment="1">
      <alignment horizontal="center" vertical="center"/>
    </xf>
    <xf numFmtId="0" fontId="33" fillId="31" borderId="19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7" fontId="2" fillId="2" borderId="30" xfId="0" applyNumberFormat="1" applyFont="1" applyFill="1" applyBorder="1" applyAlignment="1">
      <alignment horizontal="center"/>
    </xf>
    <xf numFmtId="167" fontId="2" fillId="2" borderId="31" xfId="0" applyNumberFormat="1" applyFont="1" applyFill="1" applyBorder="1" applyAlignment="1">
      <alignment horizontal="center"/>
    </xf>
    <xf numFmtId="167" fontId="2" fillId="2" borderId="3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31" borderId="39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2" fillId="37" borderId="25" xfId="0" applyFont="1" applyFill="1" applyBorder="1" applyAlignment="1">
      <alignment horizontal="center" vertical="center"/>
    </xf>
    <xf numFmtId="0" fontId="2" fillId="37" borderId="26" xfId="0" applyFont="1" applyFill="1" applyBorder="1" applyAlignment="1">
      <alignment horizontal="center" vertical="center"/>
    </xf>
    <xf numFmtId="0" fontId="2" fillId="37" borderId="27" xfId="0" applyFont="1" applyFill="1" applyBorder="1" applyAlignment="1">
      <alignment horizontal="center" vertical="center"/>
    </xf>
    <xf numFmtId="14" fontId="0" fillId="37" borderId="30" xfId="0" applyNumberFormat="1" applyFill="1" applyBorder="1" applyAlignment="1">
      <alignment horizontal="center"/>
    </xf>
    <xf numFmtId="14" fontId="0" fillId="37" borderId="31" xfId="0" applyNumberFormat="1" applyFill="1" applyBorder="1" applyAlignment="1">
      <alignment horizontal="center"/>
    </xf>
    <xf numFmtId="14" fontId="0" fillId="37" borderId="32" xfId="0" applyNumberFormat="1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9" fontId="0" fillId="0" borderId="46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8" borderId="39" xfId="0" applyFont="1" applyFill="1" applyBorder="1" applyAlignment="1">
      <alignment horizontal="center" vertical="center"/>
    </xf>
    <xf numFmtId="14" fontId="2" fillId="28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4" fontId="2" fillId="2" borderId="39" xfId="0" applyNumberFormat="1" applyFont="1" applyFill="1" applyBorder="1" applyAlignment="1">
      <alignment horizontal="center" vertical="center"/>
    </xf>
    <xf numFmtId="178" fontId="0" fillId="29" borderId="49" xfId="0" applyNumberFormat="1" applyFill="1" applyBorder="1" applyAlignment="1">
      <alignment horizontal="center" vertical="center"/>
    </xf>
    <xf numFmtId="178" fontId="0" fillId="29" borderId="46" xfId="0" applyNumberFormat="1" applyFill="1" applyBorder="1" applyAlignment="1">
      <alignment horizontal="center" vertical="center"/>
    </xf>
    <xf numFmtId="178" fontId="0" fillId="29" borderId="1" xfId="0" applyNumberFormat="1" applyFill="1" applyBorder="1" applyAlignment="1">
      <alignment horizontal="center" vertical="center"/>
    </xf>
    <xf numFmtId="172" fontId="0" fillId="29" borderId="49" xfId="1" applyNumberFormat="1" applyFont="1" applyFill="1" applyBorder="1" applyAlignment="1">
      <alignment horizontal="center" vertical="center"/>
    </xf>
    <xf numFmtId="172" fontId="0" fillId="29" borderId="46" xfId="1" applyNumberFormat="1" applyFont="1" applyFill="1" applyBorder="1" applyAlignment="1">
      <alignment horizontal="center" vertical="center"/>
    </xf>
    <xf numFmtId="172" fontId="0" fillId="29" borderId="1" xfId="1" applyNumberFormat="1" applyFont="1" applyFill="1" applyBorder="1" applyAlignment="1">
      <alignment horizontal="center" vertical="center"/>
    </xf>
    <xf numFmtId="0" fontId="0" fillId="36" borderId="49" xfId="0" applyFill="1" applyBorder="1" applyAlignment="1">
      <alignment horizontal="center" vertical="center"/>
    </xf>
    <xf numFmtId="0" fontId="0" fillId="36" borderId="46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4" fontId="0" fillId="36" borderId="49" xfId="0" applyNumberFormat="1" applyFill="1" applyBorder="1" applyAlignment="1">
      <alignment horizontal="center" vertical="center"/>
    </xf>
    <xf numFmtId="14" fontId="0" fillId="36" borderId="46" xfId="0" applyNumberForma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178" fontId="0" fillId="36" borderId="49" xfId="0" applyNumberFormat="1" applyFill="1" applyBorder="1" applyAlignment="1">
      <alignment horizontal="center" vertical="center"/>
    </xf>
    <xf numFmtId="178" fontId="0" fillId="36" borderId="46" xfId="0" applyNumberFormat="1" applyFill="1" applyBorder="1" applyAlignment="1">
      <alignment horizontal="center" vertical="center"/>
    </xf>
    <xf numFmtId="178" fontId="0" fillId="36" borderId="1" xfId="0" applyNumberFormat="1" applyFill="1" applyBorder="1" applyAlignment="1">
      <alignment horizontal="center" vertical="center"/>
    </xf>
    <xf numFmtId="172" fontId="0" fillId="36" borderId="49" xfId="1" applyNumberFormat="1" applyFont="1" applyFill="1" applyBorder="1" applyAlignment="1">
      <alignment horizontal="center" vertical="center"/>
    </xf>
    <xf numFmtId="172" fontId="0" fillId="36" borderId="46" xfId="1" applyNumberFormat="1" applyFont="1" applyFill="1" applyBorder="1" applyAlignment="1">
      <alignment horizontal="center" vertical="center"/>
    </xf>
    <xf numFmtId="172" fontId="0" fillId="36" borderId="1" xfId="1" applyNumberFormat="1" applyFont="1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46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4" fontId="0" fillId="29" borderId="49" xfId="0" applyNumberFormat="1" applyFill="1" applyBorder="1" applyAlignment="1">
      <alignment horizontal="center" vertical="center"/>
    </xf>
    <xf numFmtId="14" fontId="0" fillId="29" borderId="46" xfId="0" applyNumberFormat="1" applyFill="1" applyBorder="1" applyAlignment="1">
      <alignment horizontal="center" vertical="center"/>
    </xf>
    <xf numFmtId="14" fontId="0" fillId="29" borderId="1" xfId="0" applyNumberForma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0" fontId="2" fillId="32" borderId="25" xfId="0" applyFont="1" applyFill="1" applyBorder="1" applyAlignment="1">
      <alignment horizontal="center" vertical="center"/>
    </xf>
    <xf numFmtId="0" fontId="2" fillId="32" borderId="26" xfId="0" applyFont="1" applyFill="1" applyBorder="1" applyAlignment="1">
      <alignment horizontal="center" vertical="center"/>
    </xf>
    <xf numFmtId="0" fontId="2" fillId="32" borderId="27" xfId="0" applyFont="1" applyFill="1" applyBorder="1" applyAlignment="1">
      <alignment horizontal="center" vertical="center"/>
    </xf>
    <xf numFmtId="0" fontId="2" fillId="32" borderId="28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167" fontId="2" fillId="33" borderId="30" xfId="0" applyNumberFormat="1" applyFont="1" applyFill="1" applyBorder="1" applyAlignment="1">
      <alignment horizontal="center"/>
    </xf>
    <xf numFmtId="167" fontId="2" fillId="33" borderId="31" xfId="0" applyNumberFormat="1" applyFont="1" applyFill="1" applyBorder="1" applyAlignment="1">
      <alignment horizontal="center"/>
    </xf>
    <xf numFmtId="167" fontId="2" fillId="33" borderId="32" xfId="0" applyNumberFormat="1" applyFont="1" applyFill="1" applyBorder="1" applyAlignment="1">
      <alignment horizontal="center"/>
    </xf>
    <xf numFmtId="0" fontId="2" fillId="27" borderId="20" xfId="0" applyFont="1" applyFill="1" applyBorder="1" applyAlignment="1">
      <alignment horizontal="center" vertical="center"/>
    </xf>
    <xf numFmtId="0" fontId="2" fillId="27" borderId="21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167" fontId="0" fillId="27" borderId="30" xfId="0" applyNumberFormat="1" applyFill="1" applyBorder="1" applyAlignment="1">
      <alignment horizontal="center" vertical="center"/>
    </xf>
    <xf numFmtId="167" fontId="0" fillId="27" borderId="31" xfId="0" applyNumberFormat="1" applyFill="1" applyBorder="1" applyAlignment="1">
      <alignment horizontal="center" vertical="center"/>
    </xf>
    <xf numFmtId="167" fontId="0" fillId="27" borderId="32" xfId="0" applyNumberFormat="1" applyFill="1" applyBorder="1" applyAlignment="1">
      <alignment horizontal="center" vertical="center"/>
    </xf>
    <xf numFmtId="178" fontId="33" fillId="40" borderId="1" xfId="0" applyNumberFormat="1" applyFont="1" applyFill="1" applyBorder="1" applyAlignment="1">
      <alignment horizontal="center" vertical="center"/>
    </xf>
  </cellXfs>
  <cellStyles count="339">
    <cellStyle name="20% - Énfasis1 2" xfId="18" xr:uid="{00000000-0005-0000-0000-000000000000}"/>
    <cellStyle name="20% - Énfasis1 2 2" xfId="19" xr:uid="{00000000-0005-0000-0000-000001000000}"/>
    <cellStyle name="20% - Énfasis1 2 3" xfId="20" xr:uid="{00000000-0005-0000-0000-000002000000}"/>
    <cellStyle name="20% - Énfasis1 3" xfId="21" xr:uid="{00000000-0005-0000-0000-000003000000}"/>
    <cellStyle name="20% - Énfasis1 4" xfId="17" xr:uid="{00000000-0005-0000-0000-000004000000}"/>
    <cellStyle name="20% - Énfasis2 2" xfId="23" xr:uid="{00000000-0005-0000-0000-000005000000}"/>
    <cellStyle name="20% - Énfasis2 2 2" xfId="24" xr:uid="{00000000-0005-0000-0000-000006000000}"/>
    <cellStyle name="20% - Énfasis2 2 3" xfId="25" xr:uid="{00000000-0005-0000-0000-000007000000}"/>
    <cellStyle name="20% - Énfasis2 3" xfId="26" xr:uid="{00000000-0005-0000-0000-000008000000}"/>
    <cellStyle name="20% - Énfasis2 4" xfId="22" xr:uid="{00000000-0005-0000-0000-000009000000}"/>
    <cellStyle name="20% - Énfasis3 2" xfId="28" xr:uid="{00000000-0005-0000-0000-00000A000000}"/>
    <cellStyle name="20% - Énfasis3 2 2" xfId="29" xr:uid="{00000000-0005-0000-0000-00000B000000}"/>
    <cellStyle name="20% - Énfasis3 2 3" xfId="30" xr:uid="{00000000-0005-0000-0000-00000C000000}"/>
    <cellStyle name="20% - Énfasis3 3" xfId="31" xr:uid="{00000000-0005-0000-0000-00000D000000}"/>
    <cellStyle name="20% - Énfasis3 4" xfId="27" xr:uid="{00000000-0005-0000-0000-00000E000000}"/>
    <cellStyle name="20% - Énfasis4 2" xfId="33" xr:uid="{00000000-0005-0000-0000-00000F000000}"/>
    <cellStyle name="20% - Énfasis4 2 2" xfId="34" xr:uid="{00000000-0005-0000-0000-000010000000}"/>
    <cellStyle name="20% - Énfasis4 2 3" xfId="35" xr:uid="{00000000-0005-0000-0000-000011000000}"/>
    <cellStyle name="20% - Énfasis4 3" xfId="36" xr:uid="{00000000-0005-0000-0000-000012000000}"/>
    <cellStyle name="20% - Énfasis4 4" xfId="32" xr:uid="{00000000-0005-0000-0000-000013000000}"/>
    <cellStyle name="20% - Énfasis5 2" xfId="38" xr:uid="{00000000-0005-0000-0000-000014000000}"/>
    <cellStyle name="20% - Énfasis5 2 2" xfId="39" xr:uid="{00000000-0005-0000-0000-000015000000}"/>
    <cellStyle name="20% - Énfasis5 2 3" xfId="40" xr:uid="{00000000-0005-0000-0000-000016000000}"/>
    <cellStyle name="20% - Énfasis5 3" xfId="41" xr:uid="{00000000-0005-0000-0000-000017000000}"/>
    <cellStyle name="20% - Énfasis5 4" xfId="37" xr:uid="{00000000-0005-0000-0000-000018000000}"/>
    <cellStyle name="20% - Énfasis6 2" xfId="43" xr:uid="{00000000-0005-0000-0000-000019000000}"/>
    <cellStyle name="20% - Énfasis6 2 2" xfId="44" xr:uid="{00000000-0005-0000-0000-00001A000000}"/>
    <cellStyle name="20% - Énfasis6 2 3" xfId="45" xr:uid="{00000000-0005-0000-0000-00001B000000}"/>
    <cellStyle name="20% - Énfasis6 3" xfId="46" xr:uid="{00000000-0005-0000-0000-00001C000000}"/>
    <cellStyle name="20% - Énfasis6 4" xfId="42" xr:uid="{00000000-0005-0000-0000-00001D000000}"/>
    <cellStyle name="40% - Énfasis1 2" xfId="48" xr:uid="{00000000-0005-0000-0000-00001E000000}"/>
    <cellStyle name="40% - Énfasis1 2 2" xfId="49" xr:uid="{00000000-0005-0000-0000-00001F000000}"/>
    <cellStyle name="40% - Énfasis1 2 3" xfId="50" xr:uid="{00000000-0005-0000-0000-000020000000}"/>
    <cellStyle name="40% - Énfasis1 3" xfId="51" xr:uid="{00000000-0005-0000-0000-000021000000}"/>
    <cellStyle name="40% - Énfasis1 4" xfId="47" xr:uid="{00000000-0005-0000-0000-000022000000}"/>
    <cellStyle name="40% - Énfasis2 2" xfId="53" xr:uid="{00000000-0005-0000-0000-000023000000}"/>
    <cellStyle name="40% - Énfasis2 2 2" xfId="54" xr:uid="{00000000-0005-0000-0000-000024000000}"/>
    <cellStyle name="40% - Énfasis2 2 3" xfId="55" xr:uid="{00000000-0005-0000-0000-000025000000}"/>
    <cellStyle name="40% - Énfasis2 3" xfId="56" xr:uid="{00000000-0005-0000-0000-000026000000}"/>
    <cellStyle name="40% - Énfasis2 4" xfId="52" xr:uid="{00000000-0005-0000-0000-000027000000}"/>
    <cellStyle name="40% - Énfasis3 2" xfId="58" xr:uid="{00000000-0005-0000-0000-000028000000}"/>
    <cellStyle name="40% - Énfasis3 2 2" xfId="59" xr:uid="{00000000-0005-0000-0000-000029000000}"/>
    <cellStyle name="40% - Énfasis3 2 3" xfId="60" xr:uid="{00000000-0005-0000-0000-00002A000000}"/>
    <cellStyle name="40% - Énfasis3 3" xfId="61" xr:uid="{00000000-0005-0000-0000-00002B000000}"/>
    <cellStyle name="40% - Énfasis3 4" xfId="57" xr:uid="{00000000-0005-0000-0000-00002C000000}"/>
    <cellStyle name="40% - Énfasis4 2" xfId="63" xr:uid="{00000000-0005-0000-0000-00002D000000}"/>
    <cellStyle name="40% - Énfasis4 2 2" xfId="64" xr:uid="{00000000-0005-0000-0000-00002E000000}"/>
    <cellStyle name="40% - Énfasis4 2 3" xfId="65" xr:uid="{00000000-0005-0000-0000-00002F000000}"/>
    <cellStyle name="40% - Énfasis4 3" xfId="66" xr:uid="{00000000-0005-0000-0000-000030000000}"/>
    <cellStyle name="40% - Énfasis4 4" xfId="62" xr:uid="{00000000-0005-0000-0000-000031000000}"/>
    <cellStyle name="40% - Énfasis5 2" xfId="68" xr:uid="{00000000-0005-0000-0000-000032000000}"/>
    <cellStyle name="40% - Énfasis5 2 2" xfId="69" xr:uid="{00000000-0005-0000-0000-000033000000}"/>
    <cellStyle name="40% - Énfasis5 2 3" xfId="70" xr:uid="{00000000-0005-0000-0000-000034000000}"/>
    <cellStyle name="40% - Énfasis5 3" xfId="71" xr:uid="{00000000-0005-0000-0000-000035000000}"/>
    <cellStyle name="40% - Énfasis5 4" xfId="67" xr:uid="{00000000-0005-0000-0000-000036000000}"/>
    <cellStyle name="40% - Énfasis6 2" xfId="73" xr:uid="{00000000-0005-0000-0000-000037000000}"/>
    <cellStyle name="40% - Énfasis6 2 2" xfId="74" xr:uid="{00000000-0005-0000-0000-000038000000}"/>
    <cellStyle name="40% - Énfasis6 2 3" xfId="75" xr:uid="{00000000-0005-0000-0000-000039000000}"/>
    <cellStyle name="40% - Énfasis6 3" xfId="76" xr:uid="{00000000-0005-0000-0000-00003A000000}"/>
    <cellStyle name="40% - Énfasis6 4" xfId="72" xr:uid="{00000000-0005-0000-0000-00003B000000}"/>
    <cellStyle name="60% - Énfasis1 2" xfId="78" xr:uid="{00000000-0005-0000-0000-00003C000000}"/>
    <cellStyle name="60% - Énfasis1 2 2" xfId="79" xr:uid="{00000000-0005-0000-0000-00003D000000}"/>
    <cellStyle name="60% - Énfasis1 2 3" xfId="80" xr:uid="{00000000-0005-0000-0000-00003E000000}"/>
    <cellStyle name="60% - Énfasis1 3" xfId="81" xr:uid="{00000000-0005-0000-0000-00003F000000}"/>
    <cellStyle name="60% - Énfasis1 4" xfId="77" xr:uid="{00000000-0005-0000-0000-000040000000}"/>
    <cellStyle name="60% - Énfasis2 2" xfId="83" xr:uid="{00000000-0005-0000-0000-000041000000}"/>
    <cellStyle name="60% - Énfasis2 2 2" xfId="84" xr:uid="{00000000-0005-0000-0000-000042000000}"/>
    <cellStyle name="60% - Énfasis2 2 3" xfId="85" xr:uid="{00000000-0005-0000-0000-000043000000}"/>
    <cellStyle name="60% - Énfasis2 3" xfId="86" xr:uid="{00000000-0005-0000-0000-000044000000}"/>
    <cellStyle name="60% - Énfasis2 4" xfId="82" xr:uid="{00000000-0005-0000-0000-000045000000}"/>
    <cellStyle name="60% - Énfasis3 2" xfId="88" xr:uid="{00000000-0005-0000-0000-000046000000}"/>
    <cellStyle name="60% - Énfasis3 2 2" xfId="89" xr:uid="{00000000-0005-0000-0000-000047000000}"/>
    <cellStyle name="60% - Énfasis3 2 3" xfId="90" xr:uid="{00000000-0005-0000-0000-000048000000}"/>
    <cellStyle name="60% - Énfasis3 3" xfId="91" xr:uid="{00000000-0005-0000-0000-000049000000}"/>
    <cellStyle name="60% - Énfasis3 4" xfId="87" xr:uid="{00000000-0005-0000-0000-00004A000000}"/>
    <cellStyle name="60% - Énfasis4 2" xfId="93" xr:uid="{00000000-0005-0000-0000-00004B000000}"/>
    <cellStyle name="60% - Énfasis4 2 2" xfId="94" xr:uid="{00000000-0005-0000-0000-00004C000000}"/>
    <cellStyle name="60% - Énfasis4 2 3" xfId="95" xr:uid="{00000000-0005-0000-0000-00004D000000}"/>
    <cellStyle name="60% - Énfasis4 3" xfId="96" xr:uid="{00000000-0005-0000-0000-00004E000000}"/>
    <cellStyle name="60% - Énfasis4 4" xfId="92" xr:uid="{00000000-0005-0000-0000-00004F000000}"/>
    <cellStyle name="60% - Énfasis5 2" xfId="98" xr:uid="{00000000-0005-0000-0000-000050000000}"/>
    <cellStyle name="60% - Énfasis5 2 2" xfId="99" xr:uid="{00000000-0005-0000-0000-000051000000}"/>
    <cellStyle name="60% - Énfasis5 2 3" xfId="100" xr:uid="{00000000-0005-0000-0000-000052000000}"/>
    <cellStyle name="60% - Énfasis5 3" xfId="101" xr:uid="{00000000-0005-0000-0000-000053000000}"/>
    <cellStyle name="60% - Énfasis5 4" xfId="97" xr:uid="{00000000-0005-0000-0000-000054000000}"/>
    <cellStyle name="60% - Énfasis6 2" xfId="103" xr:uid="{00000000-0005-0000-0000-000055000000}"/>
    <cellStyle name="60% - Énfasis6 2 2" xfId="104" xr:uid="{00000000-0005-0000-0000-000056000000}"/>
    <cellStyle name="60% - Énfasis6 2 3" xfId="105" xr:uid="{00000000-0005-0000-0000-000057000000}"/>
    <cellStyle name="60% - Énfasis6 3" xfId="106" xr:uid="{00000000-0005-0000-0000-000058000000}"/>
    <cellStyle name="60% - Énfasis6 4" xfId="102" xr:uid="{00000000-0005-0000-0000-000059000000}"/>
    <cellStyle name="Buena 2" xfId="108" xr:uid="{00000000-0005-0000-0000-00005A000000}"/>
    <cellStyle name="Buena 2 2" xfId="109" xr:uid="{00000000-0005-0000-0000-00005B000000}"/>
    <cellStyle name="Buena 2 3" xfId="110" xr:uid="{00000000-0005-0000-0000-00005C000000}"/>
    <cellStyle name="Buena 3" xfId="111" xr:uid="{00000000-0005-0000-0000-00005D000000}"/>
    <cellStyle name="Buena 4" xfId="107" xr:uid="{00000000-0005-0000-0000-00005E000000}"/>
    <cellStyle name="Cálculo 2" xfId="113" xr:uid="{00000000-0005-0000-0000-00005F000000}"/>
    <cellStyle name="Cálculo 2 2" xfId="114" xr:uid="{00000000-0005-0000-0000-000060000000}"/>
    <cellStyle name="Cálculo 2 2 2" xfId="284" xr:uid="{00000000-0005-0000-0000-000061000000}"/>
    <cellStyle name="Cálculo 2 2 3" xfId="287" xr:uid="{00000000-0005-0000-0000-000062000000}"/>
    <cellStyle name="Cálculo 2 3" xfId="115" xr:uid="{00000000-0005-0000-0000-000063000000}"/>
    <cellStyle name="Cálculo 2 3 2" xfId="285" xr:uid="{00000000-0005-0000-0000-000064000000}"/>
    <cellStyle name="Cálculo 2 3 3" xfId="289" xr:uid="{00000000-0005-0000-0000-000065000000}"/>
    <cellStyle name="Cálculo 2 4" xfId="283" xr:uid="{00000000-0005-0000-0000-000066000000}"/>
    <cellStyle name="Cálculo 2 5" xfId="290" xr:uid="{00000000-0005-0000-0000-000067000000}"/>
    <cellStyle name="Cálculo 3" xfId="116" xr:uid="{00000000-0005-0000-0000-000068000000}"/>
    <cellStyle name="Cálculo 3 2" xfId="286" xr:uid="{00000000-0005-0000-0000-000069000000}"/>
    <cellStyle name="Cálculo 3 3" xfId="288" xr:uid="{00000000-0005-0000-0000-00006A000000}"/>
    <cellStyle name="Cálculo 4" xfId="112" xr:uid="{00000000-0005-0000-0000-00006B000000}"/>
    <cellStyle name="Cálculo 4 2" xfId="282" xr:uid="{00000000-0005-0000-0000-00006C000000}"/>
    <cellStyle name="Cálculo 4 3" xfId="291" xr:uid="{00000000-0005-0000-0000-00006D000000}"/>
    <cellStyle name="Celda de comprobación 2" xfId="118" xr:uid="{00000000-0005-0000-0000-00006E000000}"/>
    <cellStyle name="Celda de comprobación 2 2" xfId="119" xr:uid="{00000000-0005-0000-0000-00006F000000}"/>
    <cellStyle name="Celda de comprobación 2 3" xfId="120" xr:uid="{00000000-0005-0000-0000-000070000000}"/>
    <cellStyle name="Celda de comprobación 3" xfId="121" xr:uid="{00000000-0005-0000-0000-000071000000}"/>
    <cellStyle name="Celda de comprobación 4" xfId="117" xr:uid="{00000000-0005-0000-0000-000072000000}"/>
    <cellStyle name="Celda vinculada 2" xfId="123" xr:uid="{00000000-0005-0000-0000-000073000000}"/>
    <cellStyle name="Celda vinculada 2 2" xfId="124" xr:uid="{00000000-0005-0000-0000-000074000000}"/>
    <cellStyle name="Celda vinculada 2 3" xfId="125" xr:uid="{00000000-0005-0000-0000-000075000000}"/>
    <cellStyle name="Celda vinculada 3" xfId="126" xr:uid="{00000000-0005-0000-0000-000076000000}"/>
    <cellStyle name="Celda vinculada 4" xfId="122" xr:uid="{00000000-0005-0000-0000-000077000000}"/>
    <cellStyle name="Encabezado 4 2" xfId="128" xr:uid="{00000000-0005-0000-0000-000078000000}"/>
    <cellStyle name="Encabezado 4 2 2" xfId="129" xr:uid="{00000000-0005-0000-0000-000079000000}"/>
    <cellStyle name="Encabezado 4 2 3" xfId="130" xr:uid="{00000000-0005-0000-0000-00007A000000}"/>
    <cellStyle name="Encabezado 4 3" xfId="131" xr:uid="{00000000-0005-0000-0000-00007B000000}"/>
    <cellStyle name="Encabezado 4 4" xfId="127" xr:uid="{00000000-0005-0000-0000-00007C000000}"/>
    <cellStyle name="Énfasis1 2" xfId="133" xr:uid="{00000000-0005-0000-0000-00007D000000}"/>
    <cellStyle name="Énfasis1 2 2" xfId="134" xr:uid="{00000000-0005-0000-0000-00007E000000}"/>
    <cellStyle name="Énfasis1 2 3" xfId="135" xr:uid="{00000000-0005-0000-0000-00007F000000}"/>
    <cellStyle name="Énfasis1 3" xfId="136" xr:uid="{00000000-0005-0000-0000-000080000000}"/>
    <cellStyle name="Énfasis1 4" xfId="132" xr:uid="{00000000-0005-0000-0000-000081000000}"/>
    <cellStyle name="Énfasis2 2" xfId="138" xr:uid="{00000000-0005-0000-0000-000082000000}"/>
    <cellStyle name="Énfasis2 2 2" xfId="139" xr:uid="{00000000-0005-0000-0000-000083000000}"/>
    <cellStyle name="Énfasis2 2 3" xfId="140" xr:uid="{00000000-0005-0000-0000-000084000000}"/>
    <cellStyle name="Énfasis2 3" xfId="141" xr:uid="{00000000-0005-0000-0000-000085000000}"/>
    <cellStyle name="Énfasis2 4" xfId="137" xr:uid="{00000000-0005-0000-0000-000086000000}"/>
    <cellStyle name="Énfasis3 2" xfId="143" xr:uid="{00000000-0005-0000-0000-000087000000}"/>
    <cellStyle name="Énfasis3 2 2" xfId="144" xr:uid="{00000000-0005-0000-0000-000088000000}"/>
    <cellStyle name="Énfasis3 2 3" xfId="145" xr:uid="{00000000-0005-0000-0000-000089000000}"/>
    <cellStyle name="Énfasis3 3" xfId="146" xr:uid="{00000000-0005-0000-0000-00008A000000}"/>
    <cellStyle name="Énfasis3 4" xfId="142" xr:uid="{00000000-0005-0000-0000-00008B000000}"/>
    <cellStyle name="Énfasis4 2" xfId="148" xr:uid="{00000000-0005-0000-0000-00008C000000}"/>
    <cellStyle name="Énfasis4 2 2" xfId="149" xr:uid="{00000000-0005-0000-0000-00008D000000}"/>
    <cellStyle name="Énfasis4 2 3" xfId="150" xr:uid="{00000000-0005-0000-0000-00008E000000}"/>
    <cellStyle name="Énfasis4 3" xfId="151" xr:uid="{00000000-0005-0000-0000-00008F000000}"/>
    <cellStyle name="Énfasis4 4" xfId="147" xr:uid="{00000000-0005-0000-0000-000090000000}"/>
    <cellStyle name="Énfasis5 2" xfId="153" xr:uid="{00000000-0005-0000-0000-000091000000}"/>
    <cellStyle name="Énfasis5 2 2" xfId="154" xr:uid="{00000000-0005-0000-0000-000092000000}"/>
    <cellStyle name="Énfasis5 2 3" xfId="155" xr:uid="{00000000-0005-0000-0000-000093000000}"/>
    <cellStyle name="Énfasis5 3" xfId="156" xr:uid="{00000000-0005-0000-0000-000094000000}"/>
    <cellStyle name="Énfasis5 4" xfId="152" xr:uid="{00000000-0005-0000-0000-000095000000}"/>
    <cellStyle name="Énfasis6 2" xfId="158" xr:uid="{00000000-0005-0000-0000-000096000000}"/>
    <cellStyle name="Énfasis6 2 2" xfId="159" xr:uid="{00000000-0005-0000-0000-000097000000}"/>
    <cellStyle name="Énfasis6 2 3" xfId="160" xr:uid="{00000000-0005-0000-0000-000098000000}"/>
    <cellStyle name="Énfasis6 3" xfId="161" xr:uid="{00000000-0005-0000-0000-000099000000}"/>
    <cellStyle name="Énfasis6 4" xfId="157" xr:uid="{00000000-0005-0000-0000-00009A000000}"/>
    <cellStyle name="Entrada 2" xfId="163" xr:uid="{00000000-0005-0000-0000-00009B000000}"/>
    <cellStyle name="Entrada 2 2" xfId="164" xr:uid="{00000000-0005-0000-0000-00009C000000}"/>
    <cellStyle name="Entrada 2 2 2" xfId="294" xr:uid="{00000000-0005-0000-0000-00009D000000}"/>
    <cellStyle name="Entrada 2 2 3" xfId="277" xr:uid="{00000000-0005-0000-0000-00009E000000}"/>
    <cellStyle name="Entrada 2 3" xfId="165" xr:uid="{00000000-0005-0000-0000-00009F000000}"/>
    <cellStyle name="Entrada 2 3 2" xfId="295" xr:uid="{00000000-0005-0000-0000-0000A0000000}"/>
    <cellStyle name="Entrada 2 3 3" xfId="279" xr:uid="{00000000-0005-0000-0000-0000A1000000}"/>
    <cellStyle name="Entrada 2 4" xfId="293" xr:uid="{00000000-0005-0000-0000-0000A2000000}"/>
    <cellStyle name="Entrada 2 5" xfId="280" xr:uid="{00000000-0005-0000-0000-0000A3000000}"/>
    <cellStyle name="Entrada 3" xfId="166" xr:uid="{00000000-0005-0000-0000-0000A4000000}"/>
    <cellStyle name="Entrada 3 2" xfId="296" xr:uid="{00000000-0005-0000-0000-0000A5000000}"/>
    <cellStyle name="Entrada 3 3" xfId="278" xr:uid="{00000000-0005-0000-0000-0000A6000000}"/>
    <cellStyle name="Entrada 4" xfId="162" xr:uid="{00000000-0005-0000-0000-0000A7000000}"/>
    <cellStyle name="Entrada 4 2" xfId="292" xr:uid="{00000000-0005-0000-0000-0000A8000000}"/>
    <cellStyle name="Entrada 4 3" xfId="281" xr:uid="{00000000-0005-0000-0000-0000A9000000}"/>
    <cellStyle name="Excel Built-in Normal" xfId="167" xr:uid="{00000000-0005-0000-0000-0000AA000000}"/>
    <cellStyle name="Incorrecto 2" xfId="169" xr:uid="{00000000-0005-0000-0000-0000AB000000}"/>
    <cellStyle name="Incorrecto 2 2" xfId="170" xr:uid="{00000000-0005-0000-0000-0000AC000000}"/>
    <cellStyle name="Incorrecto 2 3" xfId="171" xr:uid="{00000000-0005-0000-0000-0000AD000000}"/>
    <cellStyle name="Incorrecto 3" xfId="172" xr:uid="{00000000-0005-0000-0000-0000AE000000}"/>
    <cellStyle name="Incorrecto 4" xfId="168" xr:uid="{00000000-0005-0000-0000-0000AF000000}"/>
    <cellStyle name="Millares 2" xfId="174" xr:uid="{00000000-0005-0000-0000-0000B0000000}"/>
    <cellStyle name="Millares 2 2" xfId="175" xr:uid="{00000000-0005-0000-0000-0000B1000000}"/>
    <cellStyle name="Millares 2 3" xfId="176" xr:uid="{00000000-0005-0000-0000-0000B2000000}"/>
    <cellStyle name="Millares 3" xfId="173" xr:uid="{00000000-0005-0000-0000-0000B3000000}"/>
    <cellStyle name="Moneda 2" xfId="177" xr:uid="{00000000-0005-0000-0000-0000B4000000}"/>
    <cellStyle name="Neutral 2" xfId="179" xr:uid="{00000000-0005-0000-0000-0000B5000000}"/>
    <cellStyle name="Neutral 2 2" xfId="180" xr:uid="{00000000-0005-0000-0000-0000B6000000}"/>
    <cellStyle name="Neutral 2 3" xfId="181" xr:uid="{00000000-0005-0000-0000-0000B7000000}"/>
    <cellStyle name="Neutral 3" xfId="182" xr:uid="{00000000-0005-0000-0000-0000B8000000}"/>
    <cellStyle name="Neutral 4" xfId="178" xr:uid="{00000000-0005-0000-0000-0000B9000000}"/>
    <cellStyle name="Normal" xfId="0" builtinId="0"/>
    <cellStyle name="Normal 11" xfId="183" xr:uid="{00000000-0005-0000-0000-0000BB000000}"/>
    <cellStyle name="Normal 11 2" xfId="184" xr:uid="{00000000-0005-0000-0000-0000BC000000}"/>
    <cellStyle name="Normal 11 3" xfId="185" xr:uid="{00000000-0005-0000-0000-0000BD000000}"/>
    <cellStyle name="Normal 12" xfId="186" xr:uid="{00000000-0005-0000-0000-0000BE000000}"/>
    <cellStyle name="Normal 12 2" xfId="187" xr:uid="{00000000-0005-0000-0000-0000BF000000}"/>
    <cellStyle name="Normal 12 3" xfId="188" xr:uid="{00000000-0005-0000-0000-0000C0000000}"/>
    <cellStyle name="Normal 13" xfId="318" xr:uid="{00000000-0005-0000-0000-0000C1000000}"/>
    <cellStyle name="Normal 14" xfId="319" xr:uid="{00000000-0005-0000-0000-0000C2000000}"/>
    <cellStyle name="Normal 15" xfId="320" xr:uid="{00000000-0005-0000-0000-0000C3000000}"/>
    <cellStyle name="Normal 16" xfId="189" xr:uid="{00000000-0005-0000-0000-0000C4000000}"/>
    <cellStyle name="Normal 18" xfId="190" xr:uid="{00000000-0005-0000-0000-0000C5000000}"/>
    <cellStyle name="Normal 18 2" xfId="191" xr:uid="{00000000-0005-0000-0000-0000C6000000}"/>
    <cellStyle name="Normal 19" xfId="192" xr:uid="{00000000-0005-0000-0000-0000C7000000}"/>
    <cellStyle name="Normal 2" xfId="7" xr:uid="{00000000-0005-0000-0000-0000C8000000}"/>
    <cellStyle name="Normal 2 2" xfId="12" xr:uid="{00000000-0005-0000-0000-0000C9000000}"/>
    <cellStyle name="Normal 2 2 2" xfId="194" xr:uid="{00000000-0005-0000-0000-0000CA000000}"/>
    <cellStyle name="Normal 2 3" xfId="195" xr:uid="{00000000-0005-0000-0000-0000CB000000}"/>
    <cellStyle name="Normal 2 3 2" xfId="196" xr:uid="{00000000-0005-0000-0000-0000CC000000}"/>
    <cellStyle name="Normal 2 4" xfId="197" xr:uid="{00000000-0005-0000-0000-0000CD000000}"/>
    <cellStyle name="Normal 2 5" xfId="193" xr:uid="{00000000-0005-0000-0000-0000CE000000}"/>
    <cellStyle name="Normal 2 6" xfId="11" xr:uid="{00000000-0005-0000-0000-0000CF000000}"/>
    <cellStyle name="Normal 20" xfId="198" xr:uid="{00000000-0005-0000-0000-0000D0000000}"/>
    <cellStyle name="Normal 20 2" xfId="199" xr:uid="{00000000-0005-0000-0000-0000D1000000}"/>
    <cellStyle name="Normal 21" xfId="200" xr:uid="{00000000-0005-0000-0000-0000D2000000}"/>
    <cellStyle name="Normal 22" xfId="321" xr:uid="{00000000-0005-0000-0000-0000D3000000}"/>
    <cellStyle name="Normal 23" xfId="322" xr:uid="{00000000-0005-0000-0000-0000D4000000}"/>
    <cellStyle name="Normal 24" xfId="201" xr:uid="{00000000-0005-0000-0000-0000D5000000}"/>
    <cellStyle name="Normal 25" xfId="323" xr:uid="{00000000-0005-0000-0000-0000D6000000}"/>
    <cellStyle name="Normal 26" xfId="324" xr:uid="{00000000-0005-0000-0000-0000D7000000}"/>
    <cellStyle name="Normal 27" xfId="325" xr:uid="{00000000-0005-0000-0000-0000D8000000}"/>
    <cellStyle name="Normal 28" xfId="326" xr:uid="{00000000-0005-0000-0000-0000D9000000}"/>
    <cellStyle name="Normal 29" xfId="327" xr:uid="{00000000-0005-0000-0000-0000DA000000}"/>
    <cellStyle name="Normal 3" xfId="3" xr:uid="{00000000-0005-0000-0000-0000DB000000}"/>
    <cellStyle name="Normal 3 2" xfId="202" xr:uid="{00000000-0005-0000-0000-0000DC000000}"/>
    <cellStyle name="Normal 3 3" xfId="266" xr:uid="{00000000-0005-0000-0000-0000DD000000}"/>
    <cellStyle name="Normal 3 4" xfId="13" xr:uid="{00000000-0005-0000-0000-0000DE000000}"/>
    <cellStyle name="Normal 30" xfId="328" xr:uid="{00000000-0005-0000-0000-0000DF000000}"/>
    <cellStyle name="Normal 31" xfId="329" xr:uid="{00000000-0005-0000-0000-0000E0000000}"/>
    <cellStyle name="Normal 32" xfId="330" xr:uid="{00000000-0005-0000-0000-0000E1000000}"/>
    <cellStyle name="Normal 33" xfId="331" xr:uid="{00000000-0005-0000-0000-0000E2000000}"/>
    <cellStyle name="Normal 34" xfId="332" xr:uid="{00000000-0005-0000-0000-0000E3000000}"/>
    <cellStyle name="Normal 35" xfId="333" xr:uid="{00000000-0005-0000-0000-0000E4000000}"/>
    <cellStyle name="Normal 36" xfId="334" xr:uid="{00000000-0005-0000-0000-0000E5000000}"/>
    <cellStyle name="Normal 37" xfId="335" xr:uid="{00000000-0005-0000-0000-0000E6000000}"/>
    <cellStyle name="Normal 38" xfId="336" xr:uid="{00000000-0005-0000-0000-0000E7000000}"/>
    <cellStyle name="Normal 4" xfId="4" xr:uid="{00000000-0005-0000-0000-0000E8000000}"/>
    <cellStyle name="Normal 4 2" xfId="204" xr:uid="{00000000-0005-0000-0000-0000E9000000}"/>
    <cellStyle name="Normal 4 3" xfId="203" xr:uid="{00000000-0005-0000-0000-0000EA000000}"/>
    <cellStyle name="Normal 40" xfId="337" xr:uid="{00000000-0005-0000-0000-0000EB000000}"/>
    <cellStyle name="Normal 5" xfId="9" xr:uid="{00000000-0005-0000-0000-0000EC000000}"/>
    <cellStyle name="Normal 5 2" xfId="206" xr:uid="{00000000-0005-0000-0000-0000ED000000}"/>
    <cellStyle name="Normal 5 3" xfId="205" xr:uid="{00000000-0005-0000-0000-0000EE000000}"/>
    <cellStyle name="Normal 6" xfId="207" xr:uid="{00000000-0005-0000-0000-0000EF000000}"/>
    <cellStyle name="Normal 6 2" xfId="208" xr:uid="{00000000-0005-0000-0000-0000F0000000}"/>
    <cellStyle name="Normal 7" xfId="5" xr:uid="{00000000-0005-0000-0000-0000F1000000}"/>
    <cellStyle name="Normal 7 2" xfId="210" xr:uid="{00000000-0005-0000-0000-0000F2000000}"/>
    <cellStyle name="Normal 7 3" xfId="209" xr:uid="{00000000-0005-0000-0000-0000F3000000}"/>
    <cellStyle name="Normal 8" xfId="16" xr:uid="{00000000-0005-0000-0000-0000F4000000}"/>
    <cellStyle name="Notas 2" xfId="212" xr:uid="{00000000-0005-0000-0000-0000F5000000}"/>
    <cellStyle name="Notas 2 2" xfId="213" xr:uid="{00000000-0005-0000-0000-0000F6000000}"/>
    <cellStyle name="Notas 2 2 2" xfId="299" xr:uid="{00000000-0005-0000-0000-0000F7000000}"/>
    <cellStyle name="Notas 2 2 3" xfId="274" xr:uid="{00000000-0005-0000-0000-0000F8000000}"/>
    <cellStyle name="Notas 2 3" xfId="214" xr:uid="{00000000-0005-0000-0000-0000F9000000}"/>
    <cellStyle name="Notas 2 3 2" xfId="300" xr:uid="{00000000-0005-0000-0000-0000FA000000}"/>
    <cellStyle name="Notas 2 3 3" xfId="272" xr:uid="{00000000-0005-0000-0000-0000FB000000}"/>
    <cellStyle name="Notas 2 4" xfId="298" xr:uid="{00000000-0005-0000-0000-0000FC000000}"/>
    <cellStyle name="Notas 2 5" xfId="275" xr:uid="{00000000-0005-0000-0000-0000FD000000}"/>
    <cellStyle name="Notas 3" xfId="215" xr:uid="{00000000-0005-0000-0000-0000FE000000}"/>
    <cellStyle name="Notas 3 2" xfId="301" xr:uid="{00000000-0005-0000-0000-0000FF000000}"/>
    <cellStyle name="Notas 3 3" xfId="273" xr:uid="{00000000-0005-0000-0000-000000010000}"/>
    <cellStyle name="Notas 4" xfId="211" xr:uid="{00000000-0005-0000-0000-000001010000}"/>
    <cellStyle name="Notas 4 2" xfId="297" xr:uid="{00000000-0005-0000-0000-000002010000}"/>
    <cellStyle name="Notas 4 3" xfId="276" xr:uid="{00000000-0005-0000-0000-000003010000}"/>
    <cellStyle name="Porcentaje" xfId="1" builtinId="5"/>
    <cellStyle name="Porcentaje 2" xfId="14" xr:uid="{00000000-0005-0000-0000-000005010000}"/>
    <cellStyle name="Porcentaje 3" xfId="15" xr:uid="{00000000-0005-0000-0000-000006010000}"/>
    <cellStyle name="Porcentual 10" xfId="2" xr:uid="{00000000-0005-0000-0000-000007010000}"/>
    <cellStyle name="Porcentual 14" xfId="6" xr:uid="{00000000-0005-0000-0000-000008010000}"/>
    <cellStyle name="Porcentual 2" xfId="8" xr:uid="{00000000-0005-0000-0000-000009010000}"/>
    <cellStyle name="Porcentual 2 2" xfId="217" xr:uid="{00000000-0005-0000-0000-00000A010000}"/>
    <cellStyle name="Porcentual 2 3" xfId="218" xr:uid="{00000000-0005-0000-0000-00000B010000}"/>
    <cellStyle name="Porcentual 2 4" xfId="338" xr:uid="{00000000-0005-0000-0000-00000C010000}"/>
    <cellStyle name="Porcentual 3" xfId="10" xr:uid="{00000000-0005-0000-0000-00000D010000}"/>
    <cellStyle name="Porcentual 3 2" xfId="219" xr:uid="{00000000-0005-0000-0000-00000E010000}"/>
    <cellStyle name="Porcentual 4" xfId="220" xr:uid="{00000000-0005-0000-0000-00000F010000}"/>
    <cellStyle name="Porcentual 5" xfId="221" xr:uid="{00000000-0005-0000-0000-000010010000}"/>
    <cellStyle name="Porcentual 6" xfId="222" xr:uid="{00000000-0005-0000-0000-000011010000}"/>
    <cellStyle name="Porcentual 7" xfId="223" xr:uid="{00000000-0005-0000-0000-000012010000}"/>
    <cellStyle name="Porcentual 7 2" xfId="224" xr:uid="{00000000-0005-0000-0000-000013010000}"/>
    <cellStyle name="Porcentual 7 3" xfId="225" xr:uid="{00000000-0005-0000-0000-000014010000}"/>
    <cellStyle name="Porcentual 8" xfId="216" xr:uid="{00000000-0005-0000-0000-000015010000}"/>
    <cellStyle name="Porcentual 9" xfId="317" xr:uid="{00000000-0005-0000-0000-000016010000}"/>
    <cellStyle name="Salida 2" xfId="227" xr:uid="{00000000-0005-0000-0000-000017010000}"/>
    <cellStyle name="Salida 2 2" xfId="228" xr:uid="{00000000-0005-0000-0000-000018010000}"/>
    <cellStyle name="Salida 2 2 2" xfId="304" xr:uid="{00000000-0005-0000-0000-000019010000}"/>
    <cellStyle name="Salida 2 2 3" xfId="267" xr:uid="{00000000-0005-0000-0000-00001A010000}"/>
    <cellStyle name="Salida 2 3" xfId="229" xr:uid="{00000000-0005-0000-0000-00001B010000}"/>
    <cellStyle name="Salida 2 3 2" xfId="305" xr:uid="{00000000-0005-0000-0000-00001C010000}"/>
    <cellStyle name="Salida 2 3 3" xfId="269" xr:uid="{00000000-0005-0000-0000-00001D010000}"/>
    <cellStyle name="Salida 2 4" xfId="303" xr:uid="{00000000-0005-0000-0000-00001E010000}"/>
    <cellStyle name="Salida 2 5" xfId="270" xr:uid="{00000000-0005-0000-0000-00001F010000}"/>
    <cellStyle name="Salida 3" xfId="230" xr:uid="{00000000-0005-0000-0000-000020010000}"/>
    <cellStyle name="Salida 3 2" xfId="306" xr:uid="{00000000-0005-0000-0000-000021010000}"/>
    <cellStyle name="Salida 3 3" xfId="268" xr:uid="{00000000-0005-0000-0000-000022010000}"/>
    <cellStyle name="Salida 4" xfId="226" xr:uid="{00000000-0005-0000-0000-000023010000}"/>
    <cellStyle name="Salida 4 2" xfId="302" xr:uid="{00000000-0005-0000-0000-000024010000}"/>
    <cellStyle name="Salida 4 3" xfId="271" xr:uid="{00000000-0005-0000-0000-000025010000}"/>
    <cellStyle name="Texto de advertencia 2" xfId="232" xr:uid="{00000000-0005-0000-0000-000026010000}"/>
    <cellStyle name="Texto de advertencia 2 2" xfId="233" xr:uid="{00000000-0005-0000-0000-000027010000}"/>
    <cellStyle name="Texto de advertencia 2 3" xfId="234" xr:uid="{00000000-0005-0000-0000-000028010000}"/>
    <cellStyle name="Texto de advertencia 3" xfId="235" xr:uid="{00000000-0005-0000-0000-000029010000}"/>
    <cellStyle name="Texto de advertencia 4" xfId="231" xr:uid="{00000000-0005-0000-0000-00002A010000}"/>
    <cellStyle name="Texto explicativo 2" xfId="237" xr:uid="{00000000-0005-0000-0000-00002B010000}"/>
    <cellStyle name="Texto explicativo 2 2" xfId="238" xr:uid="{00000000-0005-0000-0000-00002C010000}"/>
    <cellStyle name="Texto explicativo 2 3" xfId="239" xr:uid="{00000000-0005-0000-0000-00002D010000}"/>
    <cellStyle name="Texto explicativo 3" xfId="240" xr:uid="{00000000-0005-0000-0000-00002E010000}"/>
    <cellStyle name="Texto explicativo 4" xfId="236" xr:uid="{00000000-0005-0000-0000-00002F010000}"/>
    <cellStyle name="Título 1 2" xfId="243" xr:uid="{00000000-0005-0000-0000-000030010000}"/>
    <cellStyle name="Título 1 2 2" xfId="244" xr:uid="{00000000-0005-0000-0000-000031010000}"/>
    <cellStyle name="Título 1 2 3" xfId="245" xr:uid="{00000000-0005-0000-0000-000032010000}"/>
    <cellStyle name="Título 1 3" xfId="246" xr:uid="{00000000-0005-0000-0000-000033010000}"/>
    <cellStyle name="Título 1 4" xfId="242" xr:uid="{00000000-0005-0000-0000-000034010000}"/>
    <cellStyle name="Título 2 2" xfId="248" xr:uid="{00000000-0005-0000-0000-000035010000}"/>
    <cellStyle name="Título 2 2 2" xfId="249" xr:uid="{00000000-0005-0000-0000-000036010000}"/>
    <cellStyle name="Título 2 2 3" xfId="250" xr:uid="{00000000-0005-0000-0000-000037010000}"/>
    <cellStyle name="Título 2 3" xfId="251" xr:uid="{00000000-0005-0000-0000-000038010000}"/>
    <cellStyle name="Título 2 4" xfId="247" xr:uid="{00000000-0005-0000-0000-000039010000}"/>
    <cellStyle name="Título 3 2" xfId="253" xr:uid="{00000000-0005-0000-0000-00003A010000}"/>
    <cellStyle name="Título 3 2 2" xfId="254" xr:uid="{00000000-0005-0000-0000-00003B010000}"/>
    <cellStyle name="Título 3 2 3" xfId="255" xr:uid="{00000000-0005-0000-0000-00003C010000}"/>
    <cellStyle name="Título 3 3" xfId="256" xr:uid="{00000000-0005-0000-0000-00003D010000}"/>
    <cellStyle name="Título 3 4" xfId="252" xr:uid="{00000000-0005-0000-0000-00003E010000}"/>
    <cellStyle name="Título 4" xfId="257" xr:uid="{00000000-0005-0000-0000-00003F010000}"/>
    <cellStyle name="Título 4 2" xfId="258" xr:uid="{00000000-0005-0000-0000-000040010000}"/>
    <cellStyle name="Título 4 3" xfId="259" xr:uid="{00000000-0005-0000-0000-000041010000}"/>
    <cellStyle name="Título 5" xfId="260" xr:uid="{00000000-0005-0000-0000-000042010000}"/>
    <cellStyle name="Título 6" xfId="241" xr:uid="{00000000-0005-0000-0000-000043010000}"/>
    <cellStyle name="Total 2" xfId="262" xr:uid="{00000000-0005-0000-0000-000044010000}"/>
    <cellStyle name="Total 2 2" xfId="263" xr:uid="{00000000-0005-0000-0000-000045010000}"/>
    <cellStyle name="Total 2 2 2" xfId="309" xr:uid="{00000000-0005-0000-0000-000046010000}"/>
    <cellStyle name="Total 2 2 3" xfId="314" xr:uid="{00000000-0005-0000-0000-000047010000}"/>
    <cellStyle name="Total 2 3" xfId="264" xr:uid="{00000000-0005-0000-0000-000048010000}"/>
    <cellStyle name="Total 2 3 2" xfId="310" xr:uid="{00000000-0005-0000-0000-000049010000}"/>
    <cellStyle name="Total 2 3 3" xfId="315" xr:uid="{00000000-0005-0000-0000-00004A010000}"/>
    <cellStyle name="Total 2 4" xfId="308" xr:uid="{00000000-0005-0000-0000-00004B010000}"/>
    <cellStyle name="Total 2 5" xfId="313" xr:uid="{00000000-0005-0000-0000-00004C010000}"/>
    <cellStyle name="Total 3" xfId="265" xr:uid="{00000000-0005-0000-0000-00004D010000}"/>
    <cellStyle name="Total 3 2" xfId="311" xr:uid="{00000000-0005-0000-0000-00004E010000}"/>
    <cellStyle name="Total 3 3" xfId="316" xr:uid="{00000000-0005-0000-0000-00004F010000}"/>
    <cellStyle name="Total 4" xfId="261" xr:uid="{00000000-0005-0000-0000-000050010000}"/>
    <cellStyle name="Total 4 2" xfId="307" xr:uid="{00000000-0005-0000-0000-000051010000}"/>
    <cellStyle name="Total 4 3" xfId="312" xr:uid="{00000000-0005-0000-0000-00005201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F5"/>
      <color rgb="FFF6FEF4"/>
      <color rgb="FFBCF9FA"/>
      <color rgb="FFF3FFF8"/>
      <color rgb="FFFF99CC"/>
      <color rgb="FF00CC99"/>
      <color rgb="FFB2B2B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67"/>
  <sheetViews>
    <sheetView showGridLines="0" tabSelected="1" zoomScaleNormal="100" workbookViewId="0">
      <selection activeCell="L14" sqref="L14"/>
    </sheetView>
  </sheetViews>
  <sheetFormatPr baseColWidth="10" defaultColWidth="11.42578125" defaultRowHeight="15"/>
  <cols>
    <col min="1" max="1" width="11.42578125" style="15"/>
    <col min="2" max="2" width="16.28515625" bestFit="1" customWidth="1"/>
    <col min="3" max="3" width="14.85546875" bestFit="1" customWidth="1"/>
    <col min="4" max="4" width="20.42578125" bestFit="1" customWidth="1"/>
    <col min="5" max="5" width="11.7109375" bestFit="1" customWidth="1"/>
    <col min="6" max="6" width="10.42578125" bestFit="1" customWidth="1"/>
    <col min="7" max="7" width="11" bestFit="1" customWidth="1"/>
    <col min="8" max="8" width="10" customWidth="1"/>
    <col min="9" max="9" width="11" bestFit="1" customWidth="1"/>
    <col min="10" max="10" width="7.7109375" bestFit="1" customWidth="1"/>
    <col min="11" max="13" width="11.42578125" style="15"/>
    <col min="14" max="14" width="14.85546875" style="15" bestFit="1" customWidth="1"/>
    <col min="15" max="17" width="11.42578125" style="15"/>
  </cols>
  <sheetData>
    <row r="1" spans="2:10" s="15" customFormat="1" ht="15.75" thickBot="1"/>
    <row r="2" spans="2:10">
      <c r="B2" s="251" t="s">
        <v>0</v>
      </c>
      <c r="C2" s="252"/>
      <c r="D2" s="252"/>
      <c r="E2" s="252"/>
      <c r="F2" s="252"/>
      <c r="G2" s="252"/>
      <c r="H2" s="252"/>
      <c r="I2" s="252"/>
      <c r="J2" s="253"/>
    </row>
    <row r="3" spans="2:10">
      <c r="B3" s="254"/>
      <c r="C3" s="255"/>
      <c r="D3" s="255"/>
      <c r="E3" s="255"/>
      <c r="F3" s="255"/>
      <c r="G3" s="255"/>
      <c r="H3" s="255"/>
      <c r="I3" s="255"/>
      <c r="J3" s="256"/>
    </row>
    <row r="4" spans="2:10">
      <c r="B4" s="264">
        <v>46210</v>
      </c>
      <c r="C4" s="265"/>
      <c r="D4" s="265"/>
      <c r="E4" s="265"/>
      <c r="F4" s="265"/>
      <c r="G4" s="265"/>
      <c r="H4" s="265"/>
      <c r="I4" s="265"/>
      <c r="J4" s="266"/>
    </row>
    <row r="5" spans="2:10" ht="15.75" thickBot="1">
      <c r="B5" s="261" t="s">
        <v>1</v>
      </c>
      <c r="C5" s="262"/>
      <c r="D5" s="262"/>
      <c r="E5" s="262"/>
      <c r="F5" s="262"/>
      <c r="G5" s="262"/>
      <c r="H5" s="262"/>
      <c r="I5" s="262"/>
      <c r="J5" s="263"/>
    </row>
    <row r="6" spans="2:10" s="15" customFormat="1"/>
    <row r="7" spans="2:10" ht="15.75" thickBot="1">
      <c r="B7" s="15"/>
      <c r="C7" s="15"/>
      <c r="D7" s="15"/>
      <c r="E7" s="15"/>
      <c r="F7" s="15"/>
      <c r="G7" s="15"/>
      <c r="H7" s="15"/>
      <c r="I7" s="15"/>
      <c r="J7" s="15"/>
    </row>
    <row r="8" spans="2:10" ht="15.75" thickBot="1">
      <c r="B8" s="70" t="s">
        <v>2</v>
      </c>
      <c r="C8" s="40" t="s">
        <v>3</v>
      </c>
      <c r="D8" s="42" t="s">
        <v>4</v>
      </c>
      <c r="E8" s="111" t="s">
        <v>5</v>
      </c>
      <c r="F8" s="40" t="s">
        <v>6</v>
      </c>
      <c r="G8" s="40" t="s">
        <v>7</v>
      </c>
      <c r="H8" s="40" t="s">
        <v>8</v>
      </c>
      <c r="I8" s="40" t="s">
        <v>9</v>
      </c>
      <c r="J8" s="42" t="s">
        <v>10</v>
      </c>
    </row>
    <row r="9" spans="2:10" ht="12" customHeight="1">
      <c r="B9" s="258" t="s">
        <v>11</v>
      </c>
      <c r="C9" s="259" t="s">
        <v>12</v>
      </c>
      <c r="D9" s="115" t="s">
        <v>13</v>
      </c>
      <c r="E9" s="112">
        <f>'Artesanal Anchoveta XV-IV'!F7</f>
        <v>45705</v>
      </c>
      <c r="F9" s="87">
        <f>'Artesanal Anchoveta XV-IV'!G7</f>
        <v>0</v>
      </c>
      <c r="G9" s="87">
        <f>'Artesanal Anchoveta XV-IV'!H7</f>
        <v>45705</v>
      </c>
      <c r="H9" s="87">
        <f>'Artesanal Anchoveta XV-IV'!P7</f>
        <v>45705</v>
      </c>
      <c r="I9" s="87">
        <f>'Artesanal Anchoveta XV-IV'!Q7</f>
        <v>0</v>
      </c>
      <c r="J9" s="88">
        <f>'Artesanal Anchoveta XV-IV'!R7</f>
        <v>1</v>
      </c>
    </row>
    <row r="10" spans="2:10" ht="12" customHeight="1">
      <c r="B10" s="247"/>
      <c r="C10" s="260"/>
      <c r="D10" s="116" t="s">
        <v>14</v>
      </c>
      <c r="E10" s="113" t="s">
        <v>15</v>
      </c>
      <c r="F10" s="91" t="s">
        <v>15</v>
      </c>
      <c r="G10" s="91">
        <v>0</v>
      </c>
      <c r="H10" s="91">
        <v>0</v>
      </c>
      <c r="I10" s="91">
        <v>0</v>
      </c>
      <c r="J10" s="89">
        <v>0</v>
      </c>
    </row>
    <row r="11" spans="2:10" ht="12" customHeight="1">
      <c r="B11" s="247"/>
      <c r="C11" s="260"/>
      <c r="D11" s="116" t="s">
        <v>16</v>
      </c>
      <c r="E11" s="113">
        <f>'Artesanal Anchoveta XV-IV'!F8</f>
        <v>13652</v>
      </c>
      <c r="F11" s="91">
        <f>+'Artesanal Anchoveta XV-IV'!G8</f>
        <v>0</v>
      </c>
      <c r="G11" s="91">
        <f>+'Artesanal Anchoveta XV-IV'!H8</f>
        <v>13652</v>
      </c>
      <c r="H11" s="91">
        <f>+'Artesanal Anchoveta XV-IV'!P8</f>
        <v>99.587000000000003</v>
      </c>
      <c r="I11" s="91">
        <f t="shared" ref="I11:I22" si="0">+G11-H11</f>
        <v>13552.413</v>
      </c>
      <c r="J11" s="89">
        <f t="shared" ref="J11:J22" si="1">+H11/G11</f>
        <v>7.2946820978611196E-3</v>
      </c>
    </row>
    <row r="12" spans="2:10" ht="12" customHeight="1">
      <c r="B12" s="247"/>
      <c r="C12" s="260"/>
      <c r="D12" s="116" t="s">
        <v>17</v>
      </c>
      <c r="E12" s="113" t="s">
        <v>15</v>
      </c>
      <c r="F12" s="91" t="s">
        <v>15</v>
      </c>
      <c r="G12" s="91">
        <v>0</v>
      </c>
      <c r="H12" s="91">
        <v>0</v>
      </c>
      <c r="I12" s="91">
        <v>0</v>
      </c>
      <c r="J12" s="89">
        <v>0</v>
      </c>
    </row>
    <row r="13" spans="2:10" ht="12" customHeight="1">
      <c r="B13" s="247"/>
      <c r="C13" s="260"/>
      <c r="D13" s="116" t="s">
        <v>18</v>
      </c>
      <c r="E13" s="113">
        <f>'Artesanal Anchoveta XV-IV'!F9</f>
        <v>5490</v>
      </c>
      <c r="F13" s="91">
        <f>+'Artesanal Anchoveta XV-IV'!G9</f>
        <v>0</v>
      </c>
      <c r="G13" s="91">
        <f>'Artesanal Anchoveta XV-IV'!H9</f>
        <v>5490</v>
      </c>
      <c r="H13" s="91">
        <f>+'Artesanal Anchoveta XV-IV'!P9</f>
        <v>0</v>
      </c>
      <c r="I13" s="91">
        <f t="shared" si="0"/>
        <v>5490</v>
      </c>
      <c r="J13" s="89">
        <f t="shared" si="1"/>
        <v>0</v>
      </c>
    </row>
    <row r="14" spans="2:10" ht="12" customHeight="1">
      <c r="B14" s="247"/>
      <c r="C14" s="260"/>
      <c r="D14" s="116" t="s">
        <v>19</v>
      </c>
      <c r="E14" s="113" t="s">
        <v>15</v>
      </c>
      <c r="F14" s="91" t="s">
        <v>15</v>
      </c>
      <c r="G14" s="91">
        <v>0</v>
      </c>
      <c r="H14" s="91">
        <v>0</v>
      </c>
      <c r="I14" s="91">
        <v>0</v>
      </c>
      <c r="J14" s="89">
        <v>0</v>
      </c>
    </row>
    <row r="15" spans="2:10" ht="12" customHeight="1">
      <c r="B15" s="247"/>
      <c r="C15" s="260"/>
      <c r="D15" s="116" t="s">
        <v>20</v>
      </c>
      <c r="E15" s="113">
        <f>'Artesanal Anchoveta XV-IV'!F10+'Artesanal Anchoveta XV-IV'!F11+'Artesanal Anchoveta XV-IV'!F12+'Artesanal Anchoveta XV-IV'!F13</f>
        <v>2354</v>
      </c>
      <c r="F15" s="91">
        <f>+'Artesanal Anchoveta XV-IV'!G10+'Artesanal Anchoveta XV-IV'!G11+'Artesanal Anchoveta XV-IV'!G12+'Artesanal Anchoveta XV-IV'!G13</f>
        <v>0</v>
      </c>
      <c r="G15" s="91">
        <f>+'Artesanal Anchoveta XV-IV'!H10+'Artesanal Anchoveta XV-IV'!H11+'Artesanal Anchoveta XV-IV'!H12+'Artesanal Anchoveta XV-IV'!H13</f>
        <v>2354</v>
      </c>
      <c r="H15" s="91">
        <f>+'Artesanal Anchoveta XV-IV'!P10+'Artesanal Anchoveta XV-IV'!P11+'Artesanal Anchoveta XV-IV'!P13</f>
        <v>44.756900000000002</v>
      </c>
      <c r="I15" s="91">
        <v>0</v>
      </c>
      <c r="J15" s="89">
        <f t="shared" si="1"/>
        <v>1.9013126593033135E-2</v>
      </c>
    </row>
    <row r="16" spans="2:10" ht="12" customHeight="1">
      <c r="B16" s="247"/>
      <c r="C16" s="260"/>
      <c r="D16" s="116" t="s">
        <v>21</v>
      </c>
      <c r="E16" s="113" t="s">
        <v>15</v>
      </c>
      <c r="F16" s="91" t="s">
        <v>15</v>
      </c>
      <c r="G16" s="91">
        <v>0</v>
      </c>
      <c r="H16" s="91">
        <v>0</v>
      </c>
      <c r="I16" s="91">
        <v>0</v>
      </c>
      <c r="J16" s="89">
        <v>0</v>
      </c>
    </row>
    <row r="17" spans="2:16" ht="12" customHeight="1">
      <c r="B17" s="247"/>
      <c r="C17" s="260"/>
      <c r="D17" s="116" t="s">
        <v>22</v>
      </c>
      <c r="E17" s="113">
        <v>1500</v>
      </c>
      <c r="F17" s="91">
        <f>+'Artesanal Anchoveta XV-IV'!G14</f>
        <v>0</v>
      </c>
      <c r="G17" s="91">
        <f>+'Artesanal Anchoveta XV-IV'!H14</f>
        <v>1500</v>
      </c>
      <c r="H17" s="91">
        <f>+'Artesanal Anchoveta XV-IV'!I14</f>
        <v>0</v>
      </c>
      <c r="I17" s="91">
        <f t="shared" si="0"/>
        <v>1500</v>
      </c>
      <c r="J17" s="89">
        <f t="shared" si="1"/>
        <v>0</v>
      </c>
      <c r="M17" s="24"/>
    </row>
    <row r="18" spans="2:16" ht="12" customHeight="1">
      <c r="B18" s="247"/>
      <c r="C18" s="260" t="s">
        <v>23</v>
      </c>
      <c r="D18" s="116" t="s">
        <v>13</v>
      </c>
      <c r="E18" s="113">
        <f>+'Artesanal S.española XV-IV'!M7</f>
        <v>1205</v>
      </c>
      <c r="F18" s="91">
        <f>+'Artesanal S.española XV-IV'!N7</f>
        <v>0</v>
      </c>
      <c r="G18" s="91">
        <f>+'Artesanal S.española XV-IV'!O7</f>
        <v>1205</v>
      </c>
      <c r="H18" s="91">
        <f>+'Artesanal S.española XV-IV'!P7</f>
        <v>1492.5550000000001</v>
      </c>
      <c r="I18" s="91">
        <f t="shared" si="0"/>
        <v>-287.55500000000006</v>
      </c>
      <c r="J18" s="89">
        <f t="shared" si="1"/>
        <v>1.2386348547717843</v>
      </c>
      <c r="M18" s="24"/>
      <c r="O18" s="24"/>
    </row>
    <row r="19" spans="2:16" ht="12" customHeight="1">
      <c r="B19" s="247"/>
      <c r="C19" s="260"/>
      <c r="D19" s="116" t="s">
        <v>16</v>
      </c>
      <c r="E19" s="113">
        <f>+'Artesanal S.española XV-IV'!M8</f>
        <v>4533</v>
      </c>
      <c r="F19" s="91">
        <f>+'Artesanal S.española XV-IV'!N8</f>
        <v>0</v>
      </c>
      <c r="G19" s="91">
        <f>+'Artesanal S.española XV-IV'!O8</f>
        <v>4533</v>
      </c>
      <c r="H19" s="91">
        <f>+'Artesanal S.española XV-IV'!P8</f>
        <v>2122.3180000000002</v>
      </c>
      <c r="I19" s="91">
        <f t="shared" si="0"/>
        <v>2410.6819999999998</v>
      </c>
      <c r="J19" s="89">
        <f t="shared" si="1"/>
        <v>0.46819280829472759</v>
      </c>
    </row>
    <row r="20" spans="2:16" ht="12" customHeight="1">
      <c r="B20" s="247"/>
      <c r="C20" s="260"/>
      <c r="D20" s="116" t="s">
        <v>18</v>
      </c>
      <c r="E20" s="113">
        <f>+'Artesanal S.española XV-IV'!M9</f>
        <v>1030</v>
      </c>
      <c r="F20" s="91">
        <f>+'Artesanal S.española XV-IV'!N9</f>
        <v>0</v>
      </c>
      <c r="G20" s="91">
        <f>+'Artesanal S.española XV-IV'!O9</f>
        <v>1030</v>
      </c>
      <c r="H20" s="91">
        <f>+'Artesanal S.española XV-IV'!P9</f>
        <v>954.89800000000002</v>
      </c>
      <c r="I20" s="91">
        <f t="shared" si="0"/>
        <v>75.101999999999975</v>
      </c>
      <c r="J20" s="89">
        <f t="shared" si="1"/>
        <v>0.92708543689320388</v>
      </c>
    </row>
    <row r="21" spans="2:16" ht="12" customHeight="1">
      <c r="B21" s="247"/>
      <c r="C21" s="260"/>
      <c r="D21" s="116" t="s">
        <v>20</v>
      </c>
      <c r="E21" s="113">
        <f>+'Artesanal S.española XV-IV'!M10</f>
        <v>1030</v>
      </c>
      <c r="F21" s="91">
        <f>+'Artesanal S.española XV-IV'!N10</f>
        <v>0</v>
      </c>
      <c r="G21" s="91">
        <f>+'Artesanal S.española XV-IV'!O10</f>
        <v>1030</v>
      </c>
      <c r="H21" s="91">
        <f>+'Artesanal S.española XV-IV'!P10</f>
        <v>913.255</v>
      </c>
      <c r="I21" s="91">
        <f t="shared" si="0"/>
        <v>116.745</v>
      </c>
      <c r="J21" s="89">
        <f t="shared" si="1"/>
        <v>0.88665533980582523</v>
      </c>
    </row>
    <row r="22" spans="2:16" ht="12" customHeight="1">
      <c r="B22" s="247"/>
      <c r="C22" s="260"/>
      <c r="D22" s="116" t="s">
        <v>22</v>
      </c>
      <c r="E22" s="113">
        <v>1400</v>
      </c>
      <c r="F22" s="91">
        <f>+'Artesanal S.española XV-IV'!G11</f>
        <v>0</v>
      </c>
      <c r="G22" s="91">
        <f>+'Artesanal S.española XV-IV'!H11</f>
        <v>300</v>
      </c>
      <c r="H22" s="91">
        <f>+'Artesanal S.española XV-IV'!I11</f>
        <v>146.91399999999999</v>
      </c>
      <c r="I22" s="91">
        <f t="shared" si="0"/>
        <v>153.08600000000001</v>
      </c>
      <c r="J22" s="89">
        <f t="shared" si="1"/>
        <v>0.48971333333333328</v>
      </c>
    </row>
    <row r="23" spans="2:16" ht="12" customHeight="1">
      <c r="B23" s="247" t="s">
        <v>24</v>
      </c>
      <c r="C23" s="110" t="s">
        <v>25</v>
      </c>
      <c r="D23" s="249" t="s">
        <v>26</v>
      </c>
      <c r="E23" s="113">
        <v>277</v>
      </c>
      <c r="F23" s="91">
        <v>0</v>
      </c>
      <c r="G23" s="91">
        <f t="shared" ref="G23" si="2">+E23+F23</f>
        <v>277</v>
      </c>
      <c r="H23" s="91">
        <f>'P. Investigación'!H27+'P. Investigación'!H34</f>
        <v>0</v>
      </c>
      <c r="I23" s="91">
        <f>+G23-H23</f>
        <v>277</v>
      </c>
      <c r="J23" s="89">
        <f>+H23/G23</f>
        <v>0</v>
      </c>
      <c r="M23" s="24"/>
      <c r="N23" s="24"/>
      <c r="O23" s="24"/>
      <c r="P23" s="24"/>
    </row>
    <row r="24" spans="2:16" ht="12" customHeight="1">
      <c r="B24" s="247"/>
      <c r="C24" s="110" t="s">
        <v>27</v>
      </c>
      <c r="D24" s="249"/>
      <c r="E24" s="236">
        <v>277</v>
      </c>
      <c r="F24" s="91">
        <v>0</v>
      </c>
      <c r="G24" s="91">
        <f t="shared" ref="G24:G25" si="3">+E24+F24</f>
        <v>277</v>
      </c>
      <c r="H24" s="91">
        <f>'P. Investigación'!H28+'P. Investigación'!H35</f>
        <v>0</v>
      </c>
      <c r="I24" s="91">
        <f>+G24-H24</f>
        <v>277</v>
      </c>
      <c r="J24" s="89">
        <f>+H24/G24</f>
        <v>0</v>
      </c>
      <c r="M24" s="24"/>
      <c r="N24" s="24"/>
      <c r="O24" s="24"/>
      <c r="P24" s="24"/>
    </row>
    <row r="25" spans="2:16" ht="12" customHeight="1">
      <c r="B25" s="72" t="s">
        <v>28</v>
      </c>
      <c r="C25" s="267" t="s">
        <v>12</v>
      </c>
      <c r="D25" s="249"/>
      <c r="E25" s="113">
        <v>0</v>
      </c>
      <c r="F25" s="91">
        <v>0</v>
      </c>
      <c r="G25" s="91">
        <f t="shared" si="3"/>
        <v>0</v>
      </c>
      <c r="H25" s="91">
        <v>0</v>
      </c>
      <c r="I25" s="91">
        <f>+G25-H25</f>
        <v>0</v>
      </c>
      <c r="J25" s="89" t="e">
        <f>+H25/G25</f>
        <v>#DIV/0!</v>
      </c>
      <c r="M25" s="24"/>
      <c r="N25" s="24"/>
      <c r="O25" s="24"/>
      <c r="P25" s="24"/>
    </row>
    <row r="26" spans="2:16" ht="12" customHeight="1">
      <c r="B26" s="72" t="s">
        <v>29</v>
      </c>
      <c r="C26" s="268"/>
      <c r="D26" s="249"/>
      <c r="E26" s="113">
        <v>3995</v>
      </c>
      <c r="F26" s="91">
        <v>0</v>
      </c>
      <c r="G26" s="91">
        <f>+E26+F26</f>
        <v>3995</v>
      </c>
      <c r="H26" s="91">
        <v>0</v>
      </c>
      <c r="I26" s="91">
        <v>0</v>
      </c>
      <c r="J26" s="89">
        <v>0</v>
      </c>
    </row>
    <row r="27" spans="2:16" ht="12" customHeight="1">
      <c r="B27" s="247" t="s">
        <v>30</v>
      </c>
      <c r="C27" s="257" t="s">
        <v>25</v>
      </c>
      <c r="D27" s="117" t="s">
        <v>31</v>
      </c>
      <c r="E27" s="113">
        <f>'CUOTA INDUSTRIAL'!E17</f>
        <v>170669.96399999998</v>
      </c>
      <c r="F27" s="91">
        <f>+'CUOTA INDUSTRIAL'!L17</f>
        <v>-2449.7049999999999</v>
      </c>
      <c r="G27" s="91">
        <f>+'CUOTA INDUSTRIAL'!M17</f>
        <v>168220.25899999996</v>
      </c>
      <c r="H27" s="91">
        <f>+'CUOTA INDUSTRIAL'!N17</f>
        <v>0</v>
      </c>
      <c r="I27" s="91">
        <f>+G27-H27</f>
        <v>168220.25899999996</v>
      </c>
      <c r="J27" s="89">
        <f>+H27/G27</f>
        <v>0</v>
      </c>
      <c r="M27" s="24"/>
      <c r="N27" s="25"/>
      <c r="O27" s="17"/>
      <c r="P27" s="24"/>
    </row>
    <row r="28" spans="2:16" ht="12" customHeight="1">
      <c r="B28" s="247"/>
      <c r="C28" s="257"/>
      <c r="D28" s="117" t="s">
        <v>32</v>
      </c>
      <c r="E28" s="113">
        <f>+'CUOTA INDUSTRIAL'!K35</f>
        <v>7216.0000000000009</v>
      </c>
      <c r="F28" s="91">
        <f>+'CUOTA INDUSTRIAL'!L35</f>
        <v>0</v>
      </c>
      <c r="G28" s="91">
        <f>+'CUOTA INDUSTRIAL'!M35</f>
        <v>7216.0000000000009</v>
      </c>
      <c r="H28" s="91">
        <f>+'CUOTA INDUSTRIAL'!N35</f>
        <v>0</v>
      </c>
      <c r="I28" s="91">
        <f>+G28-H28</f>
        <v>7216.0000000000009</v>
      </c>
      <c r="J28" s="89">
        <f>+H28/G28</f>
        <v>0</v>
      </c>
    </row>
    <row r="29" spans="2:16" ht="12" customHeight="1">
      <c r="B29" s="247"/>
      <c r="C29" s="257" t="s">
        <v>33</v>
      </c>
      <c r="D29" s="117" t="s">
        <v>31</v>
      </c>
      <c r="E29" s="113">
        <f>'CUOTA INDUSTRIAL'!E46</f>
        <v>4410.0020000000004</v>
      </c>
      <c r="F29" s="91">
        <f>+'CUOTA INDUSTRIAL'!L46</f>
        <v>-1950</v>
      </c>
      <c r="G29" s="91">
        <f>+'CUOTA INDUSTRIAL'!M46</f>
        <v>2460.0020000000004</v>
      </c>
      <c r="H29" s="91">
        <f>+'CUOTA INDUSTRIAL'!N46</f>
        <v>0</v>
      </c>
      <c r="I29" s="91">
        <f>+G29-H29</f>
        <v>2460.0020000000004</v>
      </c>
      <c r="J29" s="89">
        <f>+H29/G29</f>
        <v>0</v>
      </c>
      <c r="N29" s="24"/>
      <c r="O29" s="24"/>
    </row>
    <row r="30" spans="2:16" ht="12" customHeight="1">
      <c r="B30" s="247"/>
      <c r="C30" s="257"/>
      <c r="D30" s="117" t="s">
        <v>32</v>
      </c>
      <c r="E30" s="113">
        <f>+'CUOTA INDUSTRIAL'!K59</f>
        <v>2215.0009999999997</v>
      </c>
      <c r="F30" s="91">
        <f>+'CUOTA INDUSTRIAL'!L59</f>
        <v>-1682</v>
      </c>
      <c r="G30" s="91">
        <f>+'CUOTA INDUSTRIAL'!M59</f>
        <v>533.00099999999975</v>
      </c>
      <c r="H30" s="91">
        <f>+'CUOTA INDUSTRIAL'!N59</f>
        <v>0</v>
      </c>
      <c r="I30" s="91">
        <f>+G30-H30</f>
        <v>533.00099999999975</v>
      </c>
      <c r="J30" s="89">
        <f>+H30/G30</f>
        <v>0</v>
      </c>
      <c r="M30" s="24"/>
    </row>
    <row r="31" spans="2:16" ht="12" customHeight="1">
      <c r="B31" s="247" t="s">
        <v>34</v>
      </c>
      <c r="C31" s="86" t="s">
        <v>12</v>
      </c>
      <c r="D31" s="249" t="s">
        <v>35</v>
      </c>
      <c r="E31" s="113">
        <v>0</v>
      </c>
      <c r="F31" s="91">
        <f>'Cesiones ind y colec'!R5</f>
        <v>2449.7049999999999</v>
      </c>
      <c r="G31" s="91">
        <f>'Cesiones ind y colec'!R5</f>
        <v>2449.7049999999999</v>
      </c>
      <c r="H31" s="91">
        <f>'Cesiones ind y colec'!S5</f>
        <v>0</v>
      </c>
      <c r="I31" s="91">
        <f>'Cesiones ind y colec'!T5</f>
        <v>2449.7049999999999</v>
      </c>
      <c r="J31" s="89">
        <v>0</v>
      </c>
      <c r="M31" s="25"/>
    </row>
    <row r="32" spans="2:16" ht="12" customHeight="1">
      <c r="B32" s="248"/>
      <c r="C32" s="140" t="s">
        <v>23</v>
      </c>
      <c r="D32" s="250"/>
      <c r="E32" s="114">
        <v>0</v>
      </c>
      <c r="F32" s="141">
        <f>'Cesiones ind y colec'!R6</f>
        <v>3632</v>
      </c>
      <c r="G32" s="141">
        <f>'Cesiones ind y colec'!R6</f>
        <v>3632</v>
      </c>
      <c r="H32" s="142">
        <f>'Cesiones ind y colec'!S6</f>
        <v>2015.5219999999999</v>
      </c>
      <c r="I32" s="141">
        <f>'Cesiones ind y colec'!T6</f>
        <v>1616.4780000000001</v>
      </c>
      <c r="J32" s="90">
        <v>0</v>
      </c>
    </row>
    <row r="33" spans="2:14" ht="12" customHeight="1" thickBot="1">
      <c r="B33" s="79" t="s">
        <v>36</v>
      </c>
      <c r="C33" s="140" t="s">
        <v>12</v>
      </c>
      <c r="D33" s="118" t="s">
        <v>26</v>
      </c>
      <c r="E33" s="114">
        <f>CRUC!D10</f>
        <v>148715</v>
      </c>
      <c r="F33" s="141">
        <f>CRUC!E10</f>
        <v>0</v>
      </c>
      <c r="G33" s="141">
        <f>CRUC!F10</f>
        <v>148715</v>
      </c>
      <c r="H33" s="141">
        <f>CRUC!G10</f>
        <v>1900.38</v>
      </c>
      <c r="I33" s="141">
        <f>CRUC!H10</f>
        <v>146814.62</v>
      </c>
      <c r="J33" s="90">
        <f>CRUC!I10</f>
        <v>1.2778670611572472E-2</v>
      </c>
    </row>
    <row r="34" spans="2:14" s="15" customFormat="1" ht="12" customHeight="1" thickBot="1">
      <c r="B34" s="241" t="s">
        <v>37</v>
      </c>
      <c r="C34" s="242"/>
      <c r="D34" s="243"/>
      <c r="E34" s="121">
        <f>SUM(E9:E17,E23,E25,E26,E27,E28,E31,E33)</f>
        <v>399573.96399999998</v>
      </c>
      <c r="F34" s="122">
        <f>SUM(F9:F17,F23,F25,F26,F27,F28,F31)</f>
        <v>0</v>
      </c>
      <c r="G34" s="122">
        <f>E34+F34</f>
        <v>399573.96399999998</v>
      </c>
      <c r="H34" s="136">
        <f>SUM(H9:H17,H23,H25,H26,H27,H28,H31)</f>
        <v>45849.3439</v>
      </c>
      <c r="I34" s="122">
        <f>G34-H34</f>
        <v>353724.6201</v>
      </c>
      <c r="J34" s="123">
        <f>H34/G34</f>
        <v>0.11474557411353259</v>
      </c>
      <c r="N34" s="27"/>
    </row>
    <row r="35" spans="2:14" s="15" customFormat="1" ht="12" customHeight="1" thickBot="1">
      <c r="B35" s="244" t="s">
        <v>38</v>
      </c>
      <c r="C35" s="245"/>
      <c r="D35" s="246"/>
      <c r="E35" s="119">
        <f>SUM(E18:E22,E24,E29:E30,E32)</f>
        <v>16100.003000000001</v>
      </c>
      <c r="F35" s="78">
        <f>SUM(F18:F22,F24,F29:F30,F32)</f>
        <v>0</v>
      </c>
      <c r="G35" s="78">
        <f>E35+F35</f>
        <v>16100.003000000001</v>
      </c>
      <c r="H35" s="137">
        <f>SUM(H18:H22,H24,H29:H30,H32)</f>
        <v>7645.4620000000004</v>
      </c>
      <c r="I35" s="78">
        <f>G35-H35</f>
        <v>8454.5410000000011</v>
      </c>
      <c r="J35" s="120">
        <f>H35/G35</f>
        <v>0.4748733276633551</v>
      </c>
      <c r="L35" s="26"/>
    </row>
    <row r="36" spans="2:14" s="15" customFormat="1"/>
    <row r="37" spans="2:14" s="15" customFormat="1"/>
    <row r="38" spans="2:14" s="15" customFormat="1"/>
    <row r="39" spans="2:14" s="15" customFormat="1"/>
    <row r="40" spans="2:14" s="15" customFormat="1"/>
    <row r="41" spans="2:14" s="15" customFormat="1"/>
    <row r="42" spans="2:14" s="15" customFormat="1"/>
    <row r="43" spans="2:14" s="15" customFormat="1"/>
    <row r="44" spans="2:14" s="15" customFormat="1"/>
    <row r="45" spans="2:14" s="15" customFormat="1"/>
    <row r="46" spans="2:14" s="15" customFormat="1"/>
    <row r="47" spans="2:14" s="15" customFormat="1"/>
    <row r="48" spans="2:14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</sheetData>
  <mergeCells count="16">
    <mergeCell ref="B34:D34"/>
    <mergeCell ref="B35:D35"/>
    <mergeCell ref="B31:B32"/>
    <mergeCell ref="D31:D32"/>
    <mergeCell ref="B2:J3"/>
    <mergeCell ref="C29:C30"/>
    <mergeCell ref="B27:B30"/>
    <mergeCell ref="B9:B22"/>
    <mergeCell ref="D23:D26"/>
    <mergeCell ref="C9:C17"/>
    <mergeCell ref="C18:C22"/>
    <mergeCell ref="C27:C28"/>
    <mergeCell ref="B5:J5"/>
    <mergeCell ref="B4:J4"/>
    <mergeCell ref="B23:B24"/>
    <mergeCell ref="C25:C26"/>
  </mergeCells>
  <conditionalFormatting sqref="J9:J3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{AE35FE12-155C-417A-BB2A-2FC71964CE2A}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5FE12-155C-417A-BB2A-2FC71964CE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B1:R21"/>
  <sheetViews>
    <sheetView showGridLines="0" zoomScaleNormal="100" workbookViewId="0">
      <selection activeCell="I21" sqref="I21"/>
    </sheetView>
  </sheetViews>
  <sheetFormatPr baseColWidth="10" defaultColWidth="11.42578125" defaultRowHeight="15"/>
  <cols>
    <col min="1" max="1" width="2.85546875" style="3" customWidth="1"/>
    <col min="2" max="2" width="15.140625" style="3" bestFit="1" customWidth="1"/>
    <col min="3" max="3" width="20.5703125" style="3" bestFit="1" customWidth="1"/>
    <col min="4" max="4" width="41.42578125" style="3" bestFit="1" customWidth="1"/>
    <col min="5" max="5" width="8.85546875" style="3" bestFit="1" customWidth="1"/>
    <col min="6" max="6" width="11.140625" style="3" bestFit="1" customWidth="1"/>
    <col min="7" max="7" width="10" style="3" bestFit="1" customWidth="1"/>
    <col min="8" max="8" width="10.7109375" style="3" bestFit="1" customWidth="1"/>
    <col min="9" max="9" width="9.85546875" style="3" bestFit="1" customWidth="1"/>
    <col min="10" max="10" width="8.28515625" style="3" bestFit="1" customWidth="1"/>
    <col min="11" max="11" width="8.7109375" style="3" bestFit="1" customWidth="1"/>
    <col min="12" max="12" width="9" style="3" bestFit="1" customWidth="1"/>
    <col min="13" max="13" width="11.140625" style="3" bestFit="1" customWidth="1"/>
    <col min="14" max="14" width="10" style="3" bestFit="1" customWidth="1"/>
    <col min="15" max="15" width="10.7109375" style="3" bestFit="1" customWidth="1"/>
    <col min="16" max="18" width="8.7109375" style="3" bestFit="1" customWidth="1"/>
    <col min="19" max="16384" width="11.42578125" style="3"/>
  </cols>
  <sheetData>
    <row r="1" spans="2:18" ht="15.75" thickBot="1"/>
    <row r="2" spans="2:18">
      <c r="B2" s="251" t="s">
        <v>39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3"/>
    </row>
    <row r="3" spans="2:18">
      <c r="B3" s="254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</row>
    <row r="4" spans="2:18" ht="15.75" thickBot="1">
      <c r="B4" s="269">
        <f>Resumen!B4</f>
        <v>46210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1"/>
    </row>
    <row r="5" spans="2:18" ht="15.75" thickBot="1">
      <c r="M5" s="272" t="s">
        <v>40</v>
      </c>
      <c r="N5" s="272"/>
      <c r="O5" s="272"/>
      <c r="P5" s="272"/>
      <c r="Q5" s="272"/>
      <c r="R5" s="272"/>
    </row>
    <row r="6" spans="2:18" ht="24.75" thickBot="1">
      <c r="B6" s="39" t="s">
        <v>41</v>
      </c>
      <c r="C6" s="40" t="s">
        <v>42</v>
      </c>
      <c r="D6" s="40" t="s">
        <v>43</v>
      </c>
      <c r="E6" s="40" t="s">
        <v>44</v>
      </c>
      <c r="F6" s="41" t="s">
        <v>45</v>
      </c>
      <c r="G6" s="40" t="s">
        <v>6</v>
      </c>
      <c r="H6" s="41" t="s">
        <v>46</v>
      </c>
      <c r="I6" s="41" t="s">
        <v>47</v>
      </c>
      <c r="J6" s="41" t="s">
        <v>48</v>
      </c>
      <c r="K6" s="40" t="s">
        <v>49</v>
      </c>
      <c r="L6" s="40" t="s">
        <v>50</v>
      </c>
      <c r="M6" s="41" t="s">
        <v>45</v>
      </c>
      <c r="N6" s="40" t="s">
        <v>6</v>
      </c>
      <c r="O6" s="40" t="s">
        <v>46</v>
      </c>
      <c r="P6" s="40" t="s">
        <v>8</v>
      </c>
      <c r="Q6" s="40" t="s">
        <v>9</v>
      </c>
      <c r="R6" s="42" t="s">
        <v>49</v>
      </c>
    </row>
    <row r="7" spans="2:18" ht="12" customHeight="1">
      <c r="B7" s="274" t="s">
        <v>51</v>
      </c>
      <c r="C7" s="37" t="s">
        <v>52</v>
      </c>
      <c r="D7" s="32" t="s">
        <v>53</v>
      </c>
      <c r="E7" s="33" t="s">
        <v>54</v>
      </c>
      <c r="F7" s="87">
        <v>45705</v>
      </c>
      <c r="G7" s="71"/>
      <c r="H7" s="71">
        <f>+F7+G7</f>
        <v>45705</v>
      </c>
      <c r="I7" s="358">
        <v>45705</v>
      </c>
      <c r="J7" s="71">
        <f>H7-I7</f>
        <v>0</v>
      </c>
      <c r="K7" s="125">
        <f>I7/H7</f>
        <v>1</v>
      </c>
      <c r="L7" s="38">
        <v>46184</v>
      </c>
      <c r="M7" s="34">
        <f>+F7</f>
        <v>45705</v>
      </c>
      <c r="N7" s="34">
        <f>+G7</f>
        <v>0</v>
      </c>
      <c r="O7" s="34">
        <f>+M7+N7</f>
        <v>45705</v>
      </c>
      <c r="P7" s="34">
        <f t="shared" ref="P7:P14" si="0">+I7</f>
        <v>45705</v>
      </c>
      <c r="Q7" s="34">
        <f>+O7-P7</f>
        <v>0</v>
      </c>
      <c r="R7" s="35">
        <f t="shared" ref="R7:R14" si="1">+P7/O7</f>
        <v>1</v>
      </c>
    </row>
    <row r="8" spans="2:18" ht="12" customHeight="1">
      <c r="B8" s="275"/>
      <c r="C8" s="143" t="s">
        <v>55</v>
      </c>
      <c r="D8" s="144" t="s">
        <v>56</v>
      </c>
      <c r="E8" s="145" t="s">
        <v>54</v>
      </c>
      <c r="F8" s="91">
        <v>13652</v>
      </c>
      <c r="G8" s="146"/>
      <c r="H8" s="71">
        <f t="shared" ref="H8:H14" si="2">+F8+G8</f>
        <v>13652</v>
      </c>
      <c r="I8" s="239">
        <v>99.587000000000003</v>
      </c>
      <c r="J8" s="71">
        <f t="shared" ref="J8:J14" si="3">H8-I8</f>
        <v>13552.413</v>
      </c>
      <c r="K8" s="147">
        <f t="shared" ref="K8:K15" si="4">+I8/H8</f>
        <v>7.2946820978611196E-3</v>
      </c>
      <c r="L8" s="148" t="s">
        <v>15</v>
      </c>
      <c r="M8" s="149">
        <f>F8</f>
        <v>13652</v>
      </c>
      <c r="N8" s="149">
        <f t="shared" ref="N8:N14" si="5">+G8</f>
        <v>0</v>
      </c>
      <c r="O8" s="34">
        <f t="shared" ref="O8:O14" si="6">+M8+N8</f>
        <v>13652</v>
      </c>
      <c r="P8" s="149">
        <f t="shared" si="0"/>
        <v>99.587000000000003</v>
      </c>
      <c r="Q8" s="34">
        <f t="shared" ref="Q8:Q14" si="7">+O8-P8</f>
        <v>13552.413</v>
      </c>
      <c r="R8" s="35">
        <f t="shared" si="1"/>
        <v>7.2946820978611196E-3</v>
      </c>
    </row>
    <row r="9" spans="2:18" ht="12" customHeight="1">
      <c r="B9" s="275"/>
      <c r="C9" s="150" t="s">
        <v>57</v>
      </c>
      <c r="D9" s="144" t="s">
        <v>58</v>
      </c>
      <c r="E9" s="145" t="s">
        <v>54</v>
      </c>
      <c r="F9" s="91">
        <v>5490</v>
      </c>
      <c r="G9" s="146"/>
      <c r="H9" s="71">
        <f t="shared" si="2"/>
        <v>5490</v>
      </c>
      <c r="I9" s="151"/>
      <c r="J9" s="71">
        <f t="shared" si="3"/>
        <v>5490</v>
      </c>
      <c r="K9" s="147">
        <f t="shared" si="4"/>
        <v>0</v>
      </c>
      <c r="L9" s="148" t="s">
        <v>15</v>
      </c>
      <c r="M9" s="149">
        <f t="shared" ref="M9:M14" si="8">+F9</f>
        <v>5490</v>
      </c>
      <c r="N9" s="149">
        <f t="shared" si="5"/>
        <v>0</v>
      </c>
      <c r="O9" s="34">
        <f t="shared" si="6"/>
        <v>5490</v>
      </c>
      <c r="P9" s="149">
        <f t="shared" si="0"/>
        <v>0</v>
      </c>
      <c r="Q9" s="34">
        <f t="shared" si="7"/>
        <v>5490</v>
      </c>
      <c r="R9" s="35">
        <f t="shared" si="1"/>
        <v>0</v>
      </c>
    </row>
    <row r="10" spans="2:18" ht="12" customHeight="1">
      <c r="B10" s="275"/>
      <c r="C10" s="273" t="s">
        <v>59</v>
      </c>
      <c r="D10" s="152" t="s">
        <v>60</v>
      </c>
      <c r="E10" s="145" t="s">
        <v>54</v>
      </c>
      <c r="F10" s="153">
        <v>71.471999999999994</v>
      </c>
      <c r="G10" s="146"/>
      <c r="H10" s="71">
        <f t="shared" si="2"/>
        <v>71.471999999999994</v>
      </c>
      <c r="I10" s="151"/>
      <c r="J10" s="71">
        <f t="shared" si="3"/>
        <v>71.471999999999994</v>
      </c>
      <c r="K10" s="147">
        <f t="shared" si="4"/>
        <v>0</v>
      </c>
      <c r="L10" s="148" t="s">
        <v>15</v>
      </c>
      <c r="M10" s="149">
        <f t="shared" si="8"/>
        <v>71.471999999999994</v>
      </c>
      <c r="N10" s="149">
        <f t="shared" si="5"/>
        <v>0</v>
      </c>
      <c r="O10" s="34">
        <f t="shared" si="6"/>
        <v>71.471999999999994</v>
      </c>
      <c r="P10" s="149">
        <f t="shared" si="0"/>
        <v>0</v>
      </c>
      <c r="Q10" s="34">
        <f t="shared" si="7"/>
        <v>71.471999999999994</v>
      </c>
      <c r="R10" s="35">
        <f t="shared" si="1"/>
        <v>0</v>
      </c>
    </row>
    <row r="11" spans="2:18" ht="12" customHeight="1">
      <c r="B11" s="275"/>
      <c r="C11" s="273"/>
      <c r="D11" s="152" t="s">
        <v>61</v>
      </c>
      <c r="E11" s="145" t="s">
        <v>54</v>
      </c>
      <c r="F11" s="153">
        <v>1838.4860000000001</v>
      </c>
      <c r="G11" s="146"/>
      <c r="H11" s="71">
        <f t="shared" si="2"/>
        <v>1838.4860000000001</v>
      </c>
      <c r="I11" s="239">
        <v>44.756900000000002</v>
      </c>
      <c r="J11" s="71">
        <f t="shared" si="3"/>
        <v>1793.7291</v>
      </c>
      <c r="K11" s="147">
        <f t="shared" si="4"/>
        <v>2.4344433408793973E-2</v>
      </c>
      <c r="L11" s="148" t="s">
        <v>15</v>
      </c>
      <c r="M11" s="149">
        <f t="shared" si="8"/>
        <v>1838.4860000000001</v>
      </c>
      <c r="N11" s="149">
        <f t="shared" si="5"/>
        <v>0</v>
      </c>
      <c r="O11" s="34">
        <f t="shared" si="6"/>
        <v>1838.4860000000001</v>
      </c>
      <c r="P11" s="149">
        <f t="shared" si="0"/>
        <v>44.756900000000002</v>
      </c>
      <c r="Q11" s="34">
        <f t="shared" si="7"/>
        <v>1793.7291</v>
      </c>
      <c r="R11" s="35">
        <f t="shared" si="1"/>
        <v>2.4344433408793973E-2</v>
      </c>
    </row>
    <row r="12" spans="2:18" ht="12" customHeight="1">
      <c r="B12" s="275"/>
      <c r="C12" s="273"/>
      <c r="D12" s="152" t="s">
        <v>62</v>
      </c>
      <c r="E12" s="145" t="s">
        <v>54</v>
      </c>
      <c r="F12" s="153">
        <v>280.971</v>
      </c>
      <c r="G12" s="146"/>
      <c r="H12" s="71">
        <f t="shared" si="2"/>
        <v>280.971</v>
      </c>
      <c r="I12" s="151"/>
      <c r="J12" s="71">
        <f t="shared" si="3"/>
        <v>280.971</v>
      </c>
      <c r="K12" s="147">
        <f t="shared" si="4"/>
        <v>0</v>
      </c>
      <c r="L12" s="148" t="s">
        <v>15</v>
      </c>
      <c r="M12" s="149">
        <f t="shared" si="8"/>
        <v>280.971</v>
      </c>
      <c r="N12" s="149">
        <f t="shared" si="5"/>
        <v>0</v>
      </c>
      <c r="O12" s="34">
        <f t="shared" si="6"/>
        <v>280.971</v>
      </c>
      <c r="P12" s="149">
        <f t="shared" si="0"/>
        <v>0</v>
      </c>
      <c r="Q12" s="34">
        <f t="shared" si="7"/>
        <v>280.971</v>
      </c>
      <c r="R12" s="35">
        <f t="shared" si="1"/>
        <v>0</v>
      </c>
    </row>
    <row r="13" spans="2:18" ht="12" customHeight="1">
      <c r="B13" s="275"/>
      <c r="C13" s="273"/>
      <c r="D13" s="152" t="s">
        <v>63</v>
      </c>
      <c r="E13" s="145" t="s">
        <v>54</v>
      </c>
      <c r="F13" s="153">
        <v>163.071</v>
      </c>
      <c r="G13" s="146"/>
      <c r="H13" s="71">
        <f t="shared" si="2"/>
        <v>163.071</v>
      </c>
      <c r="I13" s="151"/>
      <c r="J13" s="71">
        <f t="shared" si="3"/>
        <v>163.071</v>
      </c>
      <c r="K13" s="147">
        <f t="shared" si="4"/>
        <v>0</v>
      </c>
      <c r="L13" s="148" t="s">
        <v>15</v>
      </c>
      <c r="M13" s="149">
        <f t="shared" si="8"/>
        <v>163.071</v>
      </c>
      <c r="N13" s="149">
        <f t="shared" si="5"/>
        <v>0</v>
      </c>
      <c r="O13" s="34">
        <f t="shared" si="6"/>
        <v>163.071</v>
      </c>
      <c r="P13" s="149">
        <f t="shared" si="0"/>
        <v>0</v>
      </c>
      <c r="Q13" s="34">
        <f t="shared" si="7"/>
        <v>163.071</v>
      </c>
      <c r="R13" s="35">
        <f t="shared" si="1"/>
        <v>0</v>
      </c>
    </row>
    <row r="14" spans="2:18" ht="12" customHeight="1">
      <c r="B14" s="275"/>
      <c r="C14" s="154" t="s">
        <v>64</v>
      </c>
      <c r="D14" s="144" t="s">
        <v>35</v>
      </c>
      <c r="E14" s="145" t="s">
        <v>54</v>
      </c>
      <c r="F14" s="146">
        <v>1500</v>
      </c>
      <c r="G14" s="146"/>
      <c r="H14" s="71">
        <f t="shared" si="2"/>
        <v>1500</v>
      </c>
      <c r="I14" s="153"/>
      <c r="J14" s="71">
        <f t="shared" si="3"/>
        <v>1500</v>
      </c>
      <c r="K14" s="147">
        <f t="shared" si="4"/>
        <v>0</v>
      </c>
      <c r="L14" s="148" t="s">
        <v>15</v>
      </c>
      <c r="M14" s="149">
        <f t="shared" si="8"/>
        <v>1500</v>
      </c>
      <c r="N14" s="149">
        <f t="shared" si="5"/>
        <v>0</v>
      </c>
      <c r="O14" s="34">
        <f t="shared" si="6"/>
        <v>1500</v>
      </c>
      <c r="P14" s="149">
        <f t="shared" si="0"/>
        <v>0</v>
      </c>
      <c r="Q14" s="34">
        <f t="shared" si="7"/>
        <v>1500</v>
      </c>
      <c r="R14" s="35">
        <f t="shared" si="1"/>
        <v>0</v>
      </c>
    </row>
    <row r="15" spans="2:18" ht="12" customHeight="1" thickBot="1">
      <c r="B15" s="276"/>
      <c r="C15" s="277" t="s">
        <v>65</v>
      </c>
      <c r="D15" s="277"/>
      <c r="E15" s="36" t="s">
        <v>54</v>
      </c>
      <c r="F15" s="74">
        <f>SUM(F7:F14)</f>
        <v>68701</v>
      </c>
      <c r="G15" s="74">
        <f>SUM(G7:G14)</f>
        <v>0</v>
      </c>
      <c r="H15" s="74">
        <f>F15+G15</f>
        <v>68701</v>
      </c>
      <c r="I15" s="74">
        <f>SUM(I7:I14)</f>
        <v>45849.3439</v>
      </c>
      <c r="J15" s="74">
        <f>+H15-I15</f>
        <v>22851.6561</v>
      </c>
      <c r="K15" s="124">
        <f t="shared" si="4"/>
        <v>0.66737520414550011</v>
      </c>
      <c r="L15" s="73" t="s">
        <v>15</v>
      </c>
      <c r="M15" s="92">
        <f>SUM(M7:M14)</f>
        <v>68701</v>
      </c>
      <c r="N15" s="75">
        <f>SUM(N7:N14)</f>
        <v>0</v>
      </c>
      <c r="O15" s="74">
        <f>M15+N15</f>
        <v>68701</v>
      </c>
      <c r="P15" s="75">
        <f>SUM(P7:P14)</f>
        <v>45849.3439</v>
      </c>
      <c r="Q15" s="76">
        <f>+O15-P15</f>
        <v>22851.6561</v>
      </c>
      <c r="R15" s="77">
        <f>+P15/O15</f>
        <v>0.66737520414550011</v>
      </c>
    </row>
    <row r="17" spans="4:10">
      <c r="J17" s="31"/>
    </row>
    <row r="18" spans="4:10">
      <c r="D18" s="13"/>
    </row>
    <row r="19" spans="4:10">
      <c r="D19" s="13"/>
    </row>
    <row r="20" spans="4:10">
      <c r="D20" s="13"/>
    </row>
    <row r="21" spans="4:10">
      <c r="D21" s="13"/>
    </row>
  </sheetData>
  <mergeCells count="6">
    <mergeCell ref="B2:R3"/>
    <mergeCell ref="B4:R4"/>
    <mergeCell ref="M5:R5"/>
    <mergeCell ref="C10:C13"/>
    <mergeCell ref="B7:B15"/>
    <mergeCell ref="C15:D15"/>
  </mergeCells>
  <conditionalFormatting sqref="J7:J14">
    <cfRule type="cellIs" dxfId="5" priority="3" operator="lessThan">
      <formula>0</formula>
    </cfRule>
  </conditionalFormatting>
  <conditionalFormatting sqref="K7:K14 R7:R14">
    <cfRule type="cellIs" dxfId="4" priority="2" operator="greaterThan">
      <formula>0.9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13"/>
  <sheetViews>
    <sheetView showGridLines="0" topLeftCell="C1" zoomScale="110" zoomScaleNormal="110" workbookViewId="0">
      <selection activeCell="I11" sqref="I11"/>
    </sheetView>
  </sheetViews>
  <sheetFormatPr baseColWidth="10" defaultColWidth="11.42578125" defaultRowHeight="15"/>
  <cols>
    <col min="1" max="1" width="3" customWidth="1"/>
    <col min="2" max="2" width="21.42578125" customWidth="1"/>
    <col min="3" max="3" width="21.7109375" bestFit="1" customWidth="1"/>
    <col min="4" max="4" width="14.42578125" bestFit="1" customWidth="1"/>
    <col min="5" max="5" width="7.140625" bestFit="1" customWidth="1"/>
    <col min="6" max="6" width="11.7109375" bestFit="1" customWidth="1"/>
    <col min="7" max="7" width="10.5703125" bestFit="1" customWidth="1"/>
    <col min="8" max="8" width="11.140625" bestFit="1" customWidth="1"/>
    <col min="9" max="9" width="8" bestFit="1" customWidth="1"/>
    <col min="10" max="10" width="8.28515625" bestFit="1" customWidth="1"/>
    <col min="11" max="11" width="9.28515625" bestFit="1" customWidth="1"/>
    <col min="12" max="12" width="9.7109375" bestFit="1" customWidth="1"/>
    <col min="13" max="13" width="11.7109375" bestFit="1" customWidth="1"/>
    <col min="14" max="14" width="10.42578125" bestFit="1" customWidth="1"/>
    <col min="15" max="15" width="11.28515625" bestFit="1" customWidth="1"/>
    <col min="16" max="16" width="7.85546875" bestFit="1" customWidth="1"/>
    <col min="17" max="17" width="8" bestFit="1" customWidth="1"/>
    <col min="18" max="18" width="11" bestFit="1" customWidth="1"/>
  </cols>
  <sheetData>
    <row r="1" spans="2:21" ht="15.75" thickBot="1"/>
    <row r="2" spans="2:21">
      <c r="B2" s="278" t="s">
        <v>66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80"/>
    </row>
    <row r="3" spans="2:21"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3"/>
    </row>
    <row r="4" spans="2:21" ht="15.75" thickBot="1">
      <c r="B4" s="284">
        <f>Resumen!B4</f>
        <v>46210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6"/>
    </row>
    <row r="5" spans="2:21">
      <c r="M5" s="287" t="s">
        <v>40</v>
      </c>
      <c r="N5" s="287"/>
      <c r="O5" s="287"/>
      <c r="P5" s="287"/>
      <c r="Q5" s="287"/>
      <c r="R5" s="287"/>
    </row>
    <row r="6" spans="2:21" ht="22.15" customHeight="1">
      <c r="B6" s="155" t="s">
        <v>41</v>
      </c>
      <c r="C6" s="156" t="s">
        <v>42</v>
      </c>
      <c r="D6" s="156" t="s">
        <v>43</v>
      </c>
      <c r="E6" s="156" t="s">
        <v>44</v>
      </c>
      <c r="F6" s="155" t="s">
        <v>45</v>
      </c>
      <c r="G6" s="156" t="s">
        <v>6</v>
      </c>
      <c r="H6" s="155" t="s">
        <v>46</v>
      </c>
      <c r="I6" s="156" t="s">
        <v>8</v>
      </c>
      <c r="J6" s="156" t="s">
        <v>9</v>
      </c>
      <c r="K6" s="156" t="s">
        <v>49</v>
      </c>
      <c r="L6" s="156" t="s">
        <v>50</v>
      </c>
      <c r="M6" s="155" t="s">
        <v>45</v>
      </c>
      <c r="N6" s="156" t="s">
        <v>6</v>
      </c>
      <c r="O6" s="155" t="s">
        <v>46</v>
      </c>
      <c r="P6" s="156" t="s">
        <v>8</v>
      </c>
      <c r="Q6" s="156" t="s">
        <v>9</v>
      </c>
      <c r="R6" s="155" t="s">
        <v>49</v>
      </c>
    </row>
    <row r="7" spans="2:21" ht="12" customHeight="1">
      <c r="B7" s="288" t="s">
        <v>67</v>
      </c>
      <c r="C7" s="84" t="s">
        <v>68</v>
      </c>
      <c r="D7" s="157" t="s">
        <v>53</v>
      </c>
      <c r="E7" s="145" t="s">
        <v>54</v>
      </c>
      <c r="F7" s="146">
        <v>1205</v>
      </c>
      <c r="G7" s="146"/>
      <c r="H7" s="146">
        <f t="shared" ref="H7:H11" si="0">+F7+G7</f>
        <v>1205</v>
      </c>
      <c r="I7" s="237">
        <v>1492.5550000000001</v>
      </c>
      <c r="J7" s="158">
        <f t="shared" ref="J7:J12" si="1">+H7-I7</f>
        <v>-287.55500000000006</v>
      </c>
      <c r="K7" s="147">
        <f t="shared" ref="K7:K9" si="2">+I7/H7</f>
        <v>1.2386348547717843</v>
      </c>
      <c r="L7" s="159">
        <v>46052</v>
      </c>
      <c r="M7" s="146">
        <f t="shared" ref="M7:N11" si="3">+F7</f>
        <v>1205</v>
      </c>
      <c r="N7" s="146">
        <f t="shared" si="3"/>
        <v>0</v>
      </c>
      <c r="O7" s="146">
        <f>+M7+N7</f>
        <v>1205</v>
      </c>
      <c r="P7" s="146">
        <f t="shared" ref="P7:P11" si="4">+I7</f>
        <v>1492.5550000000001</v>
      </c>
      <c r="Q7" s="153">
        <f t="shared" ref="Q7:Q12" si="5">+O7-P7</f>
        <v>-287.55500000000006</v>
      </c>
      <c r="R7" s="147">
        <f t="shared" ref="R7:R11" si="6">+P7/O7</f>
        <v>1.2386348547717843</v>
      </c>
    </row>
    <row r="8" spans="2:21" ht="12" customHeight="1">
      <c r="B8" s="288"/>
      <c r="C8" s="85" t="s">
        <v>69</v>
      </c>
      <c r="D8" s="160" t="s">
        <v>56</v>
      </c>
      <c r="E8" s="161" t="s">
        <v>54</v>
      </c>
      <c r="F8" s="162">
        <v>4533</v>
      </c>
      <c r="G8" s="162"/>
      <c r="H8" s="162">
        <f>+F8+G8</f>
        <v>4533</v>
      </c>
      <c r="I8" s="237">
        <v>2122.3180000000002</v>
      </c>
      <c r="J8" s="158">
        <f>+H8-I8</f>
        <v>2410.6819999999998</v>
      </c>
      <c r="K8" s="147">
        <f>+I8/H8</f>
        <v>0.46819280829472759</v>
      </c>
      <c r="L8" s="159" t="s">
        <v>15</v>
      </c>
      <c r="M8" s="146">
        <f t="shared" si="3"/>
        <v>4533</v>
      </c>
      <c r="N8" s="146">
        <f t="shared" si="3"/>
        <v>0</v>
      </c>
      <c r="O8" s="146">
        <f>+M8+N8</f>
        <v>4533</v>
      </c>
      <c r="P8" s="146">
        <f t="shared" si="4"/>
        <v>2122.3180000000002</v>
      </c>
      <c r="Q8" s="153">
        <f t="shared" si="5"/>
        <v>2410.6819999999998</v>
      </c>
      <c r="R8" s="147">
        <f t="shared" si="6"/>
        <v>0.46819280829472759</v>
      </c>
    </row>
    <row r="9" spans="2:21" ht="12" customHeight="1">
      <c r="B9" s="288"/>
      <c r="C9" s="163" t="s">
        <v>70</v>
      </c>
      <c r="D9" s="164" t="s">
        <v>58</v>
      </c>
      <c r="E9" s="164" t="s">
        <v>54</v>
      </c>
      <c r="F9" s="165">
        <v>1030</v>
      </c>
      <c r="G9" s="166"/>
      <c r="H9" s="162">
        <f t="shared" si="0"/>
        <v>1030</v>
      </c>
      <c r="I9" s="237">
        <v>954.89800000000002</v>
      </c>
      <c r="J9" s="167">
        <f t="shared" si="1"/>
        <v>75.101999999999975</v>
      </c>
      <c r="K9" s="168">
        <f t="shared" si="2"/>
        <v>0.92708543689320388</v>
      </c>
      <c r="L9" s="159" t="s">
        <v>15</v>
      </c>
      <c r="M9" s="162">
        <f t="shared" si="3"/>
        <v>1030</v>
      </c>
      <c r="N9" s="162">
        <f t="shared" si="3"/>
        <v>0</v>
      </c>
      <c r="O9" s="162">
        <f>+M9+N9</f>
        <v>1030</v>
      </c>
      <c r="P9" s="162">
        <f t="shared" si="4"/>
        <v>954.89800000000002</v>
      </c>
      <c r="Q9" s="169">
        <f t="shared" si="5"/>
        <v>75.101999999999975</v>
      </c>
      <c r="R9" s="168">
        <f t="shared" si="6"/>
        <v>0.92708543689320388</v>
      </c>
      <c r="S9" s="11"/>
    </row>
    <row r="10" spans="2:21" ht="12" customHeight="1">
      <c r="B10" s="288"/>
      <c r="C10" s="163" t="s">
        <v>59</v>
      </c>
      <c r="D10" s="164" t="s">
        <v>71</v>
      </c>
      <c r="E10" s="164" t="s">
        <v>54</v>
      </c>
      <c r="F10" s="165">
        <v>1030</v>
      </c>
      <c r="G10" s="166"/>
      <c r="H10" s="162">
        <f t="shared" si="0"/>
        <v>1030</v>
      </c>
      <c r="I10" s="237">
        <v>913.255</v>
      </c>
      <c r="J10" s="167">
        <f t="shared" si="1"/>
        <v>116.745</v>
      </c>
      <c r="K10" s="168">
        <f>+I10/H10</f>
        <v>0.88665533980582523</v>
      </c>
      <c r="L10" s="159" t="s">
        <v>15</v>
      </c>
      <c r="M10" s="162">
        <f t="shared" si="3"/>
        <v>1030</v>
      </c>
      <c r="N10" s="162">
        <f t="shared" si="3"/>
        <v>0</v>
      </c>
      <c r="O10" s="162">
        <f>+M10+N10</f>
        <v>1030</v>
      </c>
      <c r="P10" s="162">
        <f t="shared" si="4"/>
        <v>913.255</v>
      </c>
      <c r="Q10" s="169">
        <f t="shared" si="5"/>
        <v>116.745</v>
      </c>
      <c r="R10" s="168">
        <f>+P10/O10</f>
        <v>0.88665533980582523</v>
      </c>
      <c r="S10" s="11"/>
    </row>
    <row r="11" spans="2:21" ht="12" customHeight="1">
      <c r="B11" s="288"/>
      <c r="C11" s="83" t="s">
        <v>64</v>
      </c>
      <c r="D11" s="145" t="s">
        <v>32</v>
      </c>
      <c r="E11" s="145" t="s">
        <v>54</v>
      </c>
      <c r="F11" s="146">
        <v>300</v>
      </c>
      <c r="G11" s="146"/>
      <c r="H11" s="162">
        <f t="shared" si="0"/>
        <v>300</v>
      </c>
      <c r="I11" s="238">
        <f>142.971+0.831+3.112</f>
        <v>146.91399999999999</v>
      </c>
      <c r="J11" s="167">
        <f t="shared" si="1"/>
        <v>153.08600000000001</v>
      </c>
      <c r="K11" s="168">
        <f>+I11/H11</f>
        <v>0.48971333333333328</v>
      </c>
      <c r="L11" s="159" t="s">
        <v>15</v>
      </c>
      <c r="M11" s="162">
        <f t="shared" si="3"/>
        <v>300</v>
      </c>
      <c r="N11" s="162">
        <f t="shared" si="3"/>
        <v>0</v>
      </c>
      <c r="O11" s="162">
        <f>+M11+N11</f>
        <v>300</v>
      </c>
      <c r="P11" s="162">
        <f t="shared" si="4"/>
        <v>146.91399999999999</v>
      </c>
      <c r="Q11" s="169">
        <f t="shared" si="5"/>
        <v>153.08600000000001</v>
      </c>
      <c r="R11" s="168">
        <f t="shared" si="6"/>
        <v>0.48971333333333328</v>
      </c>
      <c r="S11" s="11"/>
      <c r="U11" s="30"/>
    </row>
    <row r="12" spans="2:21" ht="12" customHeight="1">
      <c r="B12" s="288"/>
      <c r="C12" s="289" t="s">
        <v>72</v>
      </c>
      <c r="D12" s="290"/>
      <c r="E12" s="154" t="s">
        <v>54</v>
      </c>
      <c r="F12" s="170">
        <f>SUM(F7:F11)</f>
        <v>8098</v>
      </c>
      <c r="G12" s="170">
        <f>SUM(G7:G11)</f>
        <v>0</v>
      </c>
      <c r="H12" s="170">
        <f>F12+G12</f>
        <v>8098</v>
      </c>
      <c r="I12" s="171">
        <f>SUM(I7:I11)</f>
        <v>5629.9400000000005</v>
      </c>
      <c r="J12" s="172">
        <f t="shared" si="1"/>
        <v>2468.0599999999995</v>
      </c>
      <c r="K12" s="173">
        <f>+I12/H12</f>
        <v>0.6952259817238825</v>
      </c>
      <c r="L12" s="172" t="s">
        <v>15</v>
      </c>
      <c r="M12" s="170">
        <f>SUM(M7:M11)</f>
        <v>8098</v>
      </c>
      <c r="N12" s="170">
        <f>SUM(N7:N11)</f>
        <v>0</v>
      </c>
      <c r="O12" s="170">
        <f>M12+N12</f>
        <v>8098</v>
      </c>
      <c r="P12" s="170">
        <f>SUM(P7:P11)</f>
        <v>5629.9400000000005</v>
      </c>
      <c r="Q12" s="170">
        <f t="shared" si="5"/>
        <v>2468.0599999999995</v>
      </c>
      <c r="R12" s="173">
        <f>P12/O12</f>
        <v>0.6952259817238825</v>
      </c>
    </row>
    <row r="13" spans="2:21">
      <c r="I13" s="30"/>
    </row>
  </sheetData>
  <mergeCells count="5">
    <mergeCell ref="B2:R3"/>
    <mergeCell ref="B4:R4"/>
    <mergeCell ref="M5:R5"/>
    <mergeCell ref="B7:B12"/>
    <mergeCell ref="C12:D12"/>
  </mergeCells>
  <conditionalFormatting sqref="J7:J11">
    <cfRule type="cellIs" dxfId="3" priority="4" operator="lessThan">
      <formula>0</formula>
    </cfRule>
  </conditionalFormatting>
  <conditionalFormatting sqref="K7:K11">
    <cfRule type="cellIs" dxfId="2" priority="13" operator="greaterThan">
      <formula>0.9</formula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{128B9E4B-E454-489B-B4F0-3D07480DAE8F}</x14:id>
        </ext>
      </extLst>
    </cfRule>
  </conditionalFormatting>
  <conditionalFormatting sqref="R7:R11">
    <cfRule type="cellIs" dxfId="1" priority="2" operator="greaterThan">
      <formula>0.9</formula>
    </cfRule>
  </conditionalFormatting>
  <pageMargins left="0.7" right="0.7" top="0.75" bottom="0.75" header="0.3" footer="0.3"/>
  <pageSetup orientation="portrait" r:id="rId1"/>
  <ignoredErrors>
    <ignoredError sqref="O7 O9:O11 O8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8B9E4B-E454-489B-B4F0-3D07480DAE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0"/>
  <sheetViews>
    <sheetView showGridLines="0" workbookViewId="0">
      <selection activeCell="G15" sqref="G15"/>
    </sheetView>
  </sheetViews>
  <sheetFormatPr baseColWidth="10" defaultColWidth="11.42578125" defaultRowHeight="15"/>
  <cols>
    <col min="2" max="2" width="20.5703125" bestFit="1" customWidth="1"/>
    <col min="5" max="5" width="16.28515625" customWidth="1"/>
  </cols>
  <sheetData>
    <row r="1" spans="2:10" ht="14.45" customHeight="1" thickBot="1"/>
    <row r="2" spans="2:10">
      <c r="B2" s="291" t="s">
        <v>73</v>
      </c>
      <c r="C2" s="292"/>
      <c r="D2" s="292"/>
      <c r="E2" s="292"/>
      <c r="F2" s="292"/>
      <c r="G2" s="292"/>
      <c r="H2" s="292"/>
      <c r="I2" s="292"/>
      <c r="J2" s="293"/>
    </row>
    <row r="3" spans="2:10" ht="15.75" thickBot="1">
      <c r="B3" s="294">
        <f>Resumen!B4</f>
        <v>46210</v>
      </c>
      <c r="C3" s="295"/>
      <c r="D3" s="295"/>
      <c r="E3" s="295"/>
      <c r="F3" s="295"/>
      <c r="G3" s="295"/>
      <c r="H3" s="295"/>
      <c r="I3" s="295"/>
      <c r="J3" s="296"/>
    </row>
    <row r="5" spans="2:10" ht="30"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80" t="s">
        <v>79</v>
      </c>
      <c r="H5" s="80" t="s">
        <v>80</v>
      </c>
      <c r="I5" s="80" t="s">
        <v>81</v>
      </c>
      <c r="J5" s="80" t="s">
        <v>82</v>
      </c>
    </row>
    <row r="6" spans="2:10">
      <c r="B6" s="83" t="s">
        <v>52</v>
      </c>
      <c r="C6" s="81" t="s">
        <v>83</v>
      </c>
      <c r="D6" s="82">
        <v>99459</v>
      </c>
      <c r="E6" s="81"/>
      <c r="F6" s="82">
        <f>D6+E6</f>
        <v>99459</v>
      </c>
      <c r="G6" s="81">
        <v>1900.38</v>
      </c>
      <c r="H6" s="82">
        <f>F6-G6</f>
        <v>97558.62</v>
      </c>
      <c r="I6" s="93">
        <f>G6/F6</f>
        <v>1.9107169788556089E-2</v>
      </c>
      <c r="J6" s="81" t="s">
        <v>15</v>
      </c>
    </row>
    <row r="7" spans="2:10">
      <c r="B7" s="84" t="s">
        <v>55</v>
      </c>
      <c r="C7" s="81" t="s">
        <v>83</v>
      </c>
      <c r="D7" s="82">
        <v>27109</v>
      </c>
      <c r="E7" s="81"/>
      <c r="F7" s="82">
        <f t="shared" ref="F7:F10" si="0">D7+E7</f>
        <v>27109</v>
      </c>
      <c r="G7" s="81"/>
      <c r="H7" s="82">
        <f t="shared" ref="H7:H10" si="1">F7-G7</f>
        <v>27109</v>
      </c>
      <c r="I7" s="93">
        <f t="shared" ref="I7:I10" si="2">G7/F7</f>
        <v>0</v>
      </c>
      <c r="J7" s="81" t="s">
        <v>15</v>
      </c>
    </row>
    <row r="8" spans="2:10">
      <c r="B8" s="85" t="s">
        <v>57</v>
      </c>
      <c r="C8" s="81" t="s">
        <v>83</v>
      </c>
      <c r="D8" s="82">
        <v>9353</v>
      </c>
      <c r="E8" s="81"/>
      <c r="F8" s="82">
        <f t="shared" si="0"/>
        <v>9353</v>
      </c>
      <c r="G8" s="81"/>
      <c r="H8" s="82">
        <f t="shared" si="1"/>
        <v>9353</v>
      </c>
      <c r="I8" s="93">
        <f t="shared" si="2"/>
        <v>0</v>
      </c>
      <c r="J8" s="81" t="s">
        <v>15</v>
      </c>
    </row>
    <row r="9" spans="2:10">
      <c r="B9" s="85" t="s">
        <v>59</v>
      </c>
      <c r="C9" s="81" t="s">
        <v>83</v>
      </c>
      <c r="D9" s="82">
        <v>12794</v>
      </c>
      <c r="E9" s="81"/>
      <c r="F9" s="82">
        <f t="shared" si="0"/>
        <v>12794</v>
      </c>
      <c r="G9" s="81"/>
      <c r="H9" s="82">
        <f t="shared" si="1"/>
        <v>12794</v>
      </c>
      <c r="I9" s="93">
        <f t="shared" si="2"/>
        <v>0</v>
      </c>
      <c r="J9" s="81" t="s">
        <v>15</v>
      </c>
    </row>
    <row r="10" spans="2:10">
      <c r="B10" s="81" t="s">
        <v>84</v>
      </c>
      <c r="C10" s="81" t="s">
        <v>83</v>
      </c>
      <c r="D10" s="82">
        <f>SUM(D6:D9)</f>
        <v>148715</v>
      </c>
      <c r="E10" s="82">
        <f>SUM(E6:E9)</f>
        <v>0</v>
      </c>
      <c r="F10" s="82">
        <f t="shared" si="0"/>
        <v>148715</v>
      </c>
      <c r="G10" s="81">
        <f>SUM(G6:G9)</f>
        <v>1900.38</v>
      </c>
      <c r="H10" s="82">
        <f t="shared" si="1"/>
        <v>146814.62</v>
      </c>
      <c r="I10" s="93">
        <f t="shared" si="2"/>
        <v>1.2778670611572472E-2</v>
      </c>
      <c r="J10" s="81" t="s">
        <v>15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:U91"/>
  <sheetViews>
    <sheetView showGridLines="0" zoomScaleNormal="100" workbookViewId="0">
      <pane ySplit="4" topLeftCell="A5" activePane="bottomLeft" state="frozen"/>
      <selection activeCell="K47" sqref="K47:K54"/>
      <selection pane="bottomLeft" activeCell="M21" sqref="M21:M22"/>
    </sheetView>
  </sheetViews>
  <sheetFormatPr baseColWidth="10" defaultColWidth="11.42578125" defaultRowHeight="15"/>
  <cols>
    <col min="1" max="1" width="4.5703125" style="3" customWidth="1"/>
    <col min="2" max="2" width="9.140625" style="3" bestFit="1" customWidth="1"/>
    <col min="3" max="3" width="13.140625" style="3" customWidth="1"/>
    <col min="4" max="4" width="14.85546875" style="3" customWidth="1"/>
    <col min="5" max="5" width="11.42578125" style="3"/>
    <col min="6" max="6" width="27.7109375" style="3" customWidth="1"/>
    <col min="7" max="7" width="11.42578125" style="3"/>
    <col min="8" max="10" width="10.5703125" style="3" bestFit="1" customWidth="1"/>
    <col min="11" max="11" width="12.7109375" style="3" bestFit="1" customWidth="1"/>
    <col min="12" max="13" width="10" style="3" customWidth="1"/>
    <col min="14" max="14" width="13.42578125" style="3" customWidth="1"/>
    <col min="15" max="15" width="13.5703125" style="3" customWidth="1"/>
    <col min="16" max="16" width="13.5703125" style="133" customWidth="1"/>
    <col min="17" max="18" width="17.7109375" style="3" customWidth="1"/>
    <col min="19" max="19" width="13" style="3" bestFit="1" customWidth="1"/>
    <col min="20" max="20" width="15" style="3" bestFit="1" customWidth="1"/>
    <col min="21" max="21" width="16.42578125" style="3" bestFit="1" customWidth="1"/>
    <col min="22" max="22" width="31.5703125" style="3" bestFit="1" customWidth="1"/>
    <col min="23" max="16384" width="11.42578125" style="3"/>
  </cols>
  <sheetData>
    <row r="1" spans="2:21">
      <c r="H1" s="310" t="s">
        <v>85</v>
      </c>
      <c r="I1" s="310"/>
      <c r="J1" s="310"/>
      <c r="K1" s="310"/>
      <c r="L1" s="312" t="s">
        <v>86</v>
      </c>
      <c r="M1" s="312"/>
      <c r="N1" s="312"/>
      <c r="O1" s="312"/>
      <c r="P1" s="132"/>
    </row>
    <row r="2" spans="2:21">
      <c r="H2" s="311">
        <f>Resumen!B4</f>
        <v>46210</v>
      </c>
      <c r="I2" s="311"/>
      <c r="J2" s="311"/>
      <c r="K2" s="311"/>
      <c r="L2" s="313">
        <f>H2</f>
        <v>46210</v>
      </c>
      <c r="M2" s="312"/>
      <c r="N2" s="312"/>
      <c r="O2" s="312"/>
      <c r="P2" s="132"/>
    </row>
    <row r="3" spans="2:21" ht="15.75" thickBot="1">
      <c r="H3" s="174" t="s">
        <v>87</v>
      </c>
      <c r="I3" s="174" t="s">
        <v>79</v>
      </c>
      <c r="J3" s="174" t="s">
        <v>80</v>
      </c>
      <c r="K3" s="174" t="s">
        <v>81</v>
      </c>
      <c r="L3" s="175" t="s">
        <v>87</v>
      </c>
      <c r="M3" s="175" t="s">
        <v>79</v>
      </c>
      <c r="N3" s="175" t="s">
        <v>80</v>
      </c>
      <c r="O3" s="131" t="s">
        <v>81</v>
      </c>
      <c r="P3" s="132"/>
      <c r="Q3" s="308" t="s">
        <v>88</v>
      </c>
      <c r="R3" s="308"/>
      <c r="S3" s="309"/>
      <c r="T3" s="309"/>
      <c r="U3" s="309"/>
    </row>
    <row r="4" spans="2:21" ht="30">
      <c r="B4" s="23" t="s">
        <v>89</v>
      </c>
      <c r="C4" s="21" t="s">
        <v>90</v>
      </c>
      <c r="D4" s="22" t="s">
        <v>91</v>
      </c>
      <c r="E4" s="21" t="s">
        <v>92</v>
      </c>
      <c r="F4" s="21" t="s">
        <v>93</v>
      </c>
      <c r="G4" s="29" t="s">
        <v>94</v>
      </c>
      <c r="H4" s="174" t="s">
        <v>12</v>
      </c>
      <c r="I4" s="174" t="s">
        <v>12</v>
      </c>
      <c r="J4" s="174" t="s">
        <v>12</v>
      </c>
      <c r="K4" s="174" t="s">
        <v>12</v>
      </c>
      <c r="L4" s="176" t="s">
        <v>23</v>
      </c>
      <c r="M4" s="176" t="s">
        <v>23</v>
      </c>
      <c r="N4" s="176" t="s">
        <v>23</v>
      </c>
      <c r="O4" s="176" t="s">
        <v>23</v>
      </c>
      <c r="P4" s="135"/>
      <c r="Q4" s="177" t="s">
        <v>87</v>
      </c>
      <c r="R4" s="178" t="s">
        <v>87</v>
      </c>
      <c r="S4" s="178" t="s">
        <v>79</v>
      </c>
      <c r="T4" s="178" t="s">
        <v>80</v>
      </c>
      <c r="U4" s="178" t="s">
        <v>81</v>
      </c>
    </row>
    <row r="5" spans="2:21">
      <c r="B5" s="320" t="s">
        <v>95</v>
      </c>
      <c r="C5" s="323">
        <v>46077</v>
      </c>
      <c r="D5" s="320">
        <v>487</v>
      </c>
      <c r="E5" s="320" t="s">
        <v>96</v>
      </c>
      <c r="F5" s="129" t="s">
        <v>97</v>
      </c>
      <c r="G5" s="179">
        <v>699329</v>
      </c>
      <c r="H5" s="320">
        <v>1520.5070000000001</v>
      </c>
      <c r="I5" s="127"/>
      <c r="J5" s="326">
        <f>H5-(I5+I6+I7+I8+I9+I10+I11+I12)</f>
        <v>1520.5070000000001</v>
      </c>
      <c r="K5" s="329">
        <f>(I5+I6+I7+I8+I9+I10+I11+I12)/H5</f>
        <v>0</v>
      </c>
      <c r="L5" s="128"/>
      <c r="M5" s="128"/>
      <c r="N5" s="128"/>
      <c r="O5" s="128"/>
      <c r="P5" s="12"/>
      <c r="Q5" s="180" t="s">
        <v>12</v>
      </c>
      <c r="R5" s="126">
        <f>SUM(H5:H20)</f>
        <v>2449.7049999999999</v>
      </c>
      <c r="S5" s="181">
        <f>SUM(I5:I29)</f>
        <v>0</v>
      </c>
      <c r="T5" s="181">
        <f>R5-S5</f>
        <v>2449.7049999999999</v>
      </c>
      <c r="U5" s="182">
        <f>S5/R5</f>
        <v>0</v>
      </c>
    </row>
    <row r="6" spans="2:21">
      <c r="B6" s="321"/>
      <c r="C6" s="324"/>
      <c r="D6" s="321"/>
      <c r="E6" s="321"/>
      <c r="F6" s="129" t="s">
        <v>98</v>
      </c>
      <c r="G6" s="179">
        <v>703788</v>
      </c>
      <c r="H6" s="321"/>
      <c r="I6" s="127"/>
      <c r="J6" s="327"/>
      <c r="K6" s="330"/>
      <c r="L6" s="128"/>
      <c r="M6" s="128"/>
      <c r="N6" s="128"/>
      <c r="O6" s="128"/>
      <c r="P6" s="12"/>
      <c r="Q6" s="180" t="s">
        <v>99</v>
      </c>
      <c r="R6" s="126">
        <f>SUM(L5:L91)</f>
        <v>3632</v>
      </c>
      <c r="S6" s="126">
        <f>SUM(M5:M91)</f>
        <v>2015.5219999999999</v>
      </c>
      <c r="T6" s="126">
        <f>R6-S6</f>
        <v>1616.4780000000001</v>
      </c>
      <c r="U6" s="182">
        <f>S6/R6</f>
        <v>0.55493447136563878</v>
      </c>
    </row>
    <row r="7" spans="2:21">
      <c r="B7" s="321"/>
      <c r="C7" s="324"/>
      <c r="D7" s="321"/>
      <c r="E7" s="321"/>
      <c r="F7" s="129" t="s">
        <v>100</v>
      </c>
      <c r="G7" s="183">
        <v>702802</v>
      </c>
      <c r="H7" s="321"/>
      <c r="I7" s="127"/>
      <c r="J7" s="327"/>
      <c r="K7" s="330"/>
      <c r="L7" s="128"/>
      <c r="M7" s="128"/>
      <c r="N7" s="128"/>
      <c r="O7" s="128"/>
      <c r="P7" s="12"/>
      <c r="Q7" s="180" t="s">
        <v>101</v>
      </c>
      <c r="R7" s="126">
        <f>R5+R6</f>
        <v>6081.7049999999999</v>
      </c>
      <c r="S7" s="181">
        <f>S5+S6</f>
        <v>2015.5219999999999</v>
      </c>
      <c r="T7" s="181">
        <f>T5+T6</f>
        <v>4066.183</v>
      </c>
      <c r="U7" s="182">
        <f>S7/R7</f>
        <v>0.33140739315701762</v>
      </c>
    </row>
    <row r="8" spans="2:21">
      <c r="B8" s="321"/>
      <c r="C8" s="324"/>
      <c r="D8" s="321"/>
      <c r="E8" s="321"/>
      <c r="F8" s="129" t="s">
        <v>102</v>
      </c>
      <c r="G8" s="129">
        <v>701438</v>
      </c>
      <c r="H8" s="321"/>
      <c r="I8" s="127"/>
      <c r="J8" s="327"/>
      <c r="K8" s="330"/>
      <c r="L8" s="128"/>
      <c r="M8" s="128"/>
      <c r="N8" s="128"/>
      <c r="O8" s="128"/>
      <c r="P8" s="12"/>
      <c r="Q8" s="126"/>
      <c r="R8" s="126"/>
      <c r="S8" s="126"/>
      <c r="T8" s="126"/>
      <c r="U8" s="126"/>
    </row>
    <row r="9" spans="2:21">
      <c r="B9" s="321"/>
      <c r="C9" s="324"/>
      <c r="D9" s="321"/>
      <c r="E9" s="321"/>
      <c r="F9" s="129" t="s">
        <v>103</v>
      </c>
      <c r="G9" s="129">
        <v>705126</v>
      </c>
      <c r="H9" s="321"/>
      <c r="I9" s="127"/>
      <c r="J9" s="327"/>
      <c r="K9" s="330"/>
      <c r="L9" s="128"/>
      <c r="M9" s="128"/>
      <c r="N9" s="128"/>
      <c r="O9" s="128"/>
      <c r="P9" s="12"/>
      <c r="Q9" s="126"/>
      <c r="R9" s="126"/>
      <c r="S9" s="126"/>
      <c r="T9" s="126"/>
      <c r="U9" s="126"/>
    </row>
    <row r="10" spans="2:21">
      <c r="B10" s="321"/>
      <c r="C10" s="324"/>
      <c r="D10" s="321"/>
      <c r="E10" s="321"/>
      <c r="F10" s="129" t="s">
        <v>104</v>
      </c>
      <c r="G10" s="129">
        <v>703243</v>
      </c>
      <c r="H10" s="321"/>
      <c r="I10" s="127"/>
      <c r="J10" s="327"/>
      <c r="K10" s="330"/>
      <c r="L10" s="128"/>
      <c r="M10" s="128"/>
      <c r="N10" s="128"/>
      <c r="O10" s="128"/>
      <c r="P10" s="12"/>
      <c r="Q10" s="126"/>
      <c r="R10" s="126"/>
      <c r="S10" s="126"/>
      <c r="T10" s="126"/>
      <c r="U10" s="126"/>
    </row>
    <row r="11" spans="2:21">
      <c r="B11" s="321"/>
      <c r="C11" s="324"/>
      <c r="D11" s="321"/>
      <c r="E11" s="321"/>
      <c r="F11" s="129" t="s">
        <v>105</v>
      </c>
      <c r="G11" s="129">
        <v>704033</v>
      </c>
      <c r="H11" s="321"/>
      <c r="I11" s="127"/>
      <c r="J11" s="327"/>
      <c r="K11" s="330"/>
      <c r="L11" s="128"/>
      <c r="M11" s="128"/>
      <c r="N11" s="128"/>
      <c r="O11" s="128"/>
      <c r="P11" s="12"/>
      <c r="Q11" s="126"/>
      <c r="R11" s="126"/>
      <c r="S11" s="126"/>
      <c r="T11" s="126"/>
      <c r="U11" s="126"/>
    </row>
    <row r="12" spans="2:21">
      <c r="B12" s="322"/>
      <c r="C12" s="325"/>
      <c r="D12" s="322"/>
      <c r="E12" s="322"/>
      <c r="F12" s="129" t="s">
        <v>106</v>
      </c>
      <c r="G12" s="129">
        <v>700798</v>
      </c>
      <c r="H12" s="322"/>
      <c r="I12" s="127"/>
      <c r="J12" s="328"/>
      <c r="K12" s="331"/>
      <c r="L12" s="128"/>
      <c r="M12" s="128"/>
      <c r="N12" s="128"/>
      <c r="O12" s="128"/>
      <c r="P12" s="12"/>
      <c r="Q12" s="126"/>
      <c r="R12" s="126"/>
      <c r="S12" s="126"/>
      <c r="T12" s="126"/>
      <c r="U12" s="126"/>
    </row>
    <row r="13" spans="2:21">
      <c r="B13" s="332" t="s">
        <v>95</v>
      </c>
      <c r="C13" s="335">
        <v>46077</v>
      </c>
      <c r="D13" s="332">
        <v>489</v>
      </c>
      <c r="E13" s="332" t="s">
        <v>96</v>
      </c>
      <c r="F13" s="184" t="s">
        <v>97</v>
      </c>
      <c r="G13" s="184">
        <v>699329</v>
      </c>
      <c r="H13" s="332">
        <v>929.19799999999998</v>
      </c>
      <c r="I13" s="130"/>
      <c r="J13" s="314">
        <f>H13-(I13+I14+I15+I16+I17+I18+I19+I20)</f>
        <v>929.19799999999998</v>
      </c>
      <c r="K13" s="317">
        <f>(I13+I14+I15+I16+I17+I18+I19+I20)/H13</f>
        <v>0</v>
      </c>
      <c r="L13" s="184"/>
      <c r="M13" s="184"/>
      <c r="N13" s="184"/>
      <c r="O13" s="184"/>
      <c r="P13" s="3"/>
      <c r="Q13" s="126"/>
      <c r="R13" s="126"/>
      <c r="S13" s="126"/>
      <c r="T13" s="126"/>
      <c r="U13" s="126"/>
    </row>
    <row r="14" spans="2:21">
      <c r="B14" s="333"/>
      <c r="C14" s="336"/>
      <c r="D14" s="333"/>
      <c r="E14" s="333"/>
      <c r="F14" s="184" t="s">
        <v>98</v>
      </c>
      <c r="G14" s="184">
        <v>703788</v>
      </c>
      <c r="H14" s="333"/>
      <c r="I14" s="130"/>
      <c r="J14" s="315"/>
      <c r="K14" s="318"/>
      <c r="L14" s="184"/>
      <c r="M14" s="184"/>
      <c r="N14" s="184"/>
      <c r="O14" s="184"/>
      <c r="P14" s="3"/>
      <c r="Q14" s="126"/>
      <c r="R14" s="126"/>
      <c r="S14" s="126"/>
      <c r="T14" s="126"/>
      <c r="U14" s="126"/>
    </row>
    <row r="15" spans="2:21">
      <c r="B15" s="333"/>
      <c r="C15" s="336"/>
      <c r="D15" s="333"/>
      <c r="E15" s="333"/>
      <c r="F15" s="184" t="s">
        <v>100</v>
      </c>
      <c r="G15" s="184">
        <v>702802</v>
      </c>
      <c r="H15" s="333"/>
      <c r="I15" s="130"/>
      <c r="J15" s="315"/>
      <c r="K15" s="318"/>
      <c r="L15" s="184"/>
      <c r="M15" s="184"/>
      <c r="N15" s="184"/>
      <c r="O15" s="184"/>
      <c r="P15" s="3"/>
      <c r="Q15" s="126"/>
      <c r="R15" s="126"/>
      <c r="S15" s="126"/>
      <c r="T15" s="126"/>
      <c r="U15" s="126"/>
    </row>
    <row r="16" spans="2:21">
      <c r="B16" s="333"/>
      <c r="C16" s="336"/>
      <c r="D16" s="333"/>
      <c r="E16" s="333"/>
      <c r="F16" s="184" t="s">
        <v>102</v>
      </c>
      <c r="G16" s="184">
        <v>701438</v>
      </c>
      <c r="H16" s="333"/>
      <c r="I16" s="130"/>
      <c r="J16" s="315"/>
      <c r="K16" s="318"/>
      <c r="L16" s="184"/>
      <c r="M16" s="184"/>
      <c r="N16" s="184"/>
      <c r="O16" s="184"/>
      <c r="P16" s="3"/>
      <c r="Q16" s="126"/>
      <c r="R16" s="126"/>
      <c r="S16" s="126"/>
      <c r="T16" s="126"/>
      <c r="U16" s="126"/>
    </row>
    <row r="17" spans="2:21">
      <c r="B17" s="333"/>
      <c r="C17" s="336"/>
      <c r="D17" s="333"/>
      <c r="E17" s="333"/>
      <c r="F17" s="184" t="s">
        <v>103</v>
      </c>
      <c r="G17" s="184">
        <v>705126</v>
      </c>
      <c r="H17" s="333"/>
      <c r="I17" s="130"/>
      <c r="J17" s="315"/>
      <c r="K17" s="318"/>
      <c r="L17" s="184"/>
      <c r="M17" s="184"/>
      <c r="N17" s="184"/>
      <c r="O17" s="184"/>
      <c r="P17" s="3"/>
      <c r="Q17" s="126"/>
      <c r="R17" s="126"/>
      <c r="S17" s="126"/>
      <c r="T17" s="126"/>
      <c r="U17" s="126"/>
    </row>
    <row r="18" spans="2:21">
      <c r="B18" s="333"/>
      <c r="C18" s="336"/>
      <c r="D18" s="333"/>
      <c r="E18" s="333"/>
      <c r="F18" s="184" t="s">
        <v>104</v>
      </c>
      <c r="G18" s="184">
        <v>703243</v>
      </c>
      <c r="H18" s="333"/>
      <c r="I18" s="130"/>
      <c r="J18" s="315"/>
      <c r="K18" s="318"/>
      <c r="L18" s="184"/>
      <c r="M18" s="184"/>
      <c r="N18" s="184"/>
      <c r="O18" s="184"/>
      <c r="P18" s="3"/>
    </row>
    <row r="19" spans="2:21">
      <c r="B19" s="333"/>
      <c r="C19" s="336"/>
      <c r="D19" s="333"/>
      <c r="E19" s="333"/>
      <c r="F19" s="184" t="s">
        <v>105</v>
      </c>
      <c r="G19" s="184">
        <v>704033</v>
      </c>
      <c r="H19" s="333"/>
      <c r="I19" s="130"/>
      <c r="J19" s="315"/>
      <c r="K19" s="318"/>
      <c r="L19" s="184"/>
      <c r="M19" s="184"/>
      <c r="N19" s="184"/>
      <c r="O19" s="184"/>
      <c r="P19" s="3"/>
    </row>
    <row r="20" spans="2:21">
      <c r="B20" s="334"/>
      <c r="C20" s="337"/>
      <c r="D20" s="334"/>
      <c r="E20" s="334"/>
      <c r="F20" s="184" t="s">
        <v>106</v>
      </c>
      <c r="G20" s="184">
        <v>700798</v>
      </c>
      <c r="H20" s="334"/>
      <c r="I20" s="130"/>
      <c r="J20" s="316"/>
      <c r="K20" s="319"/>
      <c r="L20" s="184"/>
      <c r="M20" s="184"/>
      <c r="N20" s="184"/>
      <c r="O20" s="184"/>
      <c r="P20" s="3"/>
    </row>
    <row r="21" spans="2:21">
      <c r="B21" s="297" t="s">
        <v>95</v>
      </c>
      <c r="C21" s="303">
        <v>46078</v>
      </c>
      <c r="D21" s="297">
        <v>497</v>
      </c>
      <c r="E21" s="297" t="s">
        <v>96</v>
      </c>
      <c r="F21" s="126" t="s">
        <v>107</v>
      </c>
      <c r="G21" s="126">
        <v>704237</v>
      </c>
      <c r="H21" s="185"/>
      <c r="I21" s="126"/>
      <c r="J21" s="185"/>
      <c r="K21" s="138"/>
      <c r="L21" s="297">
        <v>750</v>
      </c>
      <c r="M21" s="240">
        <v>31.622</v>
      </c>
      <c r="N21" s="297">
        <f>L21-(M21+M22+M23+M24+M25+M26+M27+M28+M29+M30+M31+M32+M33)</f>
        <v>135.89800000000002</v>
      </c>
      <c r="O21" s="300">
        <f>(M21+M22+M23+M24+M25+M26+M27+M28+M29+M30+M31+M32+M33)/L21</f>
        <v>0.81880266666666668</v>
      </c>
      <c r="P21" s="134"/>
    </row>
    <row r="22" spans="2:21">
      <c r="B22" s="298"/>
      <c r="C22" s="304"/>
      <c r="D22" s="298"/>
      <c r="E22" s="298"/>
      <c r="F22" s="126" t="s">
        <v>108</v>
      </c>
      <c r="G22" s="126">
        <v>699260</v>
      </c>
      <c r="H22" s="185"/>
      <c r="I22" s="126"/>
      <c r="J22" s="185"/>
      <c r="K22" s="138"/>
      <c r="L22" s="298"/>
      <c r="M22" s="240">
        <v>26.033999999999999</v>
      </c>
      <c r="N22" s="298"/>
      <c r="O22" s="301"/>
      <c r="P22" s="134"/>
    </row>
    <row r="23" spans="2:21">
      <c r="B23" s="298"/>
      <c r="C23" s="304"/>
      <c r="D23" s="298"/>
      <c r="E23" s="298"/>
      <c r="F23" s="126" t="s">
        <v>109</v>
      </c>
      <c r="G23" s="126">
        <v>705083</v>
      </c>
      <c r="H23" s="185"/>
      <c r="I23" s="126"/>
      <c r="J23" s="185"/>
      <c r="K23" s="138"/>
      <c r="L23" s="298"/>
      <c r="M23" s="126"/>
      <c r="N23" s="298"/>
      <c r="O23" s="301"/>
      <c r="P23" s="134"/>
    </row>
    <row r="24" spans="2:21">
      <c r="B24" s="298"/>
      <c r="C24" s="304"/>
      <c r="D24" s="298"/>
      <c r="E24" s="298"/>
      <c r="F24" s="126" t="s">
        <v>110</v>
      </c>
      <c r="G24" s="126">
        <v>969710</v>
      </c>
      <c r="H24" s="185"/>
      <c r="I24" s="126"/>
      <c r="J24" s="185"/>
      <c r="K24" s="138"/>
      <c r="L24" s="298"/>
      <c r="M24" s="240">
        <v>42.531999999999996</v>
      </c>
      <c r="N24" s="298"/>
      <c r="O24" s="301"/>
      <c r="P24" s="134"/>
    </row>
    <row r="25" spans="2:21">
      <c r="B25" s="298"/>
      <c r="C25" s="304"/>
      <c r="D25" s="298"/>
      <c r="E25" s="298"/>
      <c r="F25" s="126" t="s">
        <v>111</v>
      </c>
      <c r="G25" s="126">
        <v>703515</v>
      </c>
      <c r="H25" s="185"/>
      <c r="I25" s="126"/>
      <c r="J25" s="185"/>
      <c r="K25" s="138"/>
      <c r="L25" s="298"/>
      <c r="M25" s="240">
        <v>159.834</v>
      </c>
      <c r="N25" s="298"/>
      <c r="O25" s="301"/>
      <c r="P25" s="134"/>
    </row>
    <row r="26" spans="2:21">
      <c r="B26" s="298"/>
      <c r="C26" s="304"/>
      <c r="D26" s="298"/>
      <c r="E26" s="298"/>
      <c r="F26" s="126" t="s">
        <v>112</v>
      </c>
      <c r="G26" s="126">
        <v>704022</v>
      </c>
      <c r="H26" s="185"/>
      <c r="I26" s="126"/>
      <c r="J26" s="185"/>
      <c r="K26" s="138"/>
      <c r="L26" s="298"/>
      <c r="M26" s="240">
        <v>8.0749999999999993</v>
      </c>
      <c r="N26" s="298"/>
      <c r="O26" s="301"/>
      <c r="P26" s="134"/>
    </row>
    <row r="27" spans="2:21">
      <c r="B27" s="298"/>
      <c r="C27" s="304"/>
      <c r="D27" s="298"/>
      <c r="E27" s="298"/>
      <c r="F27" s="126" t="s">
        <v>113</v>
      </c>
      <c r="G27" s="126">
        <v>704230</v>
      </c>
      <c r="H27" s="185"/>
      <c r="I27" s="126"/>
      <c r="J27" s="185"/>
      <c r="K27" s="138"/>
      <c r="L27" s="298"/>
      <c r="M27" s="240">
        <v>127.827</v>
      </c>
      <c r="N27" s="298"/>
      <c r="O27" s="301"/>
      <c r="P27" s="134"/>
    </row>
    <row r="28" spans="2:21">
      <c r="B28" s="298"/>
      <c r="C28" s="304"/>
      <c r="D28" s="298"/>
      <c r="E28" s="298"/>
      <c r="F28" s="126" t="s">
        <v>114</v>
      </c>
      <c r="G28" s="126">
        <v>702604</v>
      </c>
      <c r="H28" s="185"/>
      <c r="I28" s="126"/>
      <c r="J28" s="185"/>
      <c r="K28" s="138"/>
      <c r="L28" s="298"/>
      <c r="M28" s="240">
        <v>49.591000000000001</v>
      </c>
      <c r="N28" s="298"/>
      <c r="O28" s="301"/>
      <c r="P28" s="134"/>
    </row>
    <row r="29" spans="2:21">
      <c r="B29" s="298"/>
      <c r="C29" s="304"/>
      <c r="D29" s="298"/>
      <c r="E29" s="298"/>
      <c r="F29" s="126" t="s">
        <v>115</v>
      </c>
      <c r="G29" s="126">
        <v>702453</v>
      </c>
      <c r="H29" s="185"/>
      <c r="I29" s="126"/>
      <c r="J29" s="185"/>
      <c r="K29" s="138"/>
      <c r="L29" s="298"/>
      <c r="M29" s="240">
        <v>13.183999999999999</v>
      </c>
      <c r="N29" s="298"/>
      <c r="O29" s="301"/>
      <c r="P29" s="134"/>
    </row>
    <row r="30" spans="2:21">
      <c r="B30" s="298"/>
      <c r="C30" s="304"/>
      <c r="D30" s="298"/>
      <c r="E30" s="298"/>
      <c r="F30" s="126" t="s">
        <v>116</v>
      </c>
      <c r="G30" s="126">
        <v>705080</v>
      </c>
      <c r="H30" s="126"/>
      <c r="I30" s="126"/>
      <c r="J30" s="126"/>
      <c r="K30" s="126"/>
      <c r="L30" s="298"/>
      <c r="M30" s="240">
        <v>56.348999999999997</v>
      </c>
      <c r="N30" s="298"/>
      <c r="O30" s="301"/>
    </row>
    <row r="31" spans="2:21">
      <c r="B31" s="298"/>
      <c r="C31" s="304"/>
      <c r="D31" s="298"/>
      <c r="E31" s="298"/>
      <c r="F31" s="126" t="s">
        <v>117</v>
      </c>
      <c r="G31" s="126">
        <v>701311</v>
      </c>
      <c r="H31" s="126"/>
      <c r="I31" s="126"/>
      <c r="J31" s="126"/>
      <c r="K31" s="126"/>
      <c r="L31" s="298"/>
      <c r="M31" s="240">
        <v>1.0580000000000001</v>
      </c>
      <c r="N31" s="298"/>
      <c r="O31" s="301"/>
    </row>
    <row r="32" spans="2:21">
      <c r="B32" s="298"/>
      <c r="C32" s="304"/>
      <c r="D32" s="298"/>
      <c r="E32" s="298"/>
      <c r="F32" s="126" t="s">
        <v>118</v>
      </c>
      <c r="G32" s="126">
        <v>704919</v>
      </c>
      <c r="H32" s="126"/>
      <c r="I32" s="126"/>
      <c r="J32" s="126"/>
      <c r="K32" s="126"/>
      <c r="L32" s="298"/>
      <c r="M32" s="240">
        <v>91.415999999999997</v>
      </c>
      <c r="N32" s="298"/>
      <c r="O32" s="301"/>
    </row>
    <row r="33" spans="2:15">
      <c r="B33" s="299"/>
      <c r="C33" s="305"/>
      <c r="D33" s="299"/>
      <c r="E33" s="299"/>
      <c r="F33" s="126" t="s">
        <v>119</v>
      </c>
      <c r="G33" s="126">
        <v>705820</v>
      </c>
      <c r="H33" s="126"/>
      <c r="I33" s="126"/>
      <c r="J33" s="126"/>
      <c r="K33" s="126"/>
      <c r="L33" s="299"/>
      <c r="M33" s="240">
        <v>6.58</v>
      </c>
      <c r="N33" s="299"/>
      <c r="O33" s="302"/>
    </row>
    <row r="34" spans="2:15">
      <c r="B34" s="306" t="s">
        <v>95</v>
      </c>
      <c r="C34" s="307">
        <v>46125</v>
      </c>
      <c r="D34" s="306">
        <v>994</v>
      </c>
      <c r="E34" s="306" t="s">
        <v>20</v>
      </c>
      <c r="F34" s="126" t="s">
        <v>120</v>
      </c>
      <c r="G34" s="126">
        <v>703776</v>
      </c>
      <c r="H34" s="126"/>
      <c r="I34" s="126"/>
      <c r="J34" s="126"/>
      <c r="K34" s="126"/>
      <c r="L34" s="297">
        <v>365</v>
      </c>
      <c r="M34" s="240">
        <v>21.446999999999999</v>
      </c>
      <c r="N34" s="297">
        <f>L34-(M34+M35+M36+M37+M38+M39+M40+M41+M42+M43+M44+M45+M46+M47+M48+M49+M50+M51+M52)</f>
        <v>74.95999999999998</v>
      </c>
      <c r="O34" s="300">
        <f>(M34+M35+M36+M37+M38+M39+M40+M41+M42+M43+M44+M45+M46+M47+M48+M49+M50+M51+M52)/L34</f>
        <v>0.79463013698630147</v>
      </c>
    </row>
    <row r="35" spans="2:15">
      <c r="B35" s="306"/>
      <c r="C35" s="307"/>
      <c r="D35" s="306"/>
      <c r="E35" s="306"/>
      <c r="F35" s="126" t="s">
        <v>121</v>
      </c>
      <c r="G35" s="126">
        <v>901588</v>
      </c>
      <c r="H35" s="126"/>
      <c r="I35" s="126"/>
      <c r="J35" s="126"/>
      <c r="K35" s="126"/>
      <c r="L35" s="298"/>
      <c r="M35" s="126"/>
      <c r="N35" s="298"/>
      <c r="O35" s="301"/>
    </row>
    <row r="36" spans="2:15">
      <c r="B36" s="306"/>
      <c r="C36" s="307"/>
      <c r="D36" s="306"/>
      <c r="E36" s="306"/>
      <c r="F36" s="126" t="s">
        <v>122</v>
      </c>
      <c r="G36" s="126">
        <v>705705</v>
      </c>
      <c r="H36" s="126"/>
      <c r="I36" s="126"/>
      <c r="J36" s="126"/>
      <c r="K36" s="126"/>
      <c r="L36" s="298"/>
      <c r="M36" s="240">
        <v>83.986000000000004</v>
      </c>
      <c r="N36" s="298"/>
      <c r="O36" s="301"/>
    </row>
    <row r="37" spans="2:15">
      <c r="B37" s="306"/>
      <c r="C37" s="307"/>
      <c r="D37" s="306"/>
      <c r="E37" s="306"/>
      <c r="F37" s="126" t="s">
        <v>123</v>
      </c>
      <c r="G37" s="126">
        <v>703196</v>
      </c>
      <c r="H37" s="126"/>
      <c r="I37" s="126"/>
      <c r="J37" s="126"/>
      <c r="K37" s="126"/>
      <c r="L37" s="298"/>
      <c r="M37" s="126"/>
      <c r="N37" s="298"/>
      <c r="O37" s="301"/>
    </row>
    <row r="38" spans="2:15">
      <c r="B38" s="306"/>
      <c r="C38" s="307"/>
      <c r="D38" s="306"/>
      <c r="E38" s="306"/>
      <c r="F38" s="126" t="s">
        <v>124</v>
      </c>
      <c r="G38" s="126">
        <v>704682</v>
      </c>
      <c r="H38" s="126"/>
      <c r="I38" s="126"/>
      <c r="J38" s="126"/>
      <c r="K38" s="126"/>
      <c r="L38" s="298"/>
      <c r="M38" s="126"/>
      <c r="N38" s="298"/>
      <c r="O38" s="301"/>
    </row>
    <row r="39" spans="2:15">
      <c r="B39" s="306"/>
      <c r="C39" s="307"/>
      <c r="D39" s="306"/>
      <c r="E39" s="306"/>
      <c r="F39" s="126" t="s">
        <v>125</v>
      </c>
      <c r="G39" s="126">
        <v>702423</v>
      </c>
      <c r="H39" s="126"/>
      <c r="I39" s="126"/>
      <c r="J39" s="126"/>
      <c r="K39" s="126"/>
      <c r="L39" s="298"/>
      <c r="M39" s="126"/>
      <c r="N39" s="298"/>
      <c r="O39" s="301"/>
    </row>
    <row r="40" spans="2:15">
      <c r="B40" s="306"/>
      <c r="C40" s="307"/>
      <c r="D40" s="306"/>
      <c r="E40" s="306"/>
      <c r="F40" s="126" t="s">
        <v>126</v>
      </c>
      <c r="G40" s="126">
        <v>703681</v>
      </c>
      <c r="H40" s="126"/>
      <c r="I40" s="126"/>
      <c r="J40" s="126"/>
      <c r="K40" s="126"/>
      <c r="L40" s="298"/>
      <c r="M40" s="126"/>
      <c r="N40" s="298"/>
      <c r="O40" s="301"/>
    </row>
    <row r="41" spans="2:15">
      <c r="B41" s="306"/>
      <c r="C41" s="307"/>
      <c r="D41" s="306"/>
      <c r="E41" s="306"/>
      <c r="F41" s="126" t="s">
        <v>127</v>
      </c>
      <c r="G41" s="126">
        <v>702569</v>
      </c>
      <c r="H41" s="126"/>
      <c r="I41" s="126"/>
      <c r="J41" s="126"/>
      <c r="K41" s="126"/>
      <c r="L41" s="298"/>
      <c r="M41" s="126"/>
      <c r="N41" s="298"/>
      <c r="O41" s="301"/>
    </row>
    <row r="42" spans="2:15">
      <c r="B42" s="306"/>
      <c r="C42" s="307"/>
      <c r="D42" s="306"/>
      <c r="E42" s="306"/>
      <c r="F42" s="126" t="s">
        <v>128</v>
      </c>
      <c r="G42" s="126">
        <v>705385</v>
      </c>
      <c r="H42" s="126"/>
      <c r="I42" s="126"/>
      <c r="J42" s="126"/>
      <c r="K42" s="126"/>
      <c r="L42" s="298"/>
      <c r="M42" s="126"/>
      <c r="N42" s="298"/>
      <c r="O42" s="301"/>
    </row>
    <row r="43" spans="2:15">
      <c r="B43" s="306"/>
      <c r="C43" s="307"/>
      <c r="D43" s="306"/>
      <c r="E43" s="306"/>
      <c r="F43" s="126" t="s">
        <v>129</v>
      </c>
      <c r="G43" s="126">
        <v>700755</v>
      </c>
      <c r="H43" s="126"/>
      <c r="I43" s="126"/>
      <c r="J43" s="126"/>
      <c r="K43" s="126"/>
      <c r="L43" s="298"/>
      <c r="M43" s="126"/>
      <c r="N43" s="298"/>
      <c r="O43" s="301"/>
    </row>
    <row r="44" spans="2:15">
      <c r="B44" s="306"/>
      <c r="C44" s="307"/>
      <c r="D44" s="306"/>
      <c r="E44" s="306"/>
      <c r="F44" s="126" t="s">
        <v>130</v>
      </c>
      <c r="G44" s="126">
        <v>700784</v>
      </c>
      <c r="H44" s="126"/>
      <c r="I44" s="126"/>
      <c r="J44" s="126"/>
      <c r="K44" s="126"/>
      <c r="L44" s="298"/>
      <c r="M44" s="240">
        <v>68.052000000000007</v>
      </c>
      <c r="N44" s="298"/>
      <c r="O44" s="301"/>
    </row>
    <row r="45" spans="2:15">
      <c r="B45" s="306"/>
      <c r="C45" s="307"/>
      <c r="D45" s="306"/>
      <c r="E45" s="306"/>
      <c r="F45" s="126" t="s">
        <v>131</v>
      </c>
      <c r="G45" s="126">
        <v>703989</v>
      </c>
      <c r="H45" s="126"/>
      <c r="I45" s="126"/>
      <c r="J45" s="126"/>
      <c r="K45" s="126"/>
      <c r="L45" s="298"/>
      <c r="M45" s="126"/>
      <c r="N45" s="298"/>
      <c r="O45" s="301"/>
    </row>
    <row r="46" spans="2:15">
      <c r="B46" s="306"/>
      <c r="C46" s="307"/>
      <c r="D46" s="306"/>
      <c r="E46" s="306"/>
      <c r="F46" s="126" t="s">
        <v>132</v>
      </c>
      <c r="G46" s="126">
        <v>705558</v>
      </c>
      <c r="H46" s="126"/>
      <c r="I46" s="126"/>
      <c r="J46" s="126"/>
      <c r="K46" s="126"/>
      <c r="L46" s="298"/>
      <c r="M46" s="126"/>
      <c r="N46" s="298"/>
      <c r="O46" s="301"/>
    </row>
    <row r="47" spans="2:15">
      <c r="B47" s="306"/>
      <c r="C47" s="307"/>
      <c r="D47" s="306"/>
      <c r="E47" s="306"/>
      <c r="F47" s="126" t="s">
        <v>133</v>
      </c>
      <c r="G47" s="126">
        <v>702373</v>
      </c>
      <c r="H47" s="126"/>
      <c r="I47" s="126"/>
      <c r="J47" s="126"/>
      <c r="K47" s="126"/>
      <c r="L47" s="298"/>
      <c r="M47" s="126"/>
      <c r="N47" s="298"/>
      <c r="O47" s="301"/>
    </row>
    <row r="48" spans="2:15">
      <c r="B48" s="306"/>
      <c r="C48" s="307"/>
      <c r="D48" s="306"/>
      <c r="E48" s="306"/>
      <c r="F48" s="126" t="s">
        <v>134</v>
      </c>
      <c r="G48" s="126">
        <v>705232</v>
      </c>
      <c r="H48" s="126"/>
      <c r="I48" s="126"/>
      <c r="J48" s="126"/>
      <c r="K48" s="126"/>
      <c r="L48" s="298"/>
      <c r="M48" s="126"/>
      <c r="N48" s="298"/>
      <c r="O48" s="301"/>
    </row>
    <row r="49" spans="2:15">
      <c r="B49" s="306"/>
      <c r="C49" s="307"/>
      <c r="D49" s="306"/>
      <c r="E49" s="306"/>
      <c r="F49" s="126" t="s">
        <v>135</v>
      </c>
      <c r="G49" s="126">
        <v>701336</v>
      </c>
      <c r="H49" s="126"/>
      <c r="I49" s="126"/>
      <c r="J49" s="126"/>
      <c r="K49" s="126"/>
      <c r="L49" s="298"/>
      <c r="M49" s="126"/>
      <c r="N49" s="298"/>
      <c r="O49" s="301"/>
    </row>
    <row r="50" spans="2:15">
      <c r="B50" s="306"/>
      <c r="C50" s="307"/>
      <c r="D50" s="306"/>
      <c r="E50" s="306"/>
      <c r="F50" s="126" t="s">
        <v>136</v>
      </c>
      <c r="G50" s="126">
        <v>700697</v>
      </c>
      <c r="H50" s="126"/>
      <c r="I50" s="126"/>
      <c r="J50" s="126"/>
      <c r="K50" s="126"/>
      <c r="L50" s="298"/>
      <c r="M50" s="126"/>
      <c r="N50" s="298"/>
      <c r="O50" s="301"/>
    </row>
    <row r="51" spans="2:15">
      <c r="B51" s="306"/>
      <c r="C51" s="307"/>
      <c r="D51" s="306"/>
      <c r="E51" s="306"/>
      <c r="F51" s="126" t="s">
        <v>137</v>
      </c>
      <c r="G51" s="126">
        <v>701618</v>
      </c>
      <c r="H51" s="126"/>
      <c r="I51" s="126"/>
      <c r="J51" s="126"/>
      <c r="K51" s="126"/>
      <c r="L51" s="298"/>
      <c r="M51" s="240">
        <v>31.795999999999999</v>
      </c>
      <c r="N51" s="298"/>
      <c r="O51" s="301"/>
    </row>
    <row r="52" spans="2:15">
      <c r="B52" s="306"/>
      <c r="C52" s="307"/>
      <c r="D52" s="306"/>
      <c r="E52" s="306"/>
      <c r="F52" s="126" t="s">
        <v>138</v>
      </c>
      <c r="G52" s="126">
        <v>701450</v>
      </c>
      <c r="H52" s="126"/>
      <c r="I52" s="126"/>
      <c r="J52" s="126"/>
      <c r="K52" s="126"/>
      <c r="L52" s="299"/>
      <c r="M52" s="240">
        <v>84.759</v>
      </c>
      <c r="N52" s="299"/>
      <c r="O52" s="302"/>
    </row>
    <row r="53" spans="2:15">
      <c r="B53" s="297" t="s">
        <v>95</v>
      </c>
      <c r="C53" s="303">
        <v>46161</v>
      </c>
      <c r="D53" s="297">
        <v>1362</v>
      </c>
      <c r="E53" s="297" t="s">
        <v>18</v>
      </c>
      <c r="F53" s="126" t="s">
        <v>139</v>
      </c>
      <c r="G53" s="126">
        <v>697270</v>
      </c>
      <c r="H53" s="126"/>
      <c r="I53" s="126"/>
      <c r="J53" s="126"/>
      <c r="K53" s="126"/>
      <c r="L53" s="297">
        <v>1317</v>
      </c>
      <c r="M53" s="240">
        <v>89.834999999999994</v>
      </c>
      <c r="N53" s="297">
        <f>L53-(M53+M54+M55+M56+M57+M58+M59+M60+M61+M62+M63)</f>
        <v>426.447</v>
      </c>
      <c r="O53" s="300">
        <f>(M53+M54+M55+M56+M57+M58+M59+M60+M61+M62+M63)/L53</f>
        <v>0.67619817767653756</v>
      </c>
    </row>
    <row r="54" spans="2:15">
      <c r="B54" s="298"/>
      <c r="C54" s="304"/>
      <c r="D54" s="298"/>
      <c r="E54" s="298"/>
      <c r="F54" s="126" t="s">
        <v>140</v>
      </c>
      <c r="G54" s="126">
        <v>701560</v>
      </c>
      <c r="H54" s="126"/>
      <c r="I54" s="126"/>
      <c r="J54" s="126"/>
      <c r="K54" s="126"/>
      <c r="L54" s="298"/>
      <c r="M54" s="126"/>
      <c r="N54" s="298"/>
      <c r="O54" s="301"/>
    </row>
    <row r="55" spans="2:15">
      <c r="B55" s="298"/>
      <c r="C55" s="304"/>
      <c r="D55" s="298"/>
      <c r="E55" s="298"/>
      <c r="F55" s="126" t="s">
        <v>141</v>
      </c>
      <c r="G55" s="126">
        <v>703334</v>
      </c>
      <c r="H55" s="126"/>
      <c r="I55" s="126"/>
      <c r="J55" s="126"/>
      <c r="K55" s="126"/>
      <c r="L55" s="298"/>
      <c r="M55" s="240">
        <v>112.809</v>
      </c>
      <c r="N55" s="298"/>
      <c r="O55" s="301"/>
    </row>
    <row r="56" spans="2:15">
      <c r="B56" s="298"/>
      <c r="C56" s="304"/>
      <c r="D56" s="298"/>
      <c r="E56" s="298"/>
      <c r="F56" s="126" t="s">
        <v>142</v>
      </c>
      <c r="G56" s="126">
        <v>969394</v>
      </c>
      <c r="H56" s="126"/>
      <c r="I56" s="126"/>
      <c r="J56" s="126"/>
      <c r="K56" s="126"/>
      <c r="L56" s="298"/>
      <c r="M56" s="240">
        <v>252.09100000000001</v>
      </c>
      <c r="N56" s="298"/>
      <c r="O56" s="301"/>
    </row>
    <row r="57" spans="2:15">
      <c r="B57" s="298"/>
      <c r="C57" s="304"/>
      <c r="D57" s="298"/>
      <c r="E57" s="298"/>
      <c r="F57" s="126" t="s">
        <v>143</v>
      </c>
      <c r="G57" s="126">
        <v>968796</v>
      </c>
      <c r="H57" s="126"/>
      <c r="I57" s="126"/>
      <c r="J57" s="126"/>
      <c r="K57" s="126"/>
      <c r="L57" s="298"/>
      <c r="M57" s="126"/>
      <c r="N57" s="298"/>
      <c r="O57" s="301"/>
    </row>
    <row r="58" spans="2:15">
      <c r="B58" s="298"/>
      <c r="C58" s="304"/>
      <c r="D58" s="298"/>
      <c r="E58" s="298"/>
      <c r="F58" s="126" t="s">
        <v>144</v>
      </c>
      <c r="G58" s="126">
        <v>705996</v>
      </c>
      <c r="H58" s="126"/>
      <c r="I58" s="126"/>
      <c r="J58" s="126"/>
      <c r="K58" s="126"/>
      <c r="L58" s="298"/>
      <c r="M58" s="126"/>
      <c r="N58" s="298"/>
      <c r="O58" s="301"/>
    </row>
    <row r="59" spans="2:15">
      <c r="B59" s="298"/>
      <c r="C59" s="304"/>
      <c r="D59" s="298"/>
      <c r="E59" s="298"/>
      <c r="F59" s="126" t="s">
        <v>145</v>
      </c>
      <c r="G59" s="126">
        <v>965905</v>
      </c>
      <c r="H59" s="126"/>
      <c r="I59" s="126"/>
      <c r="J59" s="126"/>
      <c r="K59" s="126"/>
      <c r="L59" s="298"/>
      <c r="M59" s="126"/>
      <c r="N59" s="298"/>
      <c r="O59" s="301"/>
    </row>
    <row r="60" spans="2:15">
      <c r="B60" s="298"/>
      <c r="C60" s="304"/>
      <c r="D60" s="298"/>
      <c r="E60" s="298"/>
      <c r="F60" s="126" t="s">
        <v>146</v>
      </c>
      <c r="G60" s="126">
        <v>969691</v>
      </c>
      <c r="H60" s="126"/>
      <c r="I60" s="126"/>
      <c r="J60" s="126"/>
      <c r="K60" s="126"/>
      <c r="L60" s="298"/>
      <c r="M60" s="126"/>
      <c r="N60" s="298"/>
      <c r="O60" s="301"/>
    </row>
    <row r="61" spans="2:15">
      <c r="B61" s="298"/>
      <c r="C61" s="304"/>
      <c r="D61" s="298"/>
      <c r="E61" s="298"/>
      <c r="F61" s="126" t="s">
        <v>147</v>
      </c>
      <c r="G61" s="126">
        <v>704450</v>
      </c>
      <c r="H61" s="126"/>
      <c r="I61" s="126"/>
      <c r="J61" s="126"/>
      <c r="K61" s="126"/>
      <c r="L61" s="298"/>
      <c r="M61" s="126"/>
      <c r="N61" s="298"/>
      <c r="O61" s="301"/>
    </row>
    <row r="62" spans="2:15">
      <c r="B62" s="298"/>
      <c r="C62" s="304"/>
      <c r="D62" s="298"/>
      <c r="E62" s="298"/>
      <c r="F62" s="126" t="s">
        <v>148</v>
      </c>
      <c r="G62" s="126">
        <v>701277</v>
      </c>
      <c r="H62" s="126"/>
      <c r="I62" s="126"/>
      <c r="J62" s="126"/>
      <c r="K62" s="126"/>
      <c r="L62" s="298"/>
      <c r="M62" s="240">
        <v>435.81799999999998</v>
      </c>
      <c r="N62" s="298"/>
      <c r="O62" s="301"/>
    </row>
    <row r="63" spans="2:15">
      <c r="B63" s="299"/>
      <c r="C63" s="305"/>
      <c r="D63" s="299"/>
      <c r="E63" s="299"/>
      <c r="F63" s="126" t="s">
        <v>149</v>
      </c>
      <c r="G63" s="126">
        <v>704925</v>
      </c>
      <c r="H63" s="126"/>
      <c r="I63" s="126"/>
      <c r="J63" s="126"/>
      <c r="K63" s="126"/>
      <c r="L63" s="299"/>
      <c r="M63" s="126"/>
      <c r="N63" s="299"/>
      <c r="O63" s="302"/>
    </row>
    <row r="64" spans="2:15">
      <c r="B64" s="306" t="s">
        <v>95</v>
      </c>
      <c r="C64" s="307">
        <v>46170</v>
      </c>
      <c r="D64" s="306">
        <v>1435</v>
      </c>
      <c r="E64" s="306" t="s">
        <v>150</v>
      </c>
      <c r="F64" s="126" t="s">
        <v>151</v>
      </c>
      <c r="G64" s="126">
        <v>965747</v>
      </c>
      <c r="H64" s="126"/>
      <c r="I64" s="126"/>
      <c r="J64" s="126"/>
      <c r="K64" s="126"/>
      <c r="L64" s="297">
        <v>1200</v>
      </c>
      <c r="M64" s="126"/>
      <c r="N64" s="297">
        <f>L64-(SUM(M64:M91))</f>
        <v>979.173</v>
      </c>
      <c r="O64" s="300">
        <f>SUM(M64:M91)/L64</f>
        <v>0.18402250000000001</v>
      </c>
    </row>
    <row r="65" spans="2:15">
      <c r="B65" s="306"/>
      <c r="C65" s="307"/>
      <c r="D65" s="306"/>
      <c r="E65" s="306"/>
      <c r="F65" s="126" t="s">
        <v>152</v>
      </c>
      <c r="G65" s="126">
        <v>704861</v>
      </c>
      <c r="H65" s="126"/>
      <c r="I65" s="126"/>
      <c r="J65" s="126"/>
      <c r="K65" s="126"/>
      <c r="L65" s="298"/>
      <c r="M65" s="240">
        <v>4.335</v>
      </c>
      <c r="N65" s="298"/>
      <c r="O65" s="301"/>
    </row>
    <row r="66" spans="2:15">
      <c r="B66" s="306"/>
      <c r="C66" s="307"/>
      <c r="D66" s="306"/>
      <c r="E66" s="306"/>
      <c r="F66" s="126" t="s">
        <v>153</v>
      </c>
      <c r="G66" s="126">
        <v>963544</v>
      </c>
      <c r="H66" s="126"/>
      <c r="I66" s="126"/>
      <c r="J66" s="126"/>
      <c r="K66" s="126"/>
      <c r="L66" s="298"/>
      <c r="M66" s="126"/>
      <c r="N66" s="298"/>
      <c r="O66" s="301"/>
    </row>
    <row r="67" spans="2:15">
      <c r="B67" s="306"/>
      <c r="C67" s="307"/>
      <c r="D67" s="306"/>
      <c r="E67" s="306"/>
      <c r="F67" s="126" t="s">
        <v>154</v>
      </c>
      <c r="G67" s="126">
        <v>966363</v>
      </c>
      <c r="H67" s="126"/>
      <c r="I67" s="126"/>
      <c r="J67" s="126"/>
      <c r="K67" s="126"/>
      <c r="L67" s="298"/>
      <c r="M67" s="126"/>
      <c r="N67" s="298"/>
      <c r="O67" s="301"/>
    </row>
    <row r="68" spans="2:15">
      <c r="B68" s="306"/>
      <c r="C68" s="307"/>
      <c r="D68" s="306"/>
      <c r="E68" s="306"/>
      <c r="F68" s="126" t="s">
        <v>155</v>
      </c>
      <c r="G68" s="126">
        <v>705998</v>
      </c>
      <c r="H68" s="126"/>
      <c r="I68" s="126"/>
      <c r="J68" s="126"/>
      <c r="K68" s="126"/>
      <c r="L68" s="298"/>
      <c r="M68" s="240">
        <v>0.41399999999999998</v>
      </c>
      <c r="N68" s="298"/>
      <c r="O68" s="301"/>
    </row>
    <row r="69" spans="2:15">
      <c r="B69" s="306"/>
      <c r="C69" s="307"/>
      <c r="D69" s="306"/>
      <c r="E69" s="306"/>
      <c r="F69" s="126" t="s">
        <v>156</v>
      </c>
      <c r="G69" s="126">
        <v>704548</v>
      </c>
      <c r="H69" s="126"/>
      <c r="I69" s="126"/>
      <c r="J69" s="126"/>
      <c r="K69" s="126"/>
      <c r="L69" s="298"/>
      <c r="M69" s="126"/>
      <c r="N69" s="298"/>
      <c r="O69" s="301"/>
    </row>
    <row r="70" spans="2:15">
      <c r="B70" s="306"/>
      <c r="C70" s="307"/>
      <c r="D70" s="306"/>
      <c r="E70" s="306"/>
      <c r="F70" s="126" t="s">
        <v>157</v>
      </c>
      <c r="G70" s="126">
        <v>705325</v>
      </c>
      <c r="H70" s="126"/>
      <c r="I70" s="126"/>
      <c r="J70" s="126"/>
      <c r="K70" s="126"/>
      <c r="L70" s="298"/>
      <c r="M70" s="126"/>
      <c r="N70" s="298"/>
      <c r="O70" s="301"/>
    </row>
    <row r="71" spans="2:15">
      <c r="B71" s="306"/>
      <c r="C71" s="307"/>
      <c r="D71" s="306"/>
      <c r="E71" s="306"/>
      <c r="F71" s="126" t="s">
        <v>158</v>
      </c>
      <c r="G71" s="126">
        <v>703668</v>
      </c>
      <c r="H71" s="126"/>
      <c r="I71" s="126"/>
      <c r="J71" s="126"/>
      <c r="K71" s="126"/>
      <c r="L71" s="298"/>
      <c r="M71" s="240">
        <v>53.78</v>
      </c>
      <c r="N71" s="298"/>
      <c r="O71" s="301"/>
    </row>
    <row r="72" spans="2:15">
      <c r="B72" s="306"/>
      <c r="C72" s="307"/>
      <c r="D72" s="306"/>
      <c r="E72" s="306"/>
      <c r="F72" s="126" t="s">
        <v>159</v>
      </c>
      <c r="G72" s="126">
        <v>969884</v>
      </c>
      <c r="H72" s="126"/>
      <c r="I72" s="126"/>
      <c r="J72" s="126"/>
      <c r="K72" s="126"/>
      <c r="L72" s="298"/>
      <c r="M72" s="126"/>
      <c r="N72" s="298"/>
      <c r="O72" s="301"/>
    </row>
    <row r="73" spans="2:15">
      <c r="B73" s="306"/>
      <c r="C73" s="307"/>
      <c r="D73" s="306"/>
      <c r="E73" s="306"/>
      <c r="F73" s="126" t="s">
        <v>160</v>
      </c>
      <c r="G73" s="126">
        <v>969720</v>
      </c>
      <c r="H73" s="126"/>
      <c r="I73" s="126"/>
      <c r="J73" s="126"/>
      <c r="K73" s="126"/>
      <c r="L73" s="298"/>
      <c r="M73" s="126"/>
      <c r="N73" s="298"/>
      <c r="O73" s="301"/>
    </row>
    <row r="74" spans="2:15">
      <c r="B74" s="306"/>
      <c r="C74" s="307"/>
      <c r="D74" s="306"/>
      <c r="E74" s="306"/>
      <c r="F74" s="126" t="s">
        <v>161</v>
      </c>
      <c r="G74" s="126">
        <v>698422</v>
      </c>
      <c r="H74" s="126"/>
      <c r="I74" s="126"/>
      <c r="J74" s="126"/>
      <c r="K74" s="126"/>
      <c r="L74" s="298"/>
      <c r="M74" s="126"/>
      <c r="N74" s="298"/>
      <c r="O74" s="301"/>
    </row>
    <row r="75" spans="2:15">
      <c r="B75" s="306"/>
      <c r="C75" s="307"/>
      <c r="D75" s="306"/>
      <c r="E75" s="306"/>
      <c r="F75" s="126" t="s">
        <v>162</v>
      </c>
      <c r="G75" s="126">
        <v>969768</v>
      </c>
      <c r="H75" s="126"/>
      <c r="I75" s="126"/>
      <c r="J75" s="126"/>
      <c r="K75" s="126"/>
      <c r="L75" s="298"/>
      <c r="M75" s="126"/>
      <c r="N75" s="298"/>
      <c r="O75" s="301"/>
    </row>
    <row r="76" spans="2:15">
      <c r="B76" s="306"/>
      <c r="C76" s="307"/>
      <c r="D76" s="306"/>
      <c r="E76" s="306"/>
      <c r="F76" s="126" t="s">
        <v>163</v>
      </c>
      <c r="G76" s="126">
        <v>700665</v>
      </c>
      <c r="H76" s="126"/>
      <c r="I76" s="126"/>
      <c r="J76" s="126"/>
      <c r="K76" s="126"/>
      <c r="L76" s="298"/>
      <c r="M76" s="240">
        <v>34.329000000000001</v>
      </c>
      <c r="N76" s="298"/>
      <c r="O76" s="301"/>
    </row>
    <row r="77" spans="2:15">
      <c r="B77" s="306"/>
      <c r="C77" s="307"/>
      <c r="D77" s="306"/>
      <c r="E77" s="306"/>
      <c r="F77" s="126" t="s">
        <v>164</v>
      </c>
      <c r="G77" s="126">
        <v>913564</v>
      </c>
      <c r="H77" s="126"/>
      <c r="I77" s="126"/>
      <c r="J77" s="126"/>
      <c r="K77" s="126"/>
      <c r="L77" s="298"/>
      <c r="M77" s="126"/>
      <c r="N77" s="298"/>
      <c r="O77" s="301"/>
    </row>
    <row r="78" spans="2:15">
      <c r="B78" s="306"/>
      <c r="C78" s="307"/>
      <c r="D78" s="306"/>
      <c r="E78" s="306"/>
      <c r="F78" s="126" t="s">
        <v>165</v>
      </c>
      <c r="G78" s="126">
        <v>701006</v>
      </c>
      <c r="H78" s="126"/>
      <c r="I78" s="126"/>
      <c r="J78" s="126"/>
      <c r="K78" s="126"/>
      <c r="L78" s="298"/>
      <c r="M78" s="240">
        <v>30.346</v>
      </c>
      <c r="N78" s="298"/>
      <c r="O78" s="301"/>
    </row>
    <row r="79" spans="2:15">
      <c r="B79" s="306"/>
      <c r="C79" s="307"/>
      <c r="D79" s="306"/>
      <c r="E79" s="306"/>
      <c r="F79" s="126" t="s">
        <v>166</v>
      </c>
      <c r="G79" s="126">
        <v>702567</v>
      </c>
      <c r="H79" s="126"/>
      <c r="I79" s="126"/>
      <c r="J79" s="126"/>
      <c r="K79" s="126"/>
      <c r="L79" s="298"/>
      <c r="M79" s="126"/>
      <c r="N79" s="298"/>
      <c r="O79" s="301"/>
    </row>
    <row r="80" spans="2:15">
      <c r="B80" s="306"/>
      <c r="C80" s="307"/>
      <c r="D80" s="306"/>
      <c r="E80" s="306"/>
      <c r="F80" s="126" t="s">
        <v>167</v>
      </c>
      <c r="G80" s="126">
        <v>703617</v>
      </c>
      <c r="H80" s="126"/>
      <c r="I80" s="126"/>
      <c r="J80" s="126"/>
      <c r="K80" s="126"/>
      <c r="L80" s="298"/>
      <c r="M80" s="126"/>
      <c r="N80" s="298"/>
      <c r="O80" s="301"/>
    </row>
    <row r="81" spans="2:15">
      <c r="B81" s="306"/>
      <c r="C81" s="307"/>
      <c r="D81" s="306"/>
      <c r="E81" s="306"/>
      <c r="F81" s="126" t="s">
        <v>168</v>
      </c>
      <c r="G81" s="126">
        <v>703617</v>
      </c>
      <c r="H81" s="126"/>
      <c r="I81" s="126"/>
      <c r="J81" s="126"/>
      <c r="K81" s="126"/>
      <c r="L81" s="298"/>
      <c r="M81" s="240">
        <v>0.42599999999999999</v>
      </c>
      <c r="N81" s="298"/>
      <c r="O81" s="301"/>
    </row>
    <row r="82" spans="2:15">
      <c r="B82" s="306"/>
      <c r="C82" s="307"/>
      <c r="D82" s="306"/>
      <c r="E82" s="306"/>
      <c r="F82" s="126" t="s">
        <v>169</v>
      </c>
      <c r="G82" s="126">
        <v>914147</v>
      </c>
      <c r="H82" s="126"/>
      <c r="I82" s="126"/>
      <c r="J82" s="126"/>
      <c r="K82" s="126"/>
      <c r="L82" s="298"/>
      <c r="M82" s="126"/>
      <c r="N82" s="298"/>
      <c r="O82" s="301"/>
    </row>
    <row r="83" spans="2:15">
      <c r="B83" s="306"/>
      <c r="C83" s="307"/>
      <c r="D83" s="306"/>
      <c r="E83" s="306"/>
      <c r="F83" s="126" t="s">
        <v>170</v>
      </c>
      <c r="G83" s="126">
        <v>964706</v>
      </c>
      <c r="H83" s="126"/>
      <c r="I83" s="126"/>
      <c r="J83" s="126"/>
      <c r="K83" s="126"/>
      <c r="L83" s="298"/>
      <c r="M83" s="126"/>
      <c r="N83" s="298"/>
      <c r="O83" s="301"/>
    </row>
    <row r="84" spans="2:15">
      <c r="B84" s="306"/>
      <c r="C84" s="307"/>
      <c r="D84" s="306"/>
      <c r="E84" s="306"/>
      <c r="F84" s="126" t="s">
        <v>171</v>
      </c>
      <c r="G84" s="126">
        <v>914125</v>
      </c>
      <c r="H84" s="126"/>
      <c r="I84" s="126"/>
      <c r="J84" s="126"/>
      <c r="K84" s="126"/>
      <c r="L84" s="298"/>
      <c r="M84" s="126"/>
      <c r="N84" s="298"/>
      <c r="O84" s="301"/>
    </row>
    <row r="85" spans="2:15">
      <c r="B85" s="306"/>
      <c r="C85" s="307"/>
      <c r="D85" s="306"/>
      <c r="E85" s="306"/>
      <c r="F85" s="126" t="s">
        <v>172</v>
      </c>
      <c r="G85" s="126">
        <v>705495</v>
      </c>
      <c r="H85" s="126"/>
      <c r="I85" s="126"/>
      <c r="J85" s="126"/>
      <c r="K85" s="126"/>
      <c r="L85" s="298"/>
      <c r="M85" s="126"/>
      <c r="N85" s="298"/>
      <c r="O85" s="301"/>
    </row>
    <row r="86" spans="2:15">
      <c r="B86" s="306"/>
      <c r="C86" s="307"/>
      <c r="D86" s="306"/>
      <c r="E86" s="306"/>
      <c r="F86" s="126" t="s">
        <v>173</v>
      </c>
      <c r="G86" s="126">
        <v>968795</v>
      </c>
      <c r="H86" s="126"/>
      <c r="I86" s="126"/>
      <c r="J86" s="126"/>
      <c r="K86" s="126"/>
      <c r="L86" s="298"/>
      <c r="M86" s="126"/>
      <c r="N86" s="298"/>
      <c r="O86" s="301"/>
    </row>
    <row r="87" spans="2:15">
      <c r="B87" s="306"/>
      <c r="C87" s="307"/>
      <c r="D87" s="306"/>
      <c r="E87" s="306"/>
      <c r="F87" s="126" t="s">
        <v>174</v>
      </c>
      <c r="G87" s="126">
        <v>705549</v>
      </c>
      <c r="H87" s="126"/>
      <c r="I87" s="126"/>
      <c r="J87" s="126"/>
      <c r="K87" s="126"/>
      <c r="L87" s="298"/>
      <c r="M87" s="240">
        <v>97.197000000000003</v>
      </c>
      <c r="N87" s="298"/>
      <c r="O87" s="301"/>
    </row>
    <row r="88" spans="2:15">
      <c r="B88" s="306"/>
      <c r="C88" s="307"/>
      <c r="D88" s="306"/>
      <c r="E88" s="306"/>
      <c r="F88" s="126" t="s">
        <v>175</v>
      </c>
      <c r="G88" s="126">
        <v>963908</v>
      </c>
      <c r="H88" s="126"/>
      <c r="I88" s="126"/>
      <c r="J88" s="126"/>
      <c r="K88" s="126"/>
      <c r="L88" s="298"/>
      <c r="M88" s="126"/>
      <c r="N88" s="298"/>
      <c r="O88" s="301"/>
    </row>
    <row r="89" spans="2:15">
      <c r="B89" s="306"/>
      <c r="C89" s="307"/>
      <c r="D89" s="306"/>
      <c r="E89" s="306"/>
      <c r="F89" s="126" t="s">
        <v>176</v>
      </c>
      <c r="G89" s="126">
        <v>914124</v>
      </c>
      <c r="H89" s="126"/>
      <c r="I89" s="126"/>
      <c r="J89" s="126"/>
      <c r="K89" s="126"/>
      <c r="L89" s="298"/>
      <c r="M89" s="126"/>
      <c r="N89" s="298"/>
      <c r="O89" s="301"/>
    </row>
    <row r="90" spans="2:15">
      <c r="B90" s="306"/>
      <c r="C90" s="307"/>
      <c r="D90" s="306"/>
      <c r="E90" s="306"/>
      <c r="F90" s="126" t="s">
        <v>177</v>
      </c>
      <c r="G90" s="126">
        <v>700857</v>
      </c>
      <c r="H90" s="126"/>
      <c r="I90" s="126"/>
      <c r="J90" s="126"/>
      <c r="K90" s="126"/>
      <c r="L90" s="298"/>
      <c r="M90" s="126"/>
      <c r="N90" s="298"/>
      <c r="O90" s="301"/>
    </row>
    <row r="91" spans="2:15">
      <c r="B91" s="306"/>
      <c r="C91" s="307"/>
      <c r="D91" s="306"/>
      <c r="E91" s="306"/>
      <c r="F91" s="126" t="s">
        <v>178</v>
      </c>
      <c r="G91" s="126">
        <v>700773</v>
      </c>
      <c r="H91" s="126"/>
      <c r="I91" s="126"/>
      <c r="J91" s="126"/>
      <c r="K91" s="126"/>
      <c r="L91" s="299"/>
      <c r="M91" s="126"/>
      <c r="N91" s="299"/>
      <c r="O91" s="302"/>
    </row>
  </sheetData>
  <mergeCells count="47">
    <mergeCell ref="N64:N91"/>
    <mergeCell ref="O64:O91"/>
    <mergeCell ref="B64:B91"/>
    <mergeCell ref="C64:C91"/>
    <mergeCell ref="D64:D91"/>
    <mergeCell ref="E64:E91"/>
    <mergeCell ref="L64:L91"/>
    <mergeCell ref="B21:B33"/>
    <mergeCell ref="C21:C33"/>
    <mergeCell ref="D21:D33"/>
    <mergeCell ref="E21:E33"/>
    <mergeCell ref="L21:L33"/>
    <mergeCell ref="N21:N33"/>
    <mergeCell ref="O21:O33"/>
    <mergeCell ref="J13:J20"/>
    <mergeCell ref="K13:K20"/>
    <mergeCell ref="B5:B12"/>
    <mergeCell ref="C5:C12"/>
    <mergeCell ref="D5:D12"/>
    <mergeCell ref="E5:E12"/>
    <mergeCell ref="H5:H12"/>
    <mergeCell ref="J5:J12"/>
    <mergeCell ref="K5:K12"/>
    <mergeCell ref="B13:B20"/>
    <mergeCell ref="C13:C20"/>
    <mergeCell ref="D13:D20"/>
    <mergeCell ref="E13:E20"/>
    <mergeCell ref="H13:H20"/>
    <mergeCell ref="Q3:U3"/>
    <mergeCell ref="H1:K1"/>
    <mergeCell ref="H2:K2"/>
    <mergeCell ref="L1:O1"/>
    <mergeCell ref="L2:O2"/>
    <mergeCell ref="N34:N52"/>
    <mergeCell ref="O34:O52"/>
    <mergeCell ref="B34:B52"/>
    <mergeCell ref="C34:C52"/>
    <mergeCell ref="D34:D52"/>
    <mergeCell ref="E34:E52"/>
    <mergeCell ref="L34:L52"/>
    <mergeCell ref="N53:N63"/>
    <mergeCell ref="O53:O63"/>
    <mergeCell ref="B53:B63"/>
    <mergeCell ref="C53:C63"/>
    <mergeCell ref="D53:D63"/>
    <mergeCell ref="E53:E63"/>
    <mergeCell ref="L53:L6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Y115"/>
  <sheetViews>
    <sheetView showGridLines="0" topLeftCell="A3" zoomScaleNormal="100" workbookViewId="0">
      <selection activeCell="R28" sqref="R28"/>
    </sheetView>
  </sheetViews>
  <sheetFormatPr baseColWidth="10" defaultColWidth="11.42578125" defaultRowHeight="15"/>
  <cols>
    <col min="1" max="1" width="11.42578125" style="15"/>
    <col min="2" max="2" width="18.140625" customWidth="1"/>
    <col min="3" max="3" width="30.7109375" bestFit="1" customWidth="1"/>
    <col min="4" max="4" width="7.7109375" bestFit="1" customWidth="1"/>
    <col min="5" max="5" width="11.140625" bestFit="1" customWidth="1"/>
    <col min="6" max="6" width="10.85546875" bestFit="1" customWidth="1"/>
    <col min="7" max="7" width="10.7109375" bestFit="1" customWidth="1"/>
    <col min="8" max="8" width="8.140625" bestFit="1" customWidth="1"/>
    <col min="9" max="9" width="9.5703125" bestFit="1" customWidth="1"/>
    <col min="10" max="10" width="10.140625" style="1" bestFit="1" customWidth="1"/>
    <col min="11" max="11" width="11.28515625" bestFit="1" customWidth="1"/>
    <col min="12" max="12" width="11" bestFit="1" customWidth="1"/>
    <col min="13" max="13" width="10.7109375" bestFit="1" customWidth="1"/>
    <col min="14" max="14" width="8.28515625" style="12" bestFit="1" customWidth="1"/>
    <col min="15" max="15" width="9.140625" bestFit="1" customWidth="1"/>
    <col min="16" max="16" width="10.140625" bestFit="1" customWidth="1"/>
    <col min="17" max="25" width="11.42578125" style="15"/>
  </cols>
  <sheetData>
    <row r="1" spans="2:16" ht="15.75" thickBot="1"/>
    <row r="2" spans="2:16">
      <c r="B2" s="343" t="s">
        <v>179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5"/>
    </row>
    <row r="3" spans="2:16">
      <c r="B3" s="346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8"/>
    </row>
    <row r="4" spans="2:16" ht="15.75" thickBot="1">
      <c r="B4" s="349">
        <f>Resumen!B4</f>
        <v>46210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1"/>
    </row>
    <row r="5" spans="2:16" s="15" customFormat="1">
      <c r="N5" s="16"/>
    </row>
    <row r="6" spans="2:16">
      <c r="B6" s="46"/>
      <c r="C6" s="47"/>
      <c r="D6" s="47"/>
      <c r="E6" s="338" t="s">
        <v>180</v>
      </c>
      <c r="F6" s="338"/>
      <c r="G6" s="338"/>
      <c r="H6" s="338" t="s">
        <v>181</v>
      </c>
      <c r="I6" s="338"/>
      <c r="J6" s="338"/>
      <c r="K6" s="338" t="s">
        <v>40</v>
      </c>
      <c r="L6" s="338"/>
      <c r="M6" s="338"/>
      <c r="N6" s="338"/>
      <c r="O6" s="338"/>
      <c r="P6" s="338"/>
    </row>
    <row r="7" spans="2:16" ht="24">
      <c r="B7" s="186" t="s">
        <v>41</v>
      </c>
      <c r="C7" s="187" t="s">
        <v>182</v>
      </c>
      <c r="D7" s="187" t="s">
        <v>183</v>
      </c>
      <c r="E7" s="186" t="s">
        <v>45</v>
      </c>
      <c r="F7" s="186" t="s">
        <v>6</v>
      </c>
      <c r="G7" s="186" t="s">
        <v>46</v>
      </c>
      <c r="H7" s="187" t="s">
        <v>184</v>
      </c>
      <c r="I7" s="187" t="s">
        <v>185</v>
      </c>
      <c r="J7" s="187" t="s">
        <v>186</v>
      </c>
      <c r="K7" s="186" t="s">
        <v>45</v>
      </c>
      <c r="L7" s="186" t="s">
        <v>6</v>
      </c>
      <c r="M7" s="186" t="s">
        <v>46</v>
      </c>
      <c r="N7" s="187" t="s">
        <v>184</v>
      </c>
      <c r="O7" s="187" t="s">
        <v>185</v>
      </c>
      <c r="P7" s="187" t="s">
        <v>186</v>
      </c>
    </row>
    <row r="8" spans="2:16" ht="12" customHeight="1">
      <c r="B8" s="341" t="s">
        <v>187</v>
      </c>
      <c r="C8" s="145" t="s">
        <v>188</v>
      </c>
      <c r="D8" s="145" t="s">
        <v>54</v>
      </c>
      <c r="E8" s="188">
        <v>1503.039</v>
      </c>
      <c r="F8" s="189">
        <f>-471.049</f>
        <v>-471.04899999999998</v>
      </c>
      <c r="G8" s="190">
        <f>+E8+F8</f>
        <v>1031.99</v>
      </c>
      <c r="H8" s="189"/>
      <c r="I8" s="190">
        <f>+G8-H8</f>
        <v>1031.99</v>
      </c>
      <c r="J8" s="191">
        <f>H8/G8</f>
        <v>0</v>
      </c>
      <c r="K8" s="192">
        <f>E8</f>
        <v>1503.039</v>
      </c>
      <c r="L8" s="189">
        <f t="shared" ref="L8:L10" si="0">F8</f>
        <v>-471.04899999999998</v>
      </c>
      <c r="M8" s="193">
        <f>+K8+L8</f>
        <v>1031.99</v>
      </c>
      <c r="N8" s="189">
        <f>H8</f>
        <v>0</v>
      </c>
      <c r="O8" s="193">
        <f>+M8-N8</f>
        <v>1031.99</v>
      </c>
      <c r="P8" s="194">
        <f>N8/M8</f>
        <v>0</v>
      </c>
    </row>
    <row r="9" spans="2:16" ht="12" customHeight="1">
      <c r="B9" s="341"/>
      <c r="C9" s="145" t="s">
        <v>189</v>
      </c>
      <c r="D9" s="145" t="s">
        <v>54</v>
      </c>
      <c r="E9" s="188">
        <v>3.4129999999999998</v>
      </c>
      <c r="F9" s="189"/>
      <c r="G9" s="190">
        <f t="shared" ref="G9:G16" si="1">+E9+F9</f>
        <v>3.4129999999999998</v>
      </c>
      <c r="H9" s="189"/>
      <c r="I9" s="190">
        <f t="shared" ref="I9:I16" si="2">+G9-H9</f>
        <v>3.4129999999999998</v>
      </c>
      <c r="J9" s="191">
        <f t="shared" ref="J9:J17" si="3">H9/G9</f>
        <v>0</v>
      </c>
      <c r="K9" s="192">
        <f>E9</f>
        <v>3.4129999999999998</v>
      </c>
      <c r="L9" s="189">
        <f t="shared" ref="L9" si="4">F9</f>
        <v>0</v>
      </c>
      <c r="M9" s="193">
        <f t="shared" ref="M9:M16" si="5">+K9+L9</f>
        <v>3.4129999999999998</v>
      </c>
      <c r="N9" s="189">
        <f>H9</f>
        <v>0</v>
      </c>
      <c r="O9" s="193">
        <f t="shared" ref="O9:O16" si="6">+M9-N9</f>
        <v>3.4129999999999998</v>
      </c>
      <c r="P9" s="194">
        <f t="shared" ref="P9:P16" si="7">N9/M9</f>
        <v>0</v>
      </c>
    </row>
    <row r="10" spans="2:16" ht="12" customHeight="1">
      <c r="B10" s="341"/>
      <c r="C10" s="145" t="s">
        <v>190</v>
      </c>
      <c r="D10" s="145" t="s">
        <v>54</v>
      </c>
      <c r="E10" s="188">
        <v>41253.311000000002</v>
      </c>
      <c r="F10" s="189"/>
      <c r="G10" s="190">
        <f t="shared" si="1"/>
        <v>41253.311000000002</v>
      </c>
      <c r="H10" s="189"/>
      <c r="I10" s="190">
        <f t="shared" si="2"/>
        <v>41253.311000000002</v>
      </c>
      <c r="J10" s="191">
        <f t="shared" si="3"/>
        <v>0</v>
      </c>
      <c r="K10" s="192">
        <f>E10</f>
        <v>41253.311000000002</v>
      </c>
      <c r="L10" s="189">
        <f t="shared" si="0"/>
        <v>0</v>
      </c>
      <c r="M10" s="193">
        <f t="shared" si="5"/>
        <v>41253.311000000002</v>
      </c>
      <c r="N10" s="189">
        <f>H10</f>
        <v>0</v>
      </c>
      <c r="O10" s="193">
        <f t="shared" si="6"/>
        <v>41253.311000000002</v>
      </c>
      <c r="P10" s="194">
        <f t="shared" si="7"/>
        <v>0</v>
      </c>
    </row>
    <row r="11" spans="2:16" ht="12" customHeight="1">
      <c r="B11" s="341"/>
      <c r="C11" s="145" t="s">
        <v>191</v>
      </c>
      <c r="D11" s="145" t="s">
        <v>54</v>
      </c>
      <c r="E11" s="188">
        <v>114932.455</v>
      </c>
      <c r="F11" s="189">
        <f>471.049</f>
        <v>471.04899999999998</v>
      </c>
      <c r="G11" s="190">
        <f t="shared" si="1"/>
        <v>115403.504</v>
      </c>
      <c r="H11" s="189"/>
      <c r="I11" s="190">
        <f t="shared" si="2"/>
        <v>115403.504</v>
      </c>
      <c r="J11" s="191">
        <f t="shared" si="3"/>
        <v>0</v>
      </c>
      <c r="K11" s="192">
        <f>E11</f>
        <v>114932.455</v>
      </c>
      <c r="L11" s="189">
        <f t="shared" ref="L11:L16" si="8">F11</f>
        <v>471.04899999999998</v>
      </c>
      <c r="M11" s="193">
        <f t="shared" si="5"/>
        <v>115403.504</v>
      </c>
      <c r="N11" s="189">
        <f t="shared" ref="N11:N12" si="9">H11</f>
        <v>0</v>
      </c>
      <c r="O11" s="193">
        <f t="shared" si="6"/>
        <v>115403.504</v>
      </c>
      <c r="P11" s="194">
        <f t="shared" si="7"/>
        <v>0</v>
      </c>
    </row>
    <row r="12" spans="2:16" ht="12" customHeight="1">
      <c r="B12" s="341"/>
      <c r="C12" s="145" t="s">
        <v>192</v>
      </c>
      <c r="D12" s="145" t="s">
        <v>54</v>
      </c>
      <c r="E12" s="188">
        <v>1536.03</v>
      </c>
      <c r="F12" s="189">
        <f>-1520.507</f>
        <v>-1520.5070000000001</v>
      </c>
      <c r="G12" s="190">
        <f t="shared" si="1"/>
        <v>15.522999999999911</v>
      </c>
      <c r="H12" s="195"/>
      <c r="I12" s="190">
        <f t="shared" si="2"/>
        <v>15.522999999999911</v>
      </c>
      <c r="J12" s="191">
        <f t="shared" si="3"/>
        <v>0</v>
      </c>
      <c r="K12" s="192">
        <f t="shared" ref="K12:K13" si="10">E12</f>
        <v>1536.03</v>
      </c>
      <c r="L12" s="189">
        <f t="shared" si="8"/>
        <v>-1520.5070000000001</v>
      </c>
      <c r="M12" s="193">
        <f t="shared" si="5"/>
        <v>15.522999999999911</v>
      </c>
      <c r="N12" s="189">
        <f t="shared" si="9"/>
        <v>0</v>
      </c>
      <c r="O12" s="193">
        <f t="shared" si="6"/>
        <v>15.522999999999911</v>
      </c>
      <c r="P12" s="194">
        <f t="shared" si="7"/>
        <v>0</v>
      </c>
    </row>
    <row r="13" spans="2:16" ht="12" customHeight="1">
      <c r="B13" s="341"/>
      <c r="C13" s="145" t="s">
        <v>193</v>
      </c>
      <c r="D13" s="145" t="s">
        <v>54</v>
      </c>
      <c r="E13" s="188">
        <v>10496.205</v>
      </c>
      <c r="F13" s="189"/>
      <c r="G13" s="190">
        <f t="shared" si="1"/>
        <v>10496.205</v>
      </c>
      <c r="H13" s="195"/>
      <c r="I13" s="190">
        <f t="shared" si="2"/>
        <v>10496.205</v>
      </c>
      <c r="J13" s="191">
        <f t="shared" si="3"/>
        <v>0</v>
      </c>
      <c r="K13" s="192">
        <f t="shared" si="10"/>
        <v>10496.205</v>
      </c>
      <c r="L13" s="189">
        <f t="shared" si="8"/>
        <v>0</v>
      </c>
      <c r="M13" s="193">
        <f t="shared" si="5"/>
        <v>10496.205</v>
      </c>
      <c r="N13" s="189">
        <f t="shared" ref="N13" si="11">H13</f>
        <v>0</v>
      </c>
      <c r="O13" s="193">
        <f t="shared" si="6"/>
        <v>10496.205</v>
      </c>
      <c r="P13" s="194">
        <f t="shared" si="7"/>
        <v>0</v>
      </c>
    </row>
    <row r="14" spans="2:16" ht="12" customHeight="1">
      <c r="B14" s="341"/>
      <c r="C14" s="145" t="s">
        <v>194</v>
      </c>
      <c r="D14" s="145" t="s">
        <v>54</v>
      </c>
      <c r="E14" s="188">
        <v>3.4129999999999998</v>
      </c>
      <c r="F14" s="189"/>
      <c r="G14" s="190">
        <f t="shared" si="1"/>
        <v>3.4129999999999998</v>
      </c>
      <c r="H14" s="195"/>
      <c r="I14" s="190">
        <f t="shared" si="2"/>
        <v>3.4129999999999998</v>
      </c>
      <c r="J14" s="191">
        <f t="shared" si="3"/>
        <v>0</v>
      </c>
      <c r="K14" s="192">
        <f t="shared" ref="K14" si="12">E14</f>
        <v>3.4129999999999998</v>
      </c>
      <c r="L14" s="189">
        <f t="shared" si="8"/>
        <v>0</v>
      </c>
      <c r="M14" s="193">
        <f t="shared" si="5"/>
        <v>3.4129999999999998</v>
      </c>
      <c r="N14" s="189">
        <f t="shared" ref="N14" si="13">H14</f>
        <v>0</v>
      </c>
      <c r="O14" s="193">
        <f t="shared" si="6"/>
        <v>3.4129999999999998</v>
      </c>
      <c r="P14" s="194">
        <f t="shared" si="7"/>
        <v>0</v>
      </c>
    </row>
    <row r="15" spans="2:16" ht="12" customHeight="1">
      <c r="B15" s="341"/>
      <c r="C15" s="145" t="s">
        <v>195</v>
      </c>
      <c r="D15" s="145" t="s">
        <v>54</v>
      </c>
      <c r="E15" s="188">
        <v>938.68499999999995</v>
      </c>
      <c r="F15" s="189">
        <f>-929.198</f>
        <v>-929.19799999999998</v>
      </c>
      <c r="G15" s="190">
        <f t="shared" si="1"/>
        <v>9.4869999999999663</v>
      </c>
      <c r="H15" s="189"/>
      <c r="I15" s="190">
        <f t="shared" si="2"/>
        <v>9.4869999999999663</v>
      </c>
      <c r="J15" s="191">
        <f t="shared" si="3"/>
        <v>0</v>
      </c>
      <c r="K15" s="192">
        <f>E15</f>
        <v>938.68499999999995</v>
      </c>
      <c r="L15" s="189">
        <f t="shared" si="8"/>
        <v>-929.19799999999998</v>
      </c>
      <c r="M15" s="193">
        <f t="shared" si="5"/>
        <v>9.4869999999999663</v>
      </c>
      <c r="N15" s="189">
        <f>H15</f>
        <v>0</v>
      </c>
      <c r="O15" s="193">
        <f t="shared" si="6"/>
        <v>9.4869999999999663</v>
      </c>
      <c r="P15" s="194">
        <f t="shared" si="7"/>
        <v>0</v>
      </c>
    </row>
    <row r="16" spans="2:16" ht="12" customHeight="1">
      <c r="B16" s="341"/>
      <c r="C16" s="145" t="s">
        <v>196</v>
      </c>
      <c r="D16" s="145" t="s">
        <v>54</v>
      </c>
      <c r="E16" s="188">
        <v>3.4129999999999998</v>
      </c>
      <c r="F16" s="189"/>
      <c r="G16" s="190">
        <f t="shared" si="1"/>
        <v>3.4129999999999998</v>
      </c>
      <c r="H16" s="189"/>
      <c r="I16" s="190">
        <f t="shared" si="2"/>
        <v>3.4129999999999998</v>
      </c>
      <c r="J16" s="191">
        <f t="shared" si="3"/>
        <v>0</v>
      </c>
      <c r="K16" s="192">
        <f>E16</f>
        <v>3.4129999999999998</v>
      </c>
      <c r="L16" s="189">
        <f t="shared" si="8"/>
        <v>0</v>
      </c>
      <c r="M16" s="193">
        <f t="shared" si="5"/>
        <v>3.4129999999999998</v>
      </c>
      <c r="N16" s="189">
        <f>H16</f>
        <v>0</v>
      </c>
      <c r="O16" s="193">
        <f t="shared" si="6"/>
        <v>3.4129999999999998</v>
      </c>
      <c r="P16" s="194">
        <f t="shared" si="7"/>
        <v>0</v>
      </c>
    </row>
    <row r="17" spans="2:16" s="15" customFormat="1" ht="12" customHeight="1">
      <c r="B17" s="341"/>
      <c r="C17" s="143" t="s">
        <v>101</v>
      </c>
      <c r="D17" s="154" t="s">
        <v>54</v>
      </c>
      <c r="E17" s="196">
        <f>SUM(E8:E16)</f>
        <v>170669.96399999998</v>
      </c>
      <c r="F17" s="196">
        <f>SUM(F8:F16)</f>
        <v>-2449.7049999999999</v>
      </c>
      <c r="G17" s="196">
        <f>E17+F17</f>
        <v>168220.25899999999</v>
      </c>
      <c r="H17" s="196">
        <f>SUM(H8:H16)</f>
        <v>0</v>
      </c>
      <c r="I17" s="196">
        <f>+G17-H17</f>
        <v>168220.25899999999</v>
      </c>
      <c r="J17" s="197">
        <f t="shared" si="3"/>
        <v>0</v>
      </c>
      <c r="K17" s="196">
        <f>SUM(K8:K16)</f>
        <v>170669.96399999998</v>
      </c>
      <c r="L17" s="196">
        <f>SUM(L8:L16)</f>
        <v>-2449.7049999999999</v>
      </c>
      <c r="M17" s="196">
        <f>SUM(M8:M16)</f>
        <v>168220.25899999996</v>
      </c>
      <c r="N17" s="196">
        <f>SUM(N8:N16)</f>
        <v>0</v>
      </c>
      <c r="O17" s="196">
        <f>SUM(O8:O16)</f>
        <v>168220.25899999996</v>
      </c>
      <c r="P17" s="198">
        <f>+N17/M17</f>
        <v>0</v>
      </c>
    </row>
    <row r="18" spans="2:16" s="15" customFormat="1">
      <c r="B18" s="48"/>
      <c r="C18" s="49"/>
      <c r="D18" s="50"/>
      <c r="E18" s="51"/>
      <c r="F18" s="52"/>
      <c r="G18" s="53"/>
      <c r="H18" s="47"/>
      <c r="I18" s="47"/>
      <c r="J18" s="54"/>
      <c r="K18" s="53"/>
      <c r="L18" s="55"/>
      <c r="M18" s="56"/>
      <c r="N18" s="57"/>
      <c r="O18" s="56"/>
      <c r="P18" s="58"/>
    </row>
    <row r="19" spans="2:16" s="15" customFormat="1">
      <c r="B19" s="48"/>
      <c r="C19" s="49"/>
      <c r="D19" s="50"/>
      <c r="E19" s="51"/>
      <c r="F19" s="52"/>
      <c r="G19" s="53"/>
      <c r="H19" s="47"/>
      <c r="I19" s="47"/>
      <c r="J19" s="54"/>
      <c r="K19" s="53"/>
      <c r="L19" s="55"/>
      <c r="M19" s="56"/>
      <c r="N19" s="57"/>
      <c r="O19" s="56"/>
      <c r="P19" s="58"/>
    </row>
    <row r="20" spans="2:16" s="15" customFormat="1">
      <c r="B20" s="46"/>
      <c r="C20" s="47"/>
      <c r="D20" s="47"/>
      <c r="E20" s="338" t="s">
        <v>180</v>
      </c>
      <c r="F20" s="338"/>
      <c r="G20" s="338"/>
      <c r="H20" s="338" t="s">
        <v>181</v>
      </c>
      <c r="I20" s="338"/>
      <c r="J20" s="338"/>
      <c r="K20" s="338" t="s">
        <v>40</v>
      </c>
      <c r="L20" s="338"/>
      <c r="M20" s="338"/>
      <c r="N20" s="338"/>
      <c r="O20" s="338"/>
      <c r="P20" s="338"/>
    </row>
    <row r="21" spans="2:16" s="15" customFormat="1" ht="24">
      <c r="B21" s="186" t="s">
        <v>41</v>
      </c>
      <c r="C21" s="187" t="s">
        <v>182</v>
      </c>
      <c r="D21" s="187" t="s">
        <v>183</v>
      </c>
      <c r="E21" s="186" t="s">
        <v>45</v>
      </c>
      <c r="F21" s="186" t="s">
        <v>6</v>
      </c>
      <c r="G21" s="186" t="s">
        <v>46</v>
      </c>
      <c r="H21" s="187" t="s">
        <v>184</v>
      </c>
      <c r="I21" s="187" t="s">
        <v>185</v>
      </c>
      <c r="J21" s="187" t="s">
        <v>186</v>
      </c>
      <c r="K21" s="186" t="s">
        <v>45</v>
      </c>
      <c r="L21" s="186" t="s">
        <v>6</v>
      </c>
      <c r="M21" s="186" t="s">
        <v>46</v>
      </c>
      <c r="N21" s="187" t="s">
        <v>184</v>
      </c>
      <c r="O21" s="187" t="s">
        <v>185</v>
      </c>
      <c r="P21" s="187" t="s">
        <v>186</v>
      </c>
    </row>
    <row r="22" spans="2:16" ht="12" customHeight="1">
      <c r="B22" s="341" t="s">
        <v>197</v>
      </c>
      <c r="C22" s="199" t="s">
        <v>198</v>
      </c>
      <c r="D22" s="200" t="s">
        <v>54</v>
      </c>
      <c r="E22" s="201">
        <v>75.768000000000001</v>
      </c>
      <c r="F22" s="193"/>
      <c r="G22" s="202">
        <f>+E22+F22</f>
        <v>75.768000000000001</v>
      </c>
      <c r="H22" s="203"/>
      <c r="I22" s="202">
        <f>+G22-H22</f>
        <v>75.768000000000001</v>
      </c>
      <c r="J22" s="204">
        <f>+H22/G22</f>
        <v>0</v>
      </c>
      <c r="K22" s="190">
        <f>+E22</f>
        <v>75.768000000000001</v>
      </c>
      <c r="L22" s="189">
        <f>+F22</f>
        <v>0</v>
      </c>
      <c r="M22" s="190">
        <f>+K22+L22</f>
        <v>75.768000000000001</v>
      </c>
      <c r="N22" s="189">
        <f>+H22</f>
        <v>0</v>
      </c>
      <c r="O22" s="190">
        <f>+M22-N22</f>
        <v>75.768000000000001</v>
      </c>
      <c r="P22" s="194">
        <f t="shared" ref="P22" si="14">+N22/M22</f>
        <v>0</v>
      </c>
    </row>
    <row r="23" spans="2:16" ht="12" customHeight="1">
      <c r="B23" s="341"/>
      <c r="C23" s="199" t="s">
        <v>199</v>
      </c>
      <c r="D23" s="200" t="s">
        <v>54</v>
      </c>
      <c r="E23" s="201">
        <v>404.07600000000002</v>
      </c>
      <c r="F23" s="193"/>
      <c r="G23" s="202">
        <f>+E23+F23</f>
        <v>404.07600000000002</v>
      </c>
      <c r="H23" s="203"/>
      <c r="I23" s="202">
        <f>+G23-H23</f>
        <v>404.07600000000002</v>
      </c>
      <c r="J23" s="204">
        <f>+H23/G23</f>
        <v>0</v>
      </c>
      <c r="K23" s="190">
        <f>+E23</f>
        <v>404.07600000000002</v>
      </c>
      <c r="L23" s="189">
        <f>+F23</f>
        <v>0</v>
      </c>
      <c r="M23" s="190">
        <f>+K23+L23</f>
        <v>404.07600000000002</v>
      </c>
      <c r="N23" s="189">
        <f>+H23</f>
        <v>0</v>
      </c>
      <c r="O23" s="190">
        <f>+M23-N23</f>
        <v>404.07600000000002</v>
      </c>
      <c r="P23" s="194">
        <f t="shared" ref="P23" si="15">+N23/M23</f>
        <v>0</v>
      </c>
    </row>
    <row r="24" spans="2:16" ht="12" customHeight="1">
      <c r="B24" s="341"/>
      <c r="C24" s="199" t="s">
        <v>200</v>
      </c>
      <c r="D24" s="200" t="s">
        <v>54</v>
      </c>
      <c r="E24" s="201">
        <v>54.12</v>
      </c>
      <c r="F24" s="193"/>
      <c r="G24" s="202">
        <f t="shared" ref="G24:G33" si="16">+E24+F24</f>
        <v>54.12</v>
      </c>
      <c r="H24" s="203"/>
      <c r="I24" s="202">
        <f t="shared" ref="I24:I33" si="17">+G24-H24</f>
        <v>54.12</v>
      </c>
      <c r="J24" s="204">
        <f t="shared" ref="J24:J33" si="18">+H24/G24</f>
        <v>0</v>
      </c>
      <c r="K24" s="190">
        <f t="shared" ref="K24:K33" si="19">+E24</f>
        <v>54.12</v>
      </c>
      <c r="L24" s="189">
        <f t="shared" ref="L24:L33" si="20">+F24</f>
        <v>0</v>
      </c>
      <c r="M24" s="190">
        <f t="shared" ref="M24:M33" si="21">+K24+L24</f>
        <v>54.12</v>
      </c>
      <c r="N24" s="189">
        <f t="shared" ref="N24:N33" si="22">+H24</f>
        <v>0</v>
      </c>
      <c r="O24" s="190">
        <f t="shared" ref="O24:O33" si="23">+M24-N24</f>
        <v>54.12</v>
      </c>
      <c r="P24" s="194">
        <f t="shared" ref="P24:P33" si="24">+N24/M24</f>
        <v>0</v>
      </c>
    </row>
    <row r="25" spans="2:16" ht="12" customHeight="1">
      <c r="B25" s="341"/>
      <c r="C25" s="144" t="s">
        <v>201</v>
      </c>
      <c r="D25" s="200" t="s">
        <v>54</v>
      </c>
      <c r="E25" s="201">
        <v>3156.8429999999998</v>
      </c>
      <c r="F25" s="193"/>
      <c r="G25" s="202">
        <f t="shared" si="16"/>
        <v>3156.8429999999998</v>
      </c>
      <c r="H25" s="203"/>
      <c r="I25" s="202">
        <f t="shared" si="17"/>
        <v>3156.8429999999998</v>
      </c>
      <c r="J25" s="204">
        <f t="shared" si="18"/>
        <v>0</v>
      </c>
      <c r="K25" s="190">
        <f t="shared" si="19"/>
        <v>3156.8429999999998</v>
      </c>
      <c r="L25" s="189">
        <f t="shared" si="20"/>
        <v>0</v>
      </c>
      <c r="M25" s="190">
        <f t="shared" si="21"/>
        <v>3156.8429999999998</v>
      </c>
      <c r="N25" s="189">
        <f t="shared" si="22"/>
        <v>0</v>
      </c>
      <c r="O25" s="190">
        <f t="shared" si="23"/>
        <v>3156.8429999999998</v>
      </c>
      <c r="P25" s="194">
        <f t="shared" si="24"/>
        <v>0</v>
      </c>
    </row>
    <row r="26" spans="2:16" ht="12" customHeight="1">
      <c r="B26" s="341"/>
      <c r="C26" s="144" t="s">
        <v>202</v>
      </c>
      <c r="D26" s="157" t="s">
        <v>54</v>
      </c>
      <c r="E26" s="201">
        <v>23.309000000000001</v>
      </c>
      <c r="F26" s="193"/>
      <c r="G26" s="202">
        <f t="shared" si="16"/>
        <v>23.309000000000001</v>
      </c>
      <c r="H26" s="203"/>
      <c r="I26" s="202">
        <f t="shared" si="17"/>
        <v>23.309000000000001</v>
      </c>
      <c r="J26" s="204">
        <f t="shared" si="18"/>
        <v>0</v>
      </c>
      <c r="K26" s="190">
        <f t="shared" si="19"/>
        <v>23.309000000000001</v>
      </c>
      <c r="L26" s="189">
        <f t="shared" si="20"/>
        <v>0</v>
      </c>
      <c r="M26" s="190">
        <f t="shared" si="21"/>
        <v>23.309000000000001</v>
      </c>
      <c r="N26" s="189">
        <f t="shared" si="22"/>
        <v>0</v>
      </c>
      <c r="O26" s="190">
        <f t="shared" si="23"/>
        <v>23.309000000000001</v>
      </c>
      <c r="P26" s="194">
        <f t="shared" si="24"/>
        <v>0</v>
      </c>
    </row>
    <row r="27" spans="2:16" ht="12" customHeight="1">
      <c r="B27" s="341"/>
      <c r="C27" s="144" t="s">
        <v>203</v>
      </c>
      <c r="D27" s="200" t="s">
        <v>54</v>
      </c>
      <c r="E27" s="201">
        <v>200.89400000000001</v>
      </c>
      <c r="F27" s="193"/>
      <c r="G27" s="202">
        <f t="shared" si="16"/>
        <v>200.89400000000001</v>
      </c>
      <c r="H27" s="203"/>
      <c r="I27" s="202">
        <f t="shared" si="17"/>
        <v>200.89400000000001</v>
      </c>
      <c r="J27" s="204">
        <f t="shared" si="18"/>
        <v>0</v>
      </c>
      <c r="K27" s="190">
        <f t="shared" si="19"/>
        <v>200.89400000000001</v>
      </c>
      <c r="L27" s="189">
        <f t="shared" si="20"/>
        <v>0</v>
      </c>
      <c r="M27" s="190">
        <f t="shared" si="21"/>
        <v>200.89400000000001</v>
      </c>
      <c r="N27" s="189">
        <f t="shared" si="22"/>
        <v>0</v>
      </c>
      <c r="O27" s="190">
        <f t="shared" si="23"/>
        <v>200.89400000000001</v>
      </c>
      <c r="P27" s="194">
        <f t="shared" si="24"/>
        <v>0</v>
      </c>
    </row>
    <row r="28" spans="2:16" ht="12" customHeight="1">
      <c r="B28" s="341"/>
      <c r="C28" s="199" t="s">
        <v>204</v>
      </c>
      <c r="D28" s="200" t="s">
        <v>54</v>
      </c>
      <c r="E28" s="201">
        <v>28.864000000000001</v>
      </c>
      <c r="F28" s="193"/>
      <c r="G28" s="202">
        <f t="shared" si="16"/>
        <v>28.864000000000001</v>
      </c>
      <c r="H28" s="203"/>
      <c r="I28" s="202">
        <f t="shared" si="17"/>
        <v>28.864000000000001</v>
      </c>
      <c r="J28" s="204">
        <f t="shared" si="18"/>
        <v>0</v>
      </c>
      <c r="K28" s="190">
        <f t="shared" si="19"/>
        <v>28.864000000000001</v>
      </c>
      <c r="L28" s="189">
        <f t="shared" si="20"/>
        <v>0</v>
      </c>
      <c r="M28" s="190">
        <f t="shared" si="21"/>
        <v>28.864000000000001</v>
      </c>
      <c r="N28" s="189">
        <f t="shared" si="22"/>
        <v>0</v>
      </c>
      <c r="O28" s="190">
        <f t="shared" si="23"/>
        <v>28.864000000000001</v>
      </c>
      <c r="P28" s="194">
        <f t="shared" si="24"/>
        <v>0</v>
      </c>
    </row>
    <row r="29" spans="2:16" ht="12" customHeight="1">
      <c r="B29" s="341"/>
      <c r="C29" s="144" t="s">
        <v>205</v>
      </c>
      <c r="D29" s="200" t="s">
        <v>54</v>
      </c>
      <c r="E29" s="201">
        <v>18.04</v>
      </c>
      <c r="F29" s="193"/>
      <c r="G29" s="202">
        <f t="shared" si="16"/>
        <v>18.04</v>
      </c>
      <c r="H29" s="203"/>
      <c r="I29" s="202">
        <f t="shared" si="17"/>
        <v>18.04</v>
      </c>
      <c r="J29" s="204">
        <f t="shared" si="18"/>
        <v>0</v>
      </c>
      <c r="K29" s="190">
        <f t="shared" si="19"/>
        <v>18.04</v>
      </c>
      <c r="L29" s="189">
        <f t="shared" si="20"/>
        <v>0</v>
      </c>
      <c r="M29" s="190">
        <f t="shared" si="21"/>
        <v>18.04</v>
      </c>
      <c r="N29" s="189">
        <f t="shared" si="22"/>
        <v>0</v>
      </c>
      <c r="O29" s="190">
        <f t="shared" si="23"/>
        <v>18.04</v>
      </c>
      <c r="P29" s="194">
        <f t="shared" si="24"/>
        <v>0</v>
      </c>
    </row>
    <row r="30" spans="2:16" ht="12" customHeight="1">
      <c r="B30" s="341"/>
      <c r="C30" s="199" t="s">
        <v>206</v>
      </c>
      <c r="D30" s="200" t="s">
        <v>54</v>
      </c>
      <c r="E30" s="201">
        <v>28.864000000000001</v>
      </c>
      <c r="F30" s="193"/>
      <c r="G30" s="202">
        <f t="shared" si="16"/>
        <v>28.864000000000001</v>
      </c>
      <c r="H30" s="203"/>
      <c r="I30" s="202">
        <f t="shared" si="17"/>
        <v>28.864000000000001</v>
      </c>
      <c r="J30" s="204">
        <f t="shared" si="18"/>
        <v>0</v>
      </c>
      <c r="K30" s="190">
        <f t="shared" si="19"/>
        <v>28.864000000000001</v>
      </c>
      <c r="L30" s="189">
        <f t="shared" si="20"/>
        <v>0</v>
      </c>
      <c r="M30" s="190">
        <f t="shared" si="21"/>
        <v>28.864000000000001</v>
      </c>
      <c r="N30" s="189">
        <f t="shared" si="22"/>
        <v>0</v>
      </c>
      <c r="O30" s="190">
        <f t="shared" si="23"/>
        <v>28.864000000000001</v>
      </c>
      <c r="P30" s="194">
        <f t="shared" si="24"/>
        <v>0</v>
      </c>
    </row>
    <row r="31" spans="2:16" customFormat="1" ht="12" customHeight="1">
      <c r="B31" s="341"/>
      <c r="C31" s="205" t="s">
        <v>207</v>
      </c>
      <c r="D31" s="203" t="s">
        <v>54</v>
      </c>
      <c r="E31" s="201">
        <v>0.67400000000000004</v>
      </c>
      <c r="F31" s="193"/>
      <c r="G31" s="202">
        <f t="shared" si="16"/>
        <v>0.67400000000000004</v>
      </c>
      <c r="H31" s="203"/>
      <c r="I31" s="202">
        <f t="shared" si="17"/>
        <v>0.67400000000000004</v>
      </c>
      <c r="J31" s="204">
        <f t="shared" si="18"/>
        <v>0</v>
      </c>
      <c r="K31" s="190">
        <f t="shared" si="19"/>
        <v>0.67400000000000004</v>
      </c>
      <c r="L31" s="189">
        <f t="shared" si="20"/>
        <v>0</v>
      </c>
      <c r="M31" s="190">
        <f t="shared" si="21"/>
        <v>0.67400000000000004</v>
      </c>
      <c r="N31" s="189">
        <f t="shared" si="22"/>
        <v>0</v>
      </c>
      <c r="O31" s="190">
        <f t="shared" si="23"/>
        <v>0.67400000000000004</v>
      </c>
      <c r="P31" s="191">
        <f t="shared" si="24"/>
        <v>0</v>
      </c>
    </row>
    <row r="32" spans="2:16" ht="12" customHeight="1">
      <c r="B32" s="341"/>
      <c r="C32" s="144" t="s">
        <v>208</v>
      </c>
      <c r="D32" s="200" t="s">
        <v>54</v>
      </c>
      <c r="E32" s="201">
        <v>3071.4830000000002</v>
      </c>
      <c r="F32" s="206"/>
      <c r="G32" s="202">
        <f>+E32+F32</f>
        <v>3071.4830000000002</v>
      </c>
      <c r="H32" s="203"/>
      <c r="I32" s="202">
        <f>+G32-H32</f>
        <v>3071.4830000000002</v>
      </c>
      <c r="J32" s="204">
        <f t="shared" si="18"/>
        <v>0</v>
      </c>
      <c r="K32" s="190">
        <f t="shared" si="19"/>
        <v>3071.4830000000002</v>
      </c>
      <c r="L32" s="189">
        <f t="shared" si="20"/>
        <v>0</v>
      </c>
      <c r="M32" s="190">
        <f>+K32+L32</f>
        <v>3071.4830000000002</v>
      </c>
      <c r="N32" s="189">
        <f t="shared" si="22"/>
        <v>0</v>
      </c>
      <c r="O32" s="190">
        <f t="shared" si="23"/>
        <v>3071.4830000000002</v>
      </c>
      <c r="P32" s="194">
        <f>+N32/M32</f>
        <v>0</v>
      </c>
    </row>
    <row r="33" spans="2:16" ht="12" customHeight="1">
      <c r="B33" s="341"/>
      <c r="C33" s="144" t="s">
        <v>209</v>
      </c>
      <c r="D33" s="200" t="s">
        <v>54</v>
      </c>
      <c r="E33" s="201">
        <v>82.983999999999995</v>
      </c>
      <c r="F33" s="193"/>
      <c r="G33" s="202">
        <f t="shared" si="16"/>
        <v>82.983999999999995</v>
      </c>
      <c r="H33" s="203"/>
      <c r="I33" s="202">
        <f t="shared" si="17"/>
        <v>82.983999999999995</v>
      </c>
      <c r="J33" s="204">
        <f t="shared" si="18"/>
        <v>0</v>
      </c>
      <c r="K33" s="190">
        <f t="shared" si="19"/>
        <v>82.983999999999995</v>
      </c>
      <c r="L33" s="189">
        <f t="shared" si="20"/>
        <v>0</v>
      </c>
      <c r="M33" s="190">
        <f t="shared" si="21"/>
        <v>82.983999999999995</v>
      </c>
      <c r="N33" s="189">
        <f t="shared" si="22"/>
        <v>0</v>
      </c>
      <c r="O33" s="190">
        <f t="shared" si="23"/>
        <v>82.983999999999995</v>
      </c>
      <c r="P33" s="194">
        <f t="shared" si="24"/>
        <v>0</v>
      </c>
    </row>
    <row r="34" spans="2:16" ht="12" customHeight="1">
      <c r="B34" s="341"/>
      <c r="C34" s="144" t="s">
        <v>210</v>
      </c>
      <c r="D34" s="200" t="s">
        <v>54</v>
      </c>
      <c r="E34" s="201">
        <v>70.081000000000003</v>
      </c>
      <c r="F34" s="193"/>
      <c r="G34" s="202">
        <f t="shared" ref="G34" si="25">+E34+F34</f>
        <v>70.081000000000003</v>
      </c>
      <c r="H34" s="203"/>
      <c r="I34" s="202">
        <f t="shared" ref="I34" si="26">+G34-H34</f>
        <v>70.081000000000003</v>
      </c>
      <c r="J34" s="204">
        <f t="shared" ref="J34" si="27">+H34/G34</f>
        <v>0</v>
      </c>
      <c r="K34" s="190">
        <f t="shared" ref="K34" si="28">+E34</f>
        <v>70.081000000000003</v>
      </c>
      <c r="L34" s="189">
        <f t="shared" ref="L34" si="29">+F34</f>
        <v>0</v>
      </c>
      <c r="M34" s="190">
        <f t="shared" ref="M34" si="30">+K34+L34</f>
        <v>70.081000000000003</v>
      </c>
      <c r="N34" s="189">
        <f t="shared" ref="N34" si="31">+H34</f>
        <v>0</v>
      </c>
      <c r="O34" s="190">
        <f t="shared" ref="O34" si="32">+M34-N34</f>
        <v>70.081000000000003</v>
      </c>
      <c r="P34" s="194">
        <f t="shared" ref="P34" si="33">+N34/M34</f>
        <v>0</v>
      </c>
    </row>
    <row r="35" spans="2:16" s="15" customFormat="1" ht="12" customHeight="1">
      <c r="B35" s="341"/>
      <c r="C35" s="207" t="s">
        <v>101</v>
      </c>
      <c r="D35" s="208" t="s">
        <v>54</v>
      </c>
      <c r="E35" s="209">
        <f>SUM(E22:E34)</f>
        <v>7216.0000000000009</v>
      </c>
      <c r="F35" s="209">
        <f>SUM(F22:F34)</f>
        <v>0</v>
      </c>
      <c r="G35" s="209">
        <f>E35+F35</f>
        <v>7216.0000000000009</v>
      </c>
      <c r="H35" s="209">
        <f>SUM(H22:H34)</f>
        <v>0</v>
      </c>
      <c r="I35" s="209">
        <f>+G35-H35</f>
        <v>7216.0000000000009</v>
      </c>
      <c r="J35" s="210">
        <f>+H35/G35</f>
        <v>0</v>
      </c>
      <c r="K35" s="209">
        <f>SUM(K22:K34)</f>
        <v>7216.0000000000009</v>
      </c>
      <c r="L35" s="209">
        <f>SUM(L22:L34)</f>
        <v>0</v>
      </c>
      <c r="M35" s="209">
        <f>K35+L35</f>
        <v>7216.0000000000009</v>
      </c>
      <c r="N35" s="209">
        <f>SUM(N22:N34)</f>
        <v>0</v>
      </c>
      <c r="O35" s="209">
        <f>M35-N35</f>
        <v>7216.0000000000009</v>
      </c>
      <c r="P35" s="211">
        <f>+N35/M35</f>
        <v>0</v>
      </c>
    </row>
    <row r="36" spans="2:16" s="15" customFormat="1">
      <c r="B36" s="48"/>
      <c r="C36" s="59"/>
      <c r="D36" s="50"/>
      <c r="E36" s="60"/>
      <c r="F36" s="47"/>
      <c r="G36" s="47"/>
      <c r="H36" s="47"/>
      <c r="I36" s="47"/>
      <c r="J36" s="54"/>
      <c r="K36" s="61"/>
      <c r="L36" s="61"/>
      <c r="M36" s="61"/>
      <c r="N36" s="55"/>
      <c r="O36" s="61"/>
      <c r="P36" s="54"/>
    </row>
    <row r="37" spans="2:16" s="15" customFormat="1">
      <c r="B37" s="48"/>
      <c r="C37" s="59"/>
      <c r="D37" s="50"/>
      <c r="E37" s="60"/>
      <c r="F37" s="47"/>
      <c r="G37" s="47"/>
      <c r="H37" s="47"/>
      <c r="I37" s="47"/>
      <c r="J37" s="54"/>
      <c r="K37" s="61"/>
      <c r="L37" s="61"/>
      <c r="M37" s="61"/>
      <c r="N37" s="55"/>
      <c r="O37" s="61"/>
      <c r="P37" s="54"/>
    </row>
    <row r="38" spans="2:16" s="15" customFormat="1">
      <c r="B38" s="46"/>
      <c r="C38" s="47"/>
      <c r="D38" s="47"/>
      <c r="E38" s="339" t="s">
        <v>180</v>
      </c>
      <c r="F38" s="339"/>
      <c r="G38" s="339"/>
      <c r="H38" s="339" t="s">
        <v>181</v>
      </c>
      <c r="I38" s="339"/>
      <c r="J38" s="339"/>
      <c r="K38" s="339" t="s">
        <v>40</v>
      </c>
      <c r="L38" s="339"/>
      <c r="M38" s="339"/>
      <c r="N38" s="339"/>
      <c r="O38" s="339"/>
      <c r="P38" s="339"/>
    </row>
    <row r="39" spans="2:16" s="15" customFormat="1" ht="24">
      <c r="B39" s="155" t="s">
        <v>41</v>
      </c>
      <c r="C39" s="156" t="s">
        <v>182</v>
      </c>
      <c r="D39" s="156" t="s">
        <v>183</v>
      </c>
      <c r="E39" s="155" t="s">
        <v>45</v>
      </c>
      <c r="F39" s="155" t="s">
        <v>6</v>
      </c>
      <c r="G39" s="155" t="s">
        <v>46</v>
      </c>
      <c r="H39" s="156" t="s">
        <v>184</v>
      </c>
      <c r="I39" s="156" t="s">
        <v>185</v>
      </c>
      <c r="J39" s="156" t="s">
        <v>186</v>
      </c>
      <c r="K39" s="155" t="s">
        <v>45</v>
      </c>
      <c r="L39" s="155" t="s">
        <v>211</v>
      </c>
      <c r="M39" s="155" t="s">
        <v>46</v>
      </c>
      <c r="N39" s="156" t="s">
        <v>184</v>
      </c>
      <c r="O39" s="156" t="s">
        <v>185</v>
      </c>
      <c r="P39" s="156" t="s">
        <v>186</v>
      </c>
    </row>
    <row r="40" spans="2:16" ht="12" customHeight="1">
      <c r="B40" s="342" t="s">
        <v>212</v>
      </c>
      <c r="C40" s="212" t="s">
        <v>213</v>
      </c>
      <c r="D40" s="213" t="s">
        <v>54</v>
      </c>
      <c r="E40" s="149">
        <v>14.494999999999999</v>
      </c>
      <c r="F40" s="200"/>
      <c r="G40" s="214">
        <f t="shared" ref="G40:G44" si="34">+E40+F40</f>
        <v>14.494999999999999</v>
      </c>
      <c r="H40" s="200"/>
      <c r="I40" s="214">
        <f t="shared" ref="I40:I45" si="35">+G40-H40</f>
        <v>14.494999999999999</v>
      </c>
      <c r="J40" s="215">
        <f t="shared" ref="J40:J45" si="36">+H40/G40</f>
        <v>0</v>
      </c>
      <c r="K40" s="216">
        <f t="shared" ref="K40:L45" si="37">E40</f>
        <v>14.494999999999999</v>
      </c>
      <c r="L40" s="145">
        <f t="shared" si="37"/>
        <v>0</v>
      </c>
      <c r="M40" s="216">
        <f t="shared" ref="M40:M45" si="38">+K40+L40</f>
        <v>14.494999999999999</v>
      </c>
      <c r="N40" s="145">
        <f t="shared" ref="N40:N45" si="39">H40</f>
        <v>0</v>
      </c>
      <c r="O40" s="216">
        <f t="shared" ref="O40:O45" si="40">+M40-N40</f>
        <v>14.494999999999999</v>
      </c>
      <c r="P40" s="147">
        <f t="shared" ref="P40:P51" si="41">+N40/M40</f>
        <v>0</v>
      </c>
    </row>
    <row r="41" spans="2:16" ht="12" customHeight="1">
      <c r="B41" s="342"/>
      <c r="C41" s="212" t="s">
        <v>214</v>
      </c>
      <c r="D41" s="213" t="s">
        <v>54</v>
      </c>
      <c r="E41" s="149">
        <v>1.544</v>
      </c>
      <c r="F41" s="200"/>
      <c r="G41" s="214">
        <f t="shared" si="34"/>
        <v>1.544</v>
      </c>
      <c r="H41" s="200"/>
      <c r="I41" s="214">
        <f t="shared" si="35"/>
        <v>1.544</v>
      </c>
      <c r="J41" s="215">
        <f t="shared" si="36"/>
        <v>0</v>
      </c>
      <c r="K41" s="216">
        <f t="shared" ref="K41" si="42">E41</f>
        <v>1.544</v>
      </c>
      <c r="L41" s="145">
        <f t="shared" ref="L41" si="43">F41</f>
        <v>0</v>
      </c>
      <c r="M41" s="216">
        <f t="shared" si="38"/>
        <v>1.544</v>
      </c>
      <c r="N41" s="145">
        <f t="shared" si="39"/>
        <v>0</v>
      </c>
      <c r="O41" s="216">
        <f t="shared" si="40"/>
        <v>1.544</v>
      </c>
      <c r="P41" s="147">
        <f t="shared" ref="P41" si="44">+N41/M41</f>
        <v>0</v>
      </c>
    </row>
    <row r="42" spans="2:16" ht="12" customHeight="1">
      <c r="B42" s="342"/>
      <c r="C42" s="212" t="s">
        <v>215</v>
      </c>
      <c r="D42" s="213" t="s">
        <v>54</v>
      </c>
      <c r="E42" s="149">
        <v>925.14700000000005</v>
      </c>
      <c r="F42" s="200">
        <f>-750</f>
        <v>-750</v>
      </c>
      <c r="G42" s="214">
        <f t="shared" si="34"/>
        <v>175.14700000000005</v>
      </c>
      <c r="H42" s="208"/>
      <c r="I42" s="214">
        <f t="shared" si="35"/>
        <v>175.14700000000005</v>
      </c>
      <c r="J42" s="215">
        <f t="shared" si="36"/>
        <v>0</v>
      </c>
      <c r="K42" s="216">
        <f t="shared" si="37"/>
        <v>925.14700000000005</v>
      </c>
      <c r="L42" s="145">
        <f t="shared" si="37"/>
        <v>-750</v>
      </c>
      <c r="M42" s="216">
        <f t="shared" si="38"/>
        <v>175.14700000000005</v>
      </c>
      <c r="N42" s="145">
        <f t="shared" si="39"/>
        <v>0</v>
      </c>
      <c r="O42" s="216">
        <f t="shared" si="40"/>
        <v>175.14700000000005</v>
      </c>
      <c r="P42" s="147">
        <f t="shared" si="41"/>
        <v>0</v>
      </c>
    </row>
    <row r="43" spans="2:16" ht="12" customHeight="1">
      <c r="B43" s="342"/>
      <c r="C43" s="212" t="s">
        <v>194</v>
      </c>
      <c r="D43" s="213" t="s">
        <v>54</v>
      </c>
      <c r="E43" s="149">
        <v>1.544</v>
      </c>
      <c r="F43" s="200"/>
      <c r="G43" s="214">
        <f t="shared" si="34"/>
        <v>1.544</v>
      </c>
      <c r="H43" s="208"/>
      <c r="I43" s="214">
        <f t="shared" si="35"/>
        <v>1.544</v>
      </c>
      <c r="J43" s="215">
        <f t="shared" si="36"/>
        <v>0</v>
      </c>
      <c r="K43" s="216">
        <f t="shared" ref="K43" si="45">E43</f>
        <v>1.544</v>
      </c>
      <c r="L43" s="145">
        <f t="shared" ref="L43" si="46">F43</f>
        <v>0</v>
      </c>
      <c r="M43" s="216">
        <f t="shared" si="38"/>
        <v>1.544</v>
      </c>
      <c r="N43" s="145">
        <f t="shared" si="39"/>
        <v>0</v>
      </c>
      <c r="O43" s="216">
        <f t="shared" si="40"/>
        <v>1.544</v>
      </c>
      <c r="P43" s="147">
        <f t="shared" ref="P43" si="47">+N43/M43</f>
        <v>0</v>
      </c>
    </row>
    <row r="44" spans="2:16" ht="12" customHeight="1">
      <c r="B44" s="342"/>
      <c r="C44" s="212" t="s">
        <v>196</v>
      </c>
      <c r="D44" s="213" t="s">
        <v>54</v>
      </c>
      <c r="E44" s="149">
        <v>1.544</v>
      </c>
      <c r="F44" s="200"/>
      <c r="G44" s="214">
        <f t="shared" si="34"/>
        <v>1.544</v>
      </c>
      <c r="H44" s="208"/>
      <c r="I44" s="214">
        <f t="shared" si="35"/>
        <v>1.544</v>
      </c>
      <c r="J44" s="215">
        <f t="shared" si="36"/>
        <v>0</v>
      </c>
      <c r="K44" s="216">
        <f t="shared" ref="K44" si="48">E44</f>
        <v>1.544</v>
      </c>
      <c r="L44" s="145">
        <f t="shared" ref="L44" si="49">F44</f>
        <v>0</v>
      </c>
      <c r="M44" s="216">
        <f t="shared" si="38"/>
        <v>1.544</v>
      </c>
      <c r="N44" s="145">
        <f t="shared" si="39"/>
        <v>0</v>
      </c>
      <c r="O44" s="216">
        <f t="shared" si="40"/>
        <v>1.544</v>
      </c>
      <c r="P44" s="147">
        <f t="shared" ref="P44" si="50">+N44/M44</f>
        <v>0</v>
      </c>
    </row>
    <row r="45" spans="2:16" ht="12" customHeight="1">
      <c r="B45" s="342"/>
      <c r="C45" s="212" t="s">
        <v>216</v>
      </c>
      <c r="D45" s="213" t="s">
        <v>54</v>
      </c>
      <c r="E45" s="149">
        <v>3465.7280000000001</v>
      </c>
      <c r="F45" s="200">
        <f>-1200</f>
        <v>-1200</v>
      </c>
      <c r="G45" s="214">
        <f>+E45+F45</f>
        <v>2265.7280000000001</v>
      </c>
      <c r="H45" s="208"/>
      <c r="I45" s="214">
        <f t="shared" si="35"/>
        <v>2265.7280000000001</v>
      </c>
      <c r="J45" s="215">
        <f t="shared" si="36"/>
        <v>0</v>
      </c>
      <c r="K45" s="216">
        <f t="shared" si="37"/>
        <v>3465.7280000000001</v>
      </c>
      <c r="L45" s="145">
        <f t="shared" si="37"/>
        <v>-1200</v>
      </c>
      <c r="M45" s="216">
        <f t="shared" si="38"/>
        <v>2265.7280000000001</v>
      </c>
      <c r="N45" s="145">
        <f t="shared" si="39"/>
        <v>0</v>
      </c>
      <c r="O45" s="216">
        <f t="shared" si="40"/>
        <v>2265.7280000000001</v>
      </c>
      <c r="P45" s="147">
        <f t="shared" si="41"/>
        <v>0</v>
      </c>
    </row>
    <row r="46" spans="2:16" s="15" customFormat="1" ht="12" customHeight="1">
      <c r="B46" s="342"/>
      <c r="C46" s="84" t="s">
        <v>101</v>
      </c>
      <c r="D46" s="217" t="s">
        <v>54</v>
      </c>
      <c r="E46" s="196">
        <f>SUM(E40:E45)</f>
        <v>4410.0020000000004</v>
      </c>
      <c r="F46" s="196">
        <f>SUM(F40:F45)</f>
        <v>-1950</v>
      </c>
      <c r="G46" s="196">
        <f>E46+F46</f>
        <v>2460.0020000000004</v>
      </c>
      <c r="H46" s="196">
        <f>SUM(H40:H45)</f>
        <v>0</v>
      </c>
      <c r="I46" s="196">
        <f>G46-H46</f>
        <v>2460.0020000000004</v>
      </c>
      <c r="J46" s="211">
        <f>+H46/G46</f>
        <v>0</v>
      </c>
      <c r="K46" s="196">
        <f>SUM(K40:K45)</f>
        <v>4410.0020000000004</v>
      </c>
      <c r="L46" s="196">
        <f>SUM(L40:L45)</f>
        <v>-1950</v>
      </c>
      <c r="M46" s="196">
        <f>K46+L46</f>
        <v>2460.0020000000004</v>
      </c>
      <c r="N46" s="196">
        <f>SUM(N40:N45)</f>
        <v>0</v>
      </c>
      <c r="O46" s="196">
        <f>M46-N46</f>
        <v>2460.0020000000004</v>
      </c>
      <c r="P46" s="218">
        <f t="shared" si="41"/>
        <v>0</v>
      </c>
    </row>
    <row r="47" spans="2:16" s="15" customFormat="1">
      <c r="B47" s="48"/>
      <c r="C47" s="62"/>
      <c r="D47" s="50"/>
      <c r="E47" s="51"/>
      <c r="F47" s="47"/>
      <c r="G47" s="51"/>
      <c r="H47" s="47"/>
      <c r="I47" s="47"/>
      <c r="J47" s="54"/>
      <c r="K47" s="57"/>
      <c r="L47" s="57"/>
      <c r="M47" s="57"/>
      <c r="N47" s="57"/>
      <c r="O47" s="57"/>
      <c r="P47" s="63"/>
    </row>
    <row r="48" spans="2:16" s="15" customFormat="1">
      <c r="B48" s="48"/>
      <c r="C48" s="62"/>
      <c r="D48" s="50"/>
      <c r="E48" s="51"/>
      <c r="F48" s="47"/>
      <c r="G48" s="47"/>
      <c r="H48" s="47"/>
      <c r="I48" s="47"/>
      <c r="J48" s="54"/>
      <c r="K48" s="57"/>
      <c r="L48" s="57"/>
      <c r="M48" s="57"/>
      <c r="N48" s="57"/>
      <c r="O48" s="57"/>
      <c r="P48" s="63"/>
    </row>
    <row r="49" spans="1:25" s="15" customFormat="1">
      <c r="B49" s="46"/>
      <c r="C49" s="47"/>
      <c r="D49" s="47"/>
      <c r="E49" s="339" t="s">
        <v>180</v>
      </c>
      <c r="F49" s="339"/>
      <c r="G49" s="339"/>
      <c r="H49" s="339" t="s">
        <v>181</v>
      </c>
      <c r="I49" s="339"/>
      <c r="J49" s="339"/>
      <c r="K49" s="339" t="s">
        <v>40</v>
      </c>
      <c r="L49" s="339"/>
      <c r="M49" s="339"/>
      <c r="N49" s="339"/>
      <c r="O49" s="339"/>
      <c r="P49" s="339"/>
    </row>
    <row r="50" spans="1:25" s="15" customFormat="1" ht="24">
      <c r="B50" s="155" t="s">
        <v>41</v>
      </c>
      <c r="C50" s="156" t="s">
        <v>182</v>
      </c>
      <c r="D50" s="219" t="s">
        <v>183</v>
      </c>
      <c r="E50" s="155" t="s">
        <v>45</v>
      </c>
      <c r="F50" s="155" t="s">
        <v>6</v>
      </c>
      <c r="G50" s="155" t="s">
        <v>46</v>
      </c>
      <c r="H50" s="156" t="s">
        <v>184</v>
      </c>
      <c r="I50" s="156" t="s">
        <v>185</v>
      </c>
      <c r="J50" s="156" t="s">
        <v>186</v>
      </c>
      <c r="K50" s="155" t="s">
        <v>45</v>
      </c>
      <c r="L50" s="155" t="s">
        <v>211</v>
      </c>
      <c r="M50" s="155" t="s">
        <v>46</v>
      </c>
      <c r="N50" s="156" t="s">
        <v>184</v>
      </c>
      <c r="O50" s="156" t="s">
        <v>185</v>
      </c>
      <c r="P50" s="156" t="s">
        <v>186</v>
      </c>
    </row>
    <row r="51" spans="1:25" ht="12" customHeight="1">
      <c r="B51" s="340" t="s">
        <v>217</v>
      </c>
      <c r="C51" s="152" t="s">
        <v>199</v>
      </c>
      <c r="D51" s="145" t="s">
        <v>83</v>
      </c>
      <c r="E51" s="145">
        <v>302.63900000000001</v>
      </c>
      <c r="F51" s="145"/>
      <c r="G51" s="190">
        <f>+E51+F51</f>
        <v>302.63900000000001</v>
      </c>
      <c r="H51" s="189"/>
      <c r="I51" s="190">
        <f>+G51-H51</f>
        <v>302.63900000000001</v>
      </c>
      <c r="J51" s="194">
        <f>+H51/G51</f>
        <v>0</v>
      </c>
      <c r="K51" s="190">
        <f>+E51</f>
        <v>302.63900000000001</v>
      </c>
      <c r="L51" s="189">
        <f>+F51</f>
        <v>0</v>
      </c>
      <c r="M51" s="190">
        <f>+K51+L51</f>
        <v>302.63900000000001</v>
      </c>
      <c r="N51" s="189">
        <f t="shared" ref="N51:N57" si="51">+H51</f>
        <v>0</v>
      </c>
      <c r="O51" s="190">
        <f>+M51-N51</f>
        <v>302.63900000000001</v>
      </c>
      <c r="P51" s="194">
        <f t="shared" si="41"/>
        <v>0</v>
      </c>
    </row>
    <row r="52" spans="1:25" ht="12" customHeight="1">
      <c r="B52" s="340"/>
      <c r="C52" s="152" t="s">
        <v>201</v>
      </c>
      <c r="D52" s="145" t="s">
        <v>83</v>
      </c>
      <c r="E52" s="145">
        <v>1317.64</v>
      </c>
      <c r="F52" s="145">
        <f>-1317</f>
        <v>-1317</v>
      </c>
      <c r="G52" s="190">
        <f t="shared" ref="G52:G57" si="52">+E52+F52</f>
        <v>0.64000000000010004</v>
      </c>
      <c r="H52" s="189"/>
      <c r="I52" s="190">
        <f t="shared" ref="I52:I57" si="53">+G52-H52</f>
        <v>0.64000000000010004</v>
      </c>
      <c r="J52" s="194">
        <f t="shared" ref="J52:J57" si="54">+H52/G52</f>
        <v>0</v>
      </c>
      <c r="K52" s="190">
        <f t="shared" ref="K52:K57" si="55">+E52</f>
        <v>1317.64</v>
      </c>
      <c r="L52" s="189">
        <f>+F52</f>
        <v>-1317</v>
      </c>
      <c r="M52" s="190">
        <f t="shared" ref="M52:M57" si="56">+K52+L52</f>
        <v>0.64000000000010004</v>
      </c>
      <c r="N52" s="189">
        <f t="shared" si="51"/>
        <v>0</v>
      </c>
      <c r="O52" s="190">
        <f t="shared" ref="O52:O57" si="57">+M52-N52</f>
        <v>0.64000000000010004</v>
      </c>
      <c r="P52" s="194">
        <f t="shared" ref="P52:P57" si="58">+N52/M52</f>
        <v>0</v>
      </c>
    </row>
    <row r="53" spans="1:25" ht="12" customHeight="1">
      <c r="B53" s="340"/>
      <c r="C53" s="152" t="s">
        <v>205</v>
      </c>
      <c r="D53" s="145" t="s">
        <v>83</v>
      </c>
      <c r="E53" s="145">
        <v>0.222</v>
      </c>
      <c r="F53" s="145"/>
      <c r="G53" s="190">
        <f t="shared" si="52"/>
        <v>0.222</v>
      </c>
      <c r="H53" s="189"/>
      <c r="I53" s="190">
        <f t="shared" si="53"/>
        <v>0.222</v>
      </c>
      <c r="J53" s="194">
        <f t="shared" si="54"/>
        <v>0</v>
      </c>
      <c r="K53" s="190">
        <f t="shared" si="55"/>
        <v>0.222</v>
      </c>
      <c r="L53" s="189">
        <f t="shared" ref="L53:L57" si="59">+F53</f>
        <v>0</v>
      </c>
      <c r="M53" s="190">
        <f t="shared" si="56"/>
        <v>0.222</v>
      </c>
      <c r="N53" s="189">
        <f t="shared" si="51"/>
        <v>0</v>
      </c>
      <c r="O53" s="190">
        <f t="shared" si="57"/>
        <v>0.222</v>
      </c>
      <c r="P53" s="194">
        <f t="shared" si="58"/>
        <v>0</v>
      </c>
    </row>
    <row r="54" spans="1:25" ht="12" customHeight="1">
      <c r="B54" s="340"/>
      <c r="C54" s="152" t="s">
        <v>214</v>
      </c>
      <c r="D54" s="145" t="s">
        <v>83</v>
      </c>
      <c r="E54" s="145">
        <v>8.484</v>
      </c>
      <c r="F54" s="145"/>
      <c r="G54" s="190">
        <f t="shared" si="52"/>
        <v>8.484</v>
      </c>
      <c r="H54" s="189"/>
      <c r="I54" s="190">
        <f t="shared" si="53"/>
        <v>8.484</v>
      </c>
      <c r="J54" s="194">
        <f t="shared" si="54"/>
        <v>0</v>
      </c>
      <c r="K54" s="190">
        <f t="shared" si="55"/>
        <v>8.484</v>
      </c>
      <c r="L54" s="189">
        <f t="shared" si="59"/>
        <v>0</v>
      </c>
      <c r="M54" s="190">
        <f t="shared" si="56"/>
        <v>8.484</v>
      </c>
      <c r="N54" s="189">
        <f t="shared" si="51"/>
        <v>0</v>
      </c>
      <c r="O54" s="190">
        <f t="shared" si="57"/>
        <v>8.484</v>
      </c>
      <c r="P54" s="194">
        <f t="shared" si="58"/>
        <v>0</v>
      </c>
    </row>
    <row r="55" spans="1:25" ht="12" customHeight="1">
      <c r="B55" s="340"/>
      <c r="C55" s="152" t="s">
        <v>218</v>
      </c>
      <c r="D55" s="145" t="s">
        <v>83</v>
      </c>
      <c r="E55" s="145">
        <v>13.42</v>
      </c>
      <c r="F55" s="145"/>
      <c r="G55" s="190">
        <f t="shared" si="52"/>
        <v>13.42</v>
      </c>
      <c r="H55" s="189"/>
      <c r="I55" s="190">
        <f t="shared" si="53"/>
        <v>13.42</v>
      </c>
      <c r="J55" s="194">
        <f t="shared" si="54"/>
        <v>0</v>
      </c>
      <c r="K55" s="190">
        <f t="shared" si="55"/>
        <v>13.42</v>
      </c>
      <c r="L55" s="189">
        <f t="shared" si="59"/>
        <v>0</v>
      </c>
      <c r="M55" s="190">
        <f t="shared" si="56"/>
        <v>13.42</v>
      </c>
      <c r="N55" s="189">
        <f t="shared" si="51"/>
        <v>0</v>
      </c>
      <c r="O55" s="190">
        <f t="shared" si="57"/>
        <v>13.42</v>
      </c>
      <c r="P55" s="194">
        <f t="shared" si="58"/>
        <v>0</v>
      </c>
    </row>
    <row r="56" spans="1:25" ht="12" customHeight="1">
      <c r="B56" s="340"/>
      <c r="C56" s="220" t="s">
        <v>210</v>
      </c>
      <c r="D56" s="145" t="s">
        <v>83</v>
      </c>
      <c r="E56" s="145">
        <v>4.3959999999999999</v>
      </c>
      <c r="F56" s="145"/>
      <c r="G56" s="190">
        <f t="shared" si="52"/>
        <v>4.3959999999999999</v>
      </c>
      <c r="H56" s="189"/>
      <c r="I56" s="190">
        <f t="shared" si="53"/>
        <v>4.3959999999999999</v>
      </c>
      <c r="J56" s="194">
        <f t="shared" si="54"/>
        <v>0</v>
      </c>
      <c r="K56" s="190">
        <f t="shared" si="55"/>
        <v>4.3959999999999999</v>
      </c>
      <c r="L56" s="189">
        <f t="shared" si="59"/>
        <v>0</v>
      </c>
      <c r="M56" s="190">
        <f t="shared" si="56"/>
        <v>4.3959999999999999</v>
      </c>
      <c r="N56" s="189">
        <f t="shared" si="51"/>
        <v>0</v>
      </c>
      <c r="O56" s="190">
        <f t="shared" si="57"/>
        <v>4.3959999999999999</v>
      </c>
      <c r="P56" s="194">
        <f t="shared" si="58"/>
        <v>0</v>
      </c>
    </row>
    <row r="57" spans="1:25" ht="12" customHeight="1">
      <c r="B57" s="340"/>
      <c r="C57" s="220" t="s">
        <v>194</v>
      </c>
      <c r="D57" s="145" t="s">
        <v>83</v>
      </c>
      <c r="E57" s="145">
        <v>565.60799999999995</v>
      </c>
      <c r="F57" s="145">
        <f>-365</f>
        <v>-365</v>
      </c>
      <c r="G57" s="190">
        <f t="shared" si="52"/>
        <v>200.60799999999995</v>
      </c>
      <c r="H57" s="189"/>
      <c r="I57" s="190">
        <f t="shared" si="53"/>
        <v>200.60799999999995</v>
      </c>
      <c r="J57" s="194">
        <f t="shared" si="54"/>
        <v>0</v>
      </c>
      <c r="K57" s="190">
        <f t="shared" si="55"/>
        <v>565.60799999999995</v>
      </c>
      <c r="L57" s="189">
        <f t="shared" si="59"/>
        <v>-365</v>
      </c>
      <c r="M57" s="190">
        <f t="shared" si="56"/>
        <v>200.60799999999995</v>
      </c>
      <c r="N57" s="189">
        <f t="shared" si="51"/>
        <v>0</v>
      </c>
      <c r="O57" s="190">
        <f t="shared" si="57"/>
        <v>200.60799999999995</v>
      </c>
      <c r="P57" s="194">
        <f t="shared" si="58"/>
        <v>0</v>
      </c>
    </row>
    <row r="58" spans="1:25" ht="12" customHeight="1">
      <c r="A58"/>
      <c r="B58" s="340"/>
      <c r="C58" s="221" t="s">
        <v>219</v>
      </c>
      <c r="D58" s="189" t="s">
        <v>83</v>
      </c>
      <c r="E58" s="189">
        <v>2.5920000000000001</v>
      </c>
      <c r="F58" s="189"/>
      <c r="G58" s="190">
        <f t="shared" ref="G58" si="60">+E58+F58</f>
        <v>2.5920000000000001</v>
      </c>
      <c r="H58" s="189"/>
      <c r="I58" s="190">
        <f t="shared" ref="I58" si="61">+G58-H58</f>
        <v>2.5920000000000001</v>
      </c>
      <c r="J58" s="191">
        <f t="shared" ref="J58" si="62">+H58/G58</f>
        <v>0</v>
      </c>
      <c r="K58" s="190">
        <f t="shared" ref="K58" si="63">+E58</f>
        <v>2.5920000000000001</v>
      </c>
      <c r="L58" s="189">
        <f t="shared" ref="L58" si="64">+F58</f>
        <v>0</v>
      </c>
      <c r="M58" s="190">
        <f t="shared" ref="M58" si="65">+K58+L58</f>
        <v>2.5920000000000001</v>
      </c>
      <c r="N58" s="189">
        <f t="shared" ref="N58" si="66">+H58</f>
        <v>0</v>
      </c>
      <c r="O58" s="190">
        <f t="shared" ref="O58" si="67">+M58-N58</f>
        <v>2.5920000000000001</v>
      </c>
      <c r="P58" s="191">
        <f t="shared" ref="P58" si="68">+N58/M58</f>
        <v>0</v>
      </c>
      <c r="Q58"/>
      <c r="R58"/>
      <c r="S58"/>
      <c r="T58"/>
      <c r="U58"/>
      <c r="V58"/>
      <c r="W58"/>
      <c r="X58"/>
      <c r="Y58"/>
    </row>
    <row r="59" spans="1:25" s="15" customFormat="1" ht="12" customHeight="1">
      <c r="B59" s="340"/>
      <c r="C59" s="217" t="s">
        <v>101</v>
      </c>
      <c r="D59" s="222" t="s">
        <v>83</v>
      </c>
      <c r="E59" s="196">
        <f>SUM(E51:E58)</f>
        <v>2215.0009999999997</v>
      </c>
      <c r="F59" s="154">
        <f>SUM(F51:F58)</f>
        <v>-1682</v>
      </c>
      <c r="G59" s="196">
        <f>E59+F59</f>
        <v>533.00099999999975</v>
      </c>
      <c r="H59" s="154">
        <f>SUM(H51:H58)</f>
        <v>0</v>
      </c>
      <c r="I59" s="196">
        <f>+G59-H59</f>
        <v>533.00099999999975</v>
      </c>
      <c r="J59" s="198">
        <f>+H59/G59</f>
        <v>0</v>
      </c>
      <c r="K59" s="196">
        <f>SUM(K51:K58)</f>
        <v>2215.0009999999997</v>
      </c>
      <c r="L59" s="196">
        <f>SUM(L51:L58)</f>
        <v>-1682</v>
      </c>
      <c r="M59" s="196">
        <f>K59+L59</f>
        <v>533.00099999999975</v>
      </c>
      <c r="N59" s="196">
        <f>SUM(N51:N58)</f>
        <v>0</v>
      </c>
      <c r="O59" s="196">
        <f>SUM(O51:O58)</f>
        <v>533.00100000000009</v>
      </c>
      <c r="P59" s="198">
        <f>+N59/M59</f>
        <v>0</v>
      </c>
    </row>
    <row r="60" spans="1:25" s="15" customFormat="1">
      <c r="B60" s="47"/>
      <c r="C60" s="47"/>
      <c r="D60" s="47"/>
      <c r="E60" s="47"/>
      <c r="F60" s="47"/>
      <c r="G60" s="47"/>
      <c r="H60" s="47"/>
      <c r="I60" s="47"/>
      <c r="J60" s="64"/>
      <c r="K60" s="47"/>
      <c r="L60" s="47"/>
      <c r="M60" s="47"/>
      <c r="N60" s="65"/>
      <c r="O60" s="47"/>
      <c r="P60" s="47"/>
    </row>
    <row r="61" spans="1:25" s="15" customFormat="1">
      <c r="B61" s="47"/>
      <c r="C61" s="47"/>
      <c r="D61" s="47"/>
      <c r="E61" s="47"/>
      <c r="F61" s="47"/>
      <c r="G61" s="47"/>
      <c r="H61" s="47"/>
      <c r="I61" s="47"/>
      <c r="J61" s="47"/>
      <c r="K61" s="66"/>
      <c r="L61" s="47"/>
      <c r="M61" s="47"/>
      <c r="N61" s="65"/>
      <c r="O61" s="47"/>
      <c r="P61" s="47"/>
    </row>
    <row r="62" spans="1:25" s="15" customFormat="1">
      <c r="B62" s="47"/>
      <c r="C62" s="47"/>
      <c r="D62" s="47"/>
      <c r="E62" s="67"/>
      <c r="F62" s="47"/>
      <c r="G62" s="47"/>
      <c r="H62" s="47"/>
      <c r="I62" s="47"/>
      <c r="J62" s="47"/>
      <c r="K62" s="66"/>
      <c r="L62" s="47"/>
      <c r="M62" s="47"/>
      <c r="N62" s="65"/>
      <c r="O62" s="47"/>
      <c r="P62" s="47"/>
      <c r="Q62" s="18"/>
      <c r="R62" s="18"/>
    </row>
    <row r="63" spans="1:25" s="15" customFormat="1">
      <c r="B63" s="65"/>
      <c r="C63" s="47"/>
      <c r="D63" s="47"/>
      <c r="E63" s="139">
        <f>0.00276*168945</f>
        <v>466.28819999999996</v>
      </c>
      <c r="F63" s="47"/>
      <c r="G63" s="47"/>
      <c r="H63" s="47"/>
      <c r="I63" s="47"/>
      <c r="J63" s="47"/>
      <c r="K63" s="66"/>
      <c r="L63" s="47"/>
      <c r="M63" s="47"/>
      <c r="N63" s="65"/>
      <c r="O63" s="47"/>
      <c r="P63" s="47"/>
      <c r="Q63" s="18"/>
      <c r="R63" s="18"/>
    </row>
    <row r="64" spans="1:25" s="15" customFormat="1">
      <c r="B64" s="47"/>
      <c r="C64" s="47"/>
      <c r="D64" s="47"/>
      <c r="E64" s="47"/>
      <c r="F64" s="47"/>
      <c r="G64" s="47"/>
      <c r="H64" s="47"/>
      <c r="I64" s="47"/>
      <c r="J64" s="47"/>
      <c r="K64" s="66"/>
      <c r="L64" s="47"/>
      <c r="M64" s="47"/>
      <c r="N64" s="65"/>
      <c r="O64" s="47"/>
      <c r="P64" s="47"/>
      <c r="Q64" s="18"/>
      <c r="R64" s="18"/>
    </row>
    <row r="65" spans="2:18" s="15" customFormat="1" ht="16.5" customHeight="1">
      <c r="B65" s="47"/>
      <c r="C65" s="47"/>
      <c r="D65" s="47"/>
      <c r="E65" s="47"/>
      <c r="F65" s="47"/>
      <c r="G65" s="47"/>
      <c r="H65" s="47"/>
      <c r="I65" s="47"/>
      <c r="J65" s="47"/>
      <c r="K65" s="66"/>
      <c r="L65" s="47"/>
      <c r="M65" s="65"/>
      <c r="N65" s="47"/>
      <c r="O65" s="47"/>
      <c r="P65" s="47"/>
      <c r="Q65" s="18"/>
      <c r="R65" s="18"/>
    </row>
    <row r="66" spans="2:18" s="15" customFormat="1" ht="15" customHeight="1">
      <c r="B66" s="47"/>
      <c r="C66" s="47"/>
      <c r="D66" s="47"/>
      <c r="E66" s="47"/>
      <c r="F66" s="47"/>
      <c r="G66" s="47"/>
      <c r="H66" s="47"/>
      <c r="I66" s="47"/>
      <c r="J66" s="47"/>
      <c r="K66" s="66"/>
      <c r="L66" s="47"/>
      <c r="M66" s="65"/>
      <c r="N66" s="47"/>
      <c r="O66" s="47"/>
      <c r="P66" s="47"/>
      <c r="Q66" s="18"/>
      <c r="R66" s="18"/>
    </row>
    <row r="67" spans="2:18" s="15" customFormat="1" ht="15.75" customHeight="1">
      <c r="B67" s="47"/>
      <c r="C67" s="47"/>
      <c r="D67" s="47"/>
      <c r="E67" s="47"/>
      <c r="F67" s="47"/>
      <c r="G67" s="47"/>
      <c r="H67" s="47"/>
      <c r="I67" s="47"/>
      <c r="J67" s="47"/>
      <c r="K67" s="66"/>
      <c r="L67" s="47"/>
      <c r="M67" s="65"/>
      <c r="N67" s="47"/>
      <c r="O67" s="47"/>
      <c r="P67" s="47"/>
      <c r="Q67" s="18"/>
      <c r="R67" s="18"/>
    </row>
    <row r="68" spans="2:18" s="15" customFormat="1">
      <c r="B68" s="47"/>
      <c r="C68" s="47"/>
      <c r="D68" s="47"/>
      <c r="E68" s="47"/>
      <c r="F68" s="47"/>
      <c r="G68" s="47"/>
      <c r="H68" s="47"/>
      <c r="I68" s="47"/>
      <c r="J68" s="47"/>
      <c r="K68" s="66"/>
      <c r="L68" s="47"/>
      <c r="M68" s="47"/>
      <c r="N68" s="47"/>
      <c r="O68" s="47"/>
      <c r="P68" s="47"/>
      <c r="Q68" s="18"/>
      <c r="R68" s="18"/>
    </row>
    <row r="69" spans="2:18" s="15" customFormat="1">
      <c r="B69" s="47"/>
      <c r="C69" s="68"/>
      <c r="D69" s="47"/>
      <c r="E69" s="47"/>
      <c r="F69" s="47"/>
      <c r="G69" s="47"/>
      <c r="H69" s="47"/>
      <c r="I69" s="47"/>
      <c r="J69" s="47"/>
      <c r="K69" s="66"/>
      <c r="L69" s="47"/>
      <c r="M69" s="47"/>
      <c r="N69" s="47"/>
      <c r="O69" s="47"/>
      <c r="P69" s="47"/>
      <c r="Q69" s="18"/>
      <c r="R69" s="18"/>
    </row>
    <row r="70" spans="2:18" s="15" customFormat="1">
      <c r="B70" s="47"/>
      <c r="C70" s="68"/>
      <c r="D70" s="47"/>
      <c r="E70" s="47"/>
      <c r="F70" s="47"/>
      <c r="G70" s="47"/>
      <c r="H70" s="47"/>
      <c r="I70" s="47"/>
      <c r="J70" s="47"/>
      <c r="K70" s="66"/>
      <c r="L70" s="47"/>
      <c r="M70" s="47"/>
      <c r="N70" s="47"/>
      <c r="O70" s="47"/>
      <c r="P70" s="47"/>
      <c r="Q70" s="18"/>
      <c r="R70" s="18"/>
    </row>
    <row r="71" spans="2:18" s="15" customFormat="1">
      <c r="B71" s="47"/>
      <c r="C71" s="68"/>
      <c r="D71" s="47"/>
      <c r="E71" s="47"/>
      <c r="F71" s="47"/>
      <c r="G71" s="47"/>
      <c r="H71" s="47"/>
      <c r="I71" s="47"/>
      <c r="J71" s="47"/>
      <c r="K71" s="66"/>
      <c r="L71" s="47"/>
      <c r="M71" s="47"/>
      <c r="N71" s="47"/>
      <c r="O71" s="47"/>
      <c r="P71" s="47"/>
      <c r="Q71" s="18"/>
      <c r="R71" s="18"/>
    </row>
    <row r="72" spans="2:18" s="15" customFormat="1">
      <c r="B72" s="47"/>
      <c r="C72" s="68"/>
      <c r="D72" s="47"/>
      <c r="E72" s="47"/>
      <c r="F72" s="47"/>
      <c r="G72" s="47"/>
      <c r="H72" s="47"/>
      <c r="I72" s="47"/>
      <c r="J72" s="47"/>
      <c r="K72" s="66"/>
      <c r="L72" s="47"/>
      <c r="M72" s="47"/>
      <c r="N72" s="47"/>
      <c r="O72" s="47"/>
      <c r="P72" s="47"/>
      <c r="Q72" s="18"/>
      <c r="R72" s="18"/>
    </row>
    <row r="73" spans="2:18" s="15" customFormat="1">
      <c r="B73" s="47"/>
      <c r="C73" s="68"/>
      <c r="D73" s="47"/>
      <c r="E73" s="47"/>
      <c r="F73" s="47"/>
      <c r="G73" s="47"/>
      <c r="H73" s="47"/>
      <c r="I73" s="47"/>
      <c r="J73" s="47"/>
      <c r="K73" s="66"/>
      <c r="L73" s="47"/>
      <c r="M73" s="47"/>
      <c r="N73" s="47"/>
      <c r="O73" s="47"/>
      <c r="P73" s="47"/>
      <c r="Q73" s="18"/>
      <c r="R73" s="18"/>
    </row>
    <row r="74" spans="2:18" s="15" customFormat="1">
      <c r="B74" s="47"/>
      <c r="C74" s="68"/>
      <c r="D74" s="47"/>
      <c r="E74" s="47"/>
      <c r="F74" s="47"/>
      <c r="G74" s="47"/>
      <c r="H74" s="47"/>
      <c r="I74" s="47"/>
      <c r="J74" s="47"/>
      <c r="K74" s="66"/>
      <c r="L74" s="47"/>
      <c r="M74" s="47"/>
      <c r="N74" s="47"/>
      <c r="O74" s="47"/>
      <c r="P74" s="47"/>
      <c r="Q74" s="18"/>
      <c r="R74" s="18"/>
    </row>
    <row r="75" spans="2:18" s="15" customFormat="1">
      <c r="B75" s="47"/>
      <c r="C75" s="68"/>
      <c r="D75" s="47"/>
      <c r="E75" s="47"/>
      <c r="F75" s="47"/>
      <c r="G75" s="47"/>
      <c r="H75" s="47"/>
      <c r="I75" s="47"/>
      <c r="J75" s="47"/>
      <c r="K75" s="66"/>
      <c r="L75" s="47"/>
      <c r="M75" s="47"/>
      <c r="N75" s="47"/>
      <c r="O75" s="47"/>
      <c r="P75" s="47"/>
      <c r="Q75" s="18"/>
      <c r="R75" s="18"/>
    </row>
    <row r="76" spans="2:18" s="15" customFormat="1">
      <c r="B76" s="47"/>
      <c r="C76" s="68"/>
      <c r="D76" s="47"/>
      <c r="E76" s="47"/>
      <c r="F76" s="47"/>
      <c r="G76" s="47"/>
      <c r="H76" s="47"/>
      <c r="I76" s="47"/>
      <c r="J76" s="47"/>
      <c r="K76" s="66"/>
      <c r="L76" s="47"/>
      <c r="M76" s="47"/>
      <c r="N76" s="47"/>
      <c r="O76" s="47"/>
      <c r="P76" s="47"/>
      <c r="Q76" s="18"/>
      <c r="R76" s="18"/>
    </row>
    <row r="77" spans="2:18" s="15" customFormat="1">
      <c r="B77" s="47"/>
      <c r="C77" s="68"/>
      <c r="D77" s="47"/>
      <c r="E77" s="47"/>
      <c r="F77" s="47"/>
      <c r="G77" s="47"/>
      <c r="H77" s="47"/>
      <c r="I77" s="47"/>
      <c r="J77" s="47"/>
      <c r="K77" s="66"/>
      <c r="L77" s="47"/>
      <c r="M77" s="47"/>
      <c r="N77" s="47"/>
      <c r="O77" s="47"/>
      <c r="P77" s="47"/>
      <c r="Q77" s="18"/>
      <c r="R77" s="18"/>
    </row>
    <row r="78" spans="2:18" s="15" customFormat="1">
      <c r="B78" s="47"/>
      <c r="C78" s="68"/>
      <c r="D78" s="47"/>
      <c r="E78" s="47"/>
      <c r="F78" s="47"/>
      <c r="G78" s="47"/>
      <c r="H78" s="47"/>
      <c r="I78" s="47"/>
      <c r="J78" s="47"/>
      <c r="K78" s="66"/>
      <c r="L78" s="47"/>
      <c r="M78" s="47"/>
      <c r="N78" s="47"/>
      <c r="O78" s="47"/>
      <c r="P78" s="47"/>
      <c r="Q78" s="18"/>
      <c r="R78" s="18"/>
    </row>
    <row r="79" spans="2:18" s="15" customFormat="1">
      <c r="B79" s="47"/>
      <c r="C79" s="68"/>
      <c r="D79" s="47"/>
      <c r="E79" s="47"/>
      <c r="F79" s="47"/>
      <c r="G79" s="47"/>
      <c r="H79" s="47"/>
      <c r="I79" s="47"/>
      <c r="J79" s="47"/>
      <c r="K79" s="66"/>
      <c r="L79" s="47"/>
      <c r="M79" s="47"/>
      <c r="N79" s="47"/>
      <c r="O79" s="47"/>
      <c r="P79" s="47"/>
      <c r="Q79" s="18"/>
      <c r="R79" s="18"/>
    </row>
    <row r="80" spans="2:18" s="15" customFormat="1">
      <c r="B80" s="47"/>
      <c r="C80" s="68"/>
      <c r="D80" s="47"/>
      <c r="E80" s="47"/>
      <c r="F80" s="47"/>
      <c r="G80" s="47"/>
      <c r="H80" s="47"/>
      <c r="I80" s="47"/>
      <c r="J80" s="47"/>
      <c r="K80" s="66"/>
      <c r="L80" s="47"/>
      <c r="M80" s="47"/>
      <c r="N80" s="47"/>
      <c r="O80" s="47"/>
      <c r="P80" s="47"/>
      <c r="Q80" s="18"/>
      <c r="R80" s="18"/>
    </row>
    <row r="81" spans="2:18" s="15" customFormat="1">
      <c r="B81" s="47"/>
      <c r="C81" s="68"/>
      <c r="D81" s="47"/>
      <c r="E81" s="47"/>
      <c r="F81" s="47"/>
      <c r="G81" s="47"/>
      <c r="H81" s="47"/>
      <c r="I81" s="47"/>
      <c r="J81" s="47"/>
      <c r="K81" s="66"/>
      <c r="L81" s="47"/>
      <c r="M81" s="47"/>
      <c r="N81" s="47"/>
      <c r="O81" s="47"/>
      <c r="P81" s="47"/>
      <c r="Q81" s="18"/>
      <c r="R81" s="18"/>
    </row>
    <row r="82" spans="2:18" s="15" customFormat="1">
      <c r="B82" s="47"/>
      <c r="C82" s="68"/>
      <c r="D82" s="47"/>
      <c r="E82" s="47"/>
      <c r="F82" s="47"/>
      <c r="G82" s="47"/>
      <c r="H82" s="47"/>
      <c r="I82" s="47"/>
      <c r="J82" s="47"/>
      <c r="K82" s="66"/>
      <c r="L82" s="47"/>
      <c r="M82" s="47"/>
      <c r="N82" s="47"/>
      <c r="O82" s="47"/>
      <c r="P82" s="47"/>
      <c r="Q82" s="18"/>
      <c r="R82" s="18"/>
    </row>
    <row r="83" spans="2:18" s="15" customFormat="1">
      <c r="B83" s="47"/>
      <c r="C83" s="68"/>
      <c r="D83" s="47"/>
      <c r="E83" s="47"/>
      <c r="F83" s="47"/>
      <c r="G83" s="47"/>
      <c r="H83" s="47"/>
      <c r="I83" s="47"/>
      <c r="J83" s="47"/>
      <c r="K83" s="66"/>
      <c r="L83" s="47"/>
      <c r="M83" s="47"/>
      <c r="N83" s="47"/>
      <c r="O83" s="47"/>
      <c r="P83" s="47"/>
      <c r="Q83" s="18"/>
      <c r="R83" s="18"/>
    </row>
    <row r="84" spans="2:18" s="15" customFormat="1">
      <c r="B84" s="47"/>
      <c r="C84" s="68"/>
      <c r="D84" s="47"/>
      <c r="E84" s="47"/>
      <c r="F84" s="47"/>
      <c r="G84" s="47"/>
      <c r="H84" s="47"/>
      <c r="I84" s="47"/>
      <c r="J84" s="47"/>
      <c r="K84" s="66"/>
      <c r="L84" s="47"/>
      <c r="M84" s="47"/>
      <c r="N84" s="47"/>
      <c r="O84" s="47"/>
      <c r="P84" s="47"/>
      <c r="Q84" s="18"/>
      <c r="R84" s="18"/>
    </row>
    <row r="85" spans="2:18" s="15" customFormat="1">
      <c r="B85" s="47"/>
      <c r="C85" s="68"/>
      <c r="D85" s="47"/>
      <c r="E85" s="47"/>
      <c r="F85" s="47"/>
      <c r="G85" s="47"/>
      <c r="H85" s="47"/>
      <c r="I85" s="47"/>
      <c r="J85" s="47"/>
      <c r="K85" s="66"/>
      <c r="L85" s="47"/>
      <c r="M85" s="47"/>
      <c r="N85" s="47"/>
      <c r="O85" s="47"/>
      <c r="P85" s="47"/>
      <c r="Q85" s="18"/>
      <c r="R85" s="18"/>
    </row>
    <row r="86" spans="2:18" s="15" customFormat="1">
      <c r="B86" s="47"/>
      <c r="C86" s="68"/>
      <c r="D86" s="47"/>
      <c r="E86" s="47"/>
      <c r="F86" s="47"/>
      <c r="G86" s="47"/>
      <c r="H86" s="47"/>
      <c r="I86" s="47"/>
      <c r="J86" s="47"/>
      <c r="K86" s="66"/>
      <c r="L86" s="47"/>
      <c r="M86" s="47"/>
      <c r="N86" s="47"/>
      <c r="O86" s="47"/>
      <c r="P86" s="47"/>
      <c r="Q86" s="18"/>
      <c r="R86" s="18"/>
    </row>
    <row r="87" spans="2:18" s="15" customFormat="1">
      <c r="B87" s="47"/>
      <c r="C87" s="68"/>
      <c r="D87" s="47"/>
      <c r="E87" s="47"/>
      <c r="F87" s="47"/>
      <c r="G87" s="47"/>
      <c r="H87" s="47"/>
      <c r="I87" s="47"/>
      <c r="J87" s="47"/>
      <c r="K87" s="66"/>
      <c r="L87" s="47"/>
      <c r="M87" s="47"/>
      <c r="N87" s="47"/>
      <c r="O87" s="47"/>
      <c r="P87" s="47"/>
      <c r="Q87" s="18"/>
      <c r="R87" s="18"/>
    </row>
    <row r="88" spans="2:18" s="15" customFormat="1">
      <c r="B88" s="47"/>
      <c r="C88" s="68"/>
      <c r="D88" s="47"/>
      <c r="E88" s="47"/>
      <c r="F88" s="47"/>
      <c r="G88" s="47"/>
      <c r="H88" s="47"/>
      <c r="I88" s="47"/>
      <c r="J88" s="47"/>
      <c r="K88" s="66"/>
      <c r="L88" s="47"/>
      <c r="M88" s="47"/>
      <c r="N88" s="47"/>
      <c r="O88" s="47"/>
      <c r="P88" s="47"/>
      <c r="Q88" s="18"/>
      <c r="R88" s="18"/>
    </row>
    <row r="89" spans="2:18" s="15" customFormat="1">
      <c r="B89" s="47"/>
      <c r="C89" s="68"/>
      <c r="D89" s="47"/>
      <c r="E89" s="47"/>
      <c r="F89" s="47"/>
      <c r="G89" s="47"/>
      <c r="H89" s="47"/>
      <c r="I89" s="47"/>
      <c r="J89" s="47"/>
      <c r="K89" s="66"/>
      <c r="L89" s="47"/>
      <c r="M89" s="47"/>
      <c r="N89" s="47"/>
      <c r="O89" s="47"/>
      <c r="P89" s="47"/>
      <c r="Q89" s="18"/>
      <c r="R89" s="18"/>
    </row>
    <row r="90" spans="2:18" s="15" customFormat="1">
      <c r="C90" s="19"/>
      <c r="K90" s="14"/>
      <c r="Q90" s="18"/>
      <c r="R90" s="18"/>
    </row>
    <row r="91" spans="2:18" s="15" customFormat="1">
      <c r="C91" s="19"/>
      <c r="K91" s="14"/>
      <c r="Q91" s="18"/>
      <c r="R91" s="18"/>
    </row>
    <row r="92" spans="2:18" s="15" customFormat="1">
      <c r="C92" s="19"/>
      <c r="K92" s="14"/>
      <c r="Q92" s="18"/>
      <c r="R92" s="18"/>
    </row>
    <row r="93" spans="2:18" s="15" customFormat="1">
      <c r="C93" s="19"/>
      <c r="K93" s="14"/>
      <c r="Q93" s="18"/>
      <c r="R93" s="18"/>
    </row>
    <row r="94" spans="2:18" s="15" customFormat="1">
      <c r="C94" s="19"/>
      <c r="K94" s="14"/>
      <c r="Q94" s="18"/>
      <c r="R94" s="18"/>
    </row>
    <row r="95" spans="2:18">
      <c r="C95" s="2"/>
      <c r="J95"/>
      <c r="K95" s="10"/>
      <c r="N95"/>
      <c r="Q95" s="18"/>
      <c r="R95" s="18"/>
    </row>
    <row r="96" spans="2:18">
      <c r="C96" s="2"/>
      <c r="J96"/>
      <c r="K96" s="10"/>
      <c r="N96"/>
      <c r="Q96" s="18"/>
      <c r="R96" s="18"/>
    </row>
    <row r="97" spans="3:18">
      <c r="C97" s="2"/>
      <c r="J97"/>
      <c r="K97" s="10"/>
      <c r="N97"/>
      <c r="Q97" s="18"/>
      <c r="R97" s="18"/>
    </row>
    <row r="98" spans="3:18">
      <c r="J98"/>
      <c r="K98" s="10"/>
      <c r="N98"/>
      <c r="Q98" s="18"/>
      <c r="R98" s="18"/>
    </row>
    <row r="99" spans="3:18">
      <c r="J99"/>
      <c r="K99" s="10"/>
      <c r="N99"/>
      <c r="Q99" s="18"/>
      <c r="R99" s="18"/>
    </row>
    <row r="100" spans="3:18">
      <c r="J100"/>
      <c r="K100" s="10"/>
      <c r="N100"/>
      <c r="Q100" s="18"/>
      <c r="R100" s="18"/>
    </row>
    <row r="101" spans="3:18">
      <c r="J101"/>
      <c r="K101" s="10"/>
      <c r="N101"/>
      <c r="Q101" s="18"/>
      <c r="R101" s="18"/>
    </row>
    <row r="102" spans="3:18">
      <c r="J102"/>
      <c r="K102" s="10"/>
      <c r="N102"/>
      <c r="Q102" s="18"/>
      <c r="R102" s="18"/>
    </row>
    <row r="103" spans="3:18">
      <c r="J103"/>
      <c r="K103" s="10"/>
      <c r="N103"/>
      <c r="Q103" s="18"/>
      <c r="R103" s="18"/>
    </row>
    <row r="104" spans="3:18">
      <c r="F104" s="20"/>
      <c r="J104"/>
      <c r="N104"/>
      <c r="Q104" s="18"/>
      <c r="R104" s="18"/>
    </row>
    <row r="105" spans="3:18">
      <c r="J105"/>
      <c r="N105"/>
      <c r="Q105" s="18"/>
      <c r="R105" s="18"/>
    </row>
    <row r="106" spans="3:18">
      <c r="J106"/>
      <c r="N106"/>
    </row>
    <row r="107" spans="3:18">
      <c r="J107"/>
      <c r="N107"/>
    </row>
    <row r="108" spans="3:18">
      <c r="J108"/>
      <c r="N108"/>
    </row>
    <row r="109" spans="3:18">
      <c r="J109"/>
      <c r="N109"/>
    </row>
    <row r="110" spans="3:18">
      <c r="J110"/>
      <c r="N110"/>
    </row>
    <row r="111" spans="3:18">
      <c r="J111"/>
      <c r="N111"/>
    </row>
    <row r="112" spans="3:18">
      <c r="J112"/>
      <c r="N112"/>
    </row>
    <row r="113" spans="10:14">
      <c r="J113"/>
      <c r="N113"/>
    </row>
    <row r="114" spans="10:14" ht="15" customHeight="1">
      <c r="J114"/>
    </row>
    <row r="115" spans="10:14" ht="15.75" customHeight="1">
      <c r="J115"/>
    </row>
  </sheetData>
  <sortState xmlns:xlrd2="http://schemas.microsoft.com/office/spreadsheetml/2017/richdata2" ref="C15:C40">
    <sortCondition ref="C15"/>
  </sortState>
  <mergeCells count="18">
    <mergeCell ref="B2:P3"/>
    <mergeCell ref="B4:P4"/>
    <mergeCell ref="H6:J6"/>
    <mergeCell ref="E6:G6"/>
    <mergeCell ref="B8:B17"/>
    <mergeCell ref="K6:P6"/>
    <mergeCell ref="K20:P20"/>
    <mergeCell ref="E38:G38"/>
    <mergeCell ref="H38:J38"/>
    <mergeCell ref="K38:P38"/>
    <mergeCell ref="B51:B59"/>
    <mergeCell ref="E49:G49"/>
    <mergeCell ref="H49:J49"/>
    <mergeCell ref="K49:P49"/>
    <mergeCell ref="B22:B35"/>
    <mergeCell ref="B40:B46"/>
    <mergeCell ref="E20:G20"/>
    <mergeCell ref="H20:J20"/>
  </mergeCells>
  <conditionalFormatting sqref="J8:J19 P8:P19 J22:J37 P22:P37 J40:J48 P40:P48 J51:J58 P51:P59">
    <cfRule type="cellIs" dxfId="0" priority="2" operator="greaterThan">
      <formula>0.9</formula>
    </cfRule>
  </conditionalFormatting>
  <pageMargins left="0.7" right="0.7" top="0.75" bottom="0.75" header="0.3" footer="0.3"/>
  <pageSetup paperSize="9" orientation="portrait" r:id="rId1"/>
  <ignoredErrors>
    <ignoredError sqref="M40 M22 M56:M57 M33 M24:M26 M51:M55 M27:M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J16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1" width="21.28515625" bestFit="1" customWidth="1"/>
    <col min="2" max="2" width="5.85546875" bestFit="1" customWidth="1"/>
    <col min="3" max="3" width="5.28515625" bestFit="1" customWidth="1"/>
    <col min="4" max="4" width="6.85546875" bestFit="1" customWidth="1"/>
    <col min="5" max="5" width="14.42578125" customWidth="1"/>
    <col min="6" max="7" width="5.140625" bestFit="1" customWidth="1"/>
    <col min="8" max="8" width="6.42578125" bestFit="1" customWidth="1"/>
    <col min="9" max="9" width="7.5703125" bestFit="1" customWidth="1"/>
  </cols>
  <sheetData>
    <row r="2" spans="1:10">
      <c r="A2" s="180" t="s">
        <v>220</v>
      </c>
      <c r="B2" s="180" t="s">
        <v>221</v>
      </c>
      <c r="C2" s="180" t="s">
        <v>222</v>
      </c>
    </row>
    <row r="3" spans="1:10" ht="21.75" customHeight="1">
      <c r="A3" s="180" t="s">
        <v>101</v>
      </c>
      <c r="B3" s="223"/>
      <c r="C3" s="180"/>
    </row>
    <row r="4" spans="1:10" ht="21.75" customHeight="1">
      <c r="A4" s="180" t="s">
        <v>223</v>
      </c>
      <c r="B4" s="180" t="s">
        <v>221</v>
      </c>
      <c r="C4" s="180" t="s">
        <v>222</v>
      </c>
    </row>
    <row r="5" spans="1:10" ht="21.75" customHeight="1">
      <c r="A5" s="180" t="s">
        <v>101</v>
      </c>
      <c r="B5" s="180"/>
      <c r="C5" s="180"/>
    </row>
    <row r="8" spans="1:10">
      <c r="A8" s="224" t="s">
        <v>224</v>
      </c>
      <c r="B8" s="224" t="s">
        <v>90</v>
      </c>
      <c r="C8" s="224" t="s">
        <v>225</v>
      </c>
      <c r="D8" s="224" t="s">
        <v>226</v>
      </c>
      <c r="E8" s="224" t="s">
        <v>227</v>
      </c>
      <c r="F8" s="224" t="s">
        <v>221</v>
      </c>
      <c r="G8" s="224" t="s">
        <v>222</v>
      </c>
      <c r="H8" s="225" t="s">
        <v>101</v>
      </c>
      <c r="I8" s="45" t="s">
        <v>228</v>
      </c>
    </row>
    <row r="9" spans="1:10">
      <c r="A9" s="81"/>
      <c r="B9" s="103"/>
      <c r="C9" s="180"/>
      <c r="D9" s="180"/>
      <c r="E9" s="226"/>
      <c r="F9" s="81"/>
      <c r="G9" s="81"/>
      <c r="H9" s="227"/>
      <c r="I9" s="43"/>
    </row>
    <row r="10" spans="1:10">
      <c r="A10" s="228"/>
      <c r="B10" s="103"/>
      <c r="C10" s="180"/>
      <c r="D10" s="180"/>
      <c r="E10" s="226"/>
      <c r="F10" s="81"/>
      <c r="G10" s="81"/>
      <c r="H10" s="227"/>
      <c r="I10" s="43"/>
    </row>
    <row r="11" spans="1:10" s="11" customFormat="1">
      <c r="A11" s="229"/>
      <c r="B11" s="230"/>
      <c r="C11" s="180"/>
      <c r="D11" s="180"/>
      <c r="E11" s="231"/>
      <c r="F11" s="81"/>
      <c r="G11" s="229"/>
      <c r="H11" s="227"/>
      <c r="I11" s="44"/>
    </row>
    <row r="12" spans="1:10">
      <c r="A12" s="229"/>
      <c r="B12" s="230"/>
      <c r="C12" s="180"/>
      <c r="D12" s="232"/>
      <c r="E12" s="231"/>
      <c r="F12" s="81"/>
      <c r="G12" s="229"/>
      <c r="H12" s="227"/>
      <c r="I12" s="44"/>
    </row>
    <row r="13" spans="1:10">
      <c r="A13" s="233"/>
      <c r="B13" s="230"/>
      <c r="C13" s="180"/>
      <c r="D13" s="232"/>
      <c r="E13" s="234"/>
      <c r="F13" s="81"/>
      <c r="G13" s="229"/>
      <c r="H13" s="227"/>
      <c r="I13" s="43"/>
    </row>
    <row r="14" spans="1:10">
      <c r="A14" s="81"/>
      <c r="B14" s="103"/>
      <c r="C14" s="81"/>
      <c r="D14" s="81"/>
      <c r="E14" s="81"/>
      <c r="F14" s="81"/>
      <c r="G14" s="81"/>
      <c r="H14" s="227"/>
      <c r="I14" s="43"/>
    </row>
    <row r="15" spans="1:10">
      <c r="A15" s="81"/>
      <c r="B15" s="103"/>
      <c r="C15" s="81"/>
      <c r="D15" s="81"/>
      <c r="E15" s="81"/>
      <c r="F15" s="81"/>
      <c r="G15" s="81"/>
      <c r="H15" s="227"/>
      <c r="I15" s="43"/>
      <c r="J15" s="28"/>
    </row>
    <row r="16" spans="1:10">
      <c r="A16" s="81"/>
      <c r="B16" s="103"/>
      <c r="C16" s="81"/>
      <c r="D16" s="81"/>
      <c r="E16" s="81"/>
      <c r="F16" s="81"/>
      <c r="G16" s="81"/>
      <c r="H16" s="227"/>
      <c r="I16" s="43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2"/>
  <sheetViews>
    <sheetView showGridLines="0" workbookViewId="0">
      <selection activeCell="J20" sqref="J20"/>
    </sheetView>
  </sheetViews>
  <sheetFormatPr baseColWidth="10" defaultColWidth="11.42578125" defaultRowHeight="15"/>
  <cols>
    <col min="1" max="1" width="11.42578125" style="3"/>
    <col min="2" max="2" width="20.7109375" style="3" customWidth="1"/>
    <col min="3" max="3" width="15.5703125" style="3" customWidth="1"/>
    <col min="4" max="5" width="18.42578125" style="3" customWidth="1"/>
    <col min="6" max="6" width="13.42578125" style="3" customWidth="1"/>
    <col min="7" max="7" width="11.42578125" style="3"/>
    <col min="8" max="8" width="14.42578125" style="3" customWidth="1"/>
    <col min="9" max="16384" width="11.42578125" style="3"/>
  </cols>
  <sheetData>
    <row r="2" spans="1:10" ht="15.75" thickBot="1"/>
    <row r="3" spans="1:10">
      <c r="C3" s="352" t="s">
        <v>229</v>
      </c>
      <c r="D3" s="353"/>
      <c r="E3" s="353"/>
      <c r="F3" s="353"/>
      <c r="G3" s="353"/>
      <c r="H3" s="354"/>
    </row>
    <row r="4" spans="1:10" ht="15.75" thickBot="1">
      <c r="C4" s="355">
        <f>Resumen!B4</f>
        <v>46210</v>
      </c>
      <c r="D4" s="356"/>
      <c r="E4" s="356"/>
      <c r="F4" s="356"/>
      <c r="G4" s="356"/>
      <c r="H4" s="357"/>
    </row>
    <row r="5" spans="1:10">
      <c r="C5" s="69"/>
      <c r="D5" s="69"/>
      <c r="E5" s="69"/>
      <c r="F5" s="69"/>
      <c r="G5" s="69"/>
      <c r="H5" s="69"/>
    </row>
    <row r="6" spans="1:10">
      <c r="B6" s="235" t="s">
        <v>230</v>
      </c>
      <c r="C6" s="235" t="s">
        <v>93</v>
      </c>
      <c r="D6" s="235" t="s">
        <v>94</v>
      </c>
      <c r="E6" s="235" t="s">
        <v>92</v>
      </c>
      <c r="F6" s="235" t="s">
        <v>3</v>
      </c>
      <c r="G6" s="235" t="s">
        <v>231</v>
      </c>
      <c r="H6" s="235" t="s">
        <v>8</v>
      </c>
      <c r="I6" s="235" t="s">
        <v>9</v>
      </c>
      <c r="J6" s="6"/>
    </row>
    <row r="7" spans="1:10">
      <c r="A7" s="7"/>
      <c r="B7" s="126"/>
      <c r="C7" s="126"/>
      <c r="D7" s="126"/>
      <c r="E7" s="126"/>
      <c r="F7" s="126"/>
      <c r="G7" s="126"/>
      <c r="H7" s="126"/>
      <c r="I7" s="126"/>
    </row>
    <row r="8" spans="1:10">
      <c r="A8" s="7"/>
    </row>
    <row r="9" spans="1:10">
      <c r="A9" s="7"/>
    </row>
    <row r="15" spans="1:10">
      <c r="A15" s="4"/>
    </row>
    <row r="16" spans="1:10">
      <c r="A16" s="4"/>
    </row>
    <row r="17" spans="1:10">
      <c r="A17" s="4"/>
    </row>
    <row r="18" spans="1:10">
      <c r="A18" s="4"/>
    </row>
    <row r="19" spans="1:10">
      <c r="B19" s="5"/>
      <c r="C19" s="5"/>
      <c r="J19" s="4"/>
    </row>
    <row r="20" spans="1:10">
      <c r="B20" s="5"/>
      <c r="C20" s="5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B25" s="8"/>
      <c r="C25" s="5"/>
      <c r="J25" s="7"/>
    </row>
    <row r="26" spans="1:10">
      <c r="B26" s="8"/>
      <c r="C26" s="5"/>
      <c r="J26" s="7"/>
    </row>
    <row r="31" spans="1:10"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B32" s="8"/>
      <c r="C32" s="5"/>
      <c r="J32" s="7"/>
    </row>
    <row r="33" spans="2:10">
      <c r="B33" s="8"/>
      <c r="C33" s="5"/>
      <c r="J33" s="7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J39" s="4"/>
    </row>
    <row r="40" spans="2:10">
      <c r="B40" s="5"/>
      <c r="C40" s="5"/>
      <c r="J40" s="4"/>
    </row>
    <row r="41" spans="2:10">
      <c r="B41" s="5"/>
      <c r="C41" s="5"/>
      <c r="J41" s="4"/>
    </row>
    <row r="42" spans="2:10">
      <c r="B42" s="5"/>
      <c r="C42" s="5"/>
      <c r="J42" s="4"/>
    </row>
  </sheetData>
  <mergeCells count="2">
    <mergeCell ref="C3:H3"/>
    <mergeCell ref="C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Q57"/>
  <sheetViews>
    <sheetView zoomScale="90" zoomScaleNormal="90" workbookViewId="0">
      <selection activeCell="S8" sqref="S8"/>
    </sheetView>
  </sheetViews>
  <sheetFormatPr baseColWidth="10" defaultColWidth="11.42578125" defaultRowHeight="15"/>
  <cols>
    <col min="1" max="2" width="19" bestFit="1" customWidth="1"/>
    <col min="4" max="4" width="17.85546875" bestFit="1" customWidth="1"/>
    <col min="5" max="5" width="29.5703125" bestFit="1" customWidth="1"/>
    <col min="9" max="9" width="15" customWidth="1"/>
    <col min="14" max="14" width="11.42578125" style="2"/>
  </cols>
  <sheetData>
    <row r="1" spans="1:17">
      <c r="A1" s="94" t="s">
        <v>232</v>
      </c>
      <c r="B1" s="94" t="s">
        <v>233</v>
      </c>
      <c r="C1" s="94" t="s">
        <v>234</v>
      </c>
      <c r="D1" s="94" t="s">
        <v>235</v>
      </c>
      <c r="E1" s="95" t="s">
        <v>236</v>
      </c>
      <c r="F1" s="94" t="s">
        <v>237</v>
      </c>
      <c r="G1" s="94" t="s">
        <v>238</v>
      </c>
      <c r="H1" s="94" t="s">
        <v>239</v>
      </c>
      <c r="I1" s="94" t="s">
        <v>240</v>
      </c>
      <c r="J1" s="94" t="s">
        <v>241</v>
      </c>
      <c r="K1" s="94" t="s">
        <v>242</v>
      </c>
      <c r="L1" s="94" t="s">
        <v>243</v>
      </c>
      <c r="M1" s="96" t="s">
        <v>244</v>
      </c>
      <c r="N1" s="97" t="s">
        <v>245</v>
      </c>
      <c r="O1" s="98" t="s">
        <v>246</v>
      </c>
      <c r="P1" s="81" t="s">
        <v>247</v>
      </c>
      <c r="Q1" s="81" t="s">
        <v>248</v>
      </c>
    </row>
    <row r="2" spans="1:17">
      <c r="A2" s="81" t="s">
        <v>249</v>
      </c>
      <c r="B2" s="81" t="s">
        <v>249</v>
      </c>
      <c r="C2" s="81" t="s">
        <v>221</v>
      </c>
      <c r="D2" s="81" t="s">
        <v>250</v>
      </c>
      <c r="E2" s="81" t="str">
        <f>+'CUOTA INDUSTRIAL'!C8</f>
        <v>ARICA SEAFOOD PRODUCER S.A.</v>
      </c>
      <c r="F2" s="103">
        <v>46023</v>
      </c>
      <c r="G2" s="103">
        <v>46387</v>
      </c>
      <c r="H2" s="81">
        <f>+'CUOTA INDUSTRIAL'!E8</f>
        <v>1503.039</v>
      </c>
      <c r="I2" s="81">
        <f>+'CUOTA INDUSTRIAL'!F8</f>
        <v>-471.04899999999998</v>
      </c>
      <c r="J2" s="81">
        <f>+'CUOTA INDUSTRIAL'!G8</f>
        <v>1031.99</v>
      </c>
      <c r="K2" s="81">
        <f>+'CUOTA INDUSTRIAL'!H8</f>
        <v>0</v>
      </c>
      <c r="L2" s="81">
        <f>+'CUOTA INDUSTRIAL'!I8</f>
        <v>1031.99</v>
      </c>
      <c r="M2" s="93">
        <f>+'CUOTA INDUSTRIAL'!J8</f>
        <v>0</v>
      </c>
      <c r="N2" s="99" t="s">
        <v>15</v>
      </c>
      <c r="O2" s="103">
        <f>Resumen!B$4</f>
        <v>46210</v>
      </c>
      <c r="P2" s="81">
        <v>2026</v>
      </c>
      <c r="Q2" s="81"/>
    </row>
    <row r="3" spans="1:17">
      <c r="A3" s="81" t="s">
        <v>249</v>
      </c>
      <c r="B3" s="81" t="s">
        <v>249</v>
      </c>
      <c r="C3" s="81" t="s">
        <v>221</v>
      </c>
      <c r="D3" s="81" t="s">
        <v>250</v>
      </c>
      <c r="E3" s="81" t="str">
        <f>+'CUOTA INDUSTRIAL'!C10</f>
        <v>CAMANCHACA S.A</v>
      </c>
      <c r="F3" s="103">
        <v>46023</v>
      </c>
      <c r="G3" s="103">
        <v>46387</v>
      </c>
      <c r="H3" s="81">
        <f>+'CUOTA INDUSTRIAL'!E10</f>
        <v>41253.311000000002</v>
      </c>
      <c r="I3" s="81">
        <f>+'CUOTA INDUSTRIAL'!F10</f>
        <v>0</v>
      </c>
      <c r="J3" s="81">
        <f>+'CUOTA INDUSTRIAL'!G10</f>
        <v>41253.311000000002</v>
      </c>
      <c r="K3" s="81">
        <f>+'CUOTA INDUSTRIAL'!H10</f>
        <v>0</v>
      </c>
      <c r="L3" s="81">
        <f>+'CUOTA INDUSTRIAL'!I10</f>
        <v>41253.311000000002</v>
      </c>
      <c r="M3" s="93">
        <f>+'CUOTA INDUSTRIAL'!J10</f>
        <v>0</v>
      </c>
      <c r="N3" s="99" t="s">
        <v>15</v>
      </c>
      <c r="O3" s="103">
        <f>Resumen!B$4</f>
        <v>46210</v>
      </c>
      <c r="P3" s="81">
        <v>2026</v>
      </c>
      <c r="Q3" s="81"/>
    </row>
    <row r="4" spans="1:17">
      <c r="A4" s="81" t="s">
        <v>249</v>
      </c>
      <c r="B4" s="81" t="s">
        <v>249</v>
      </c>
      <c r="C4" s="81" t="s">
        <v>221</v>
      </c>
      <c r="D4" s="81" t="s">
        <v>250</v>
      </c>
      <c r="E4" s="81" t="str">
        <f>+'CUOTA INDUSTRIAL'!C11</f>
        <v>CORPESCA S.A</v>
      </c>
      <c r="F4" s="103">
        <v>46023</v>
      </c>
      <c r="G4" s="103">
        <v>46387</v>
      </c>
      <c r="H4" s="81">
        <f>+'CUOTA INDUSTRIAL'!E11</f>
        <v>114932.455</v>
      </c>
      <c r="I4" s="81">
        <f>+'CUOTA INDUSTRIAL'!F11</f>
        <v>471.04899999999998</v>
      </c>
      <c r="J4" s="81">
        <f>+'CUOTA INDUSTRIAL'!G11</f>
        <v>115403.504</v>
      </c>
      <c r="K4" s="81">
        <f>+'CUOTA INDUSTRIAL'!H11</f>
        <v>0</v>
      </c>
      <c r="L4" s="81">
        <f>+'CUOTA INDUSTRIAL'!I11</f>
        <v>115403.504</v>
      </c>
      <c r="M4" s="93">
        <f>+'CUOTA INDUSTRIAL'!J11</f>
        <v>0</v>
      </c>
      <c r="N4" s="99" t="s">
        <v>15</v>
      </c>
      <c r="O4" s="103">
        <f>Resumen!B$4</f>
        <v>46210</v>
      </c>
      <c r="P4" s="81">
        <v>2026</v>
      </c>
      <c r="Q4" s="81"/>
    </row>
    <row r="5" spans="1:17">
      <c r="A5" s="81" t="s">
        <v>249</v>
      </c>
      <c r="B5" s="81" t="s">
        <v>249</v>
      </c>
      <c r="C5" s="81" t="s">
        <v>221</v>
      </c>
      <c r="D5" s="81" t="s">
        <v>250</v>
      </c>
      <c r="E5" s="81" t="str">
        <f>+'CUOTA INDUSTRIAL'!C12</f>
        <v>DECASUR SPA</v>
      </c>
      <c r="F5" s="103">
        <v>46023</v>
      </c>
      <c r="G5" s="103">
        <v>46387</v>
      </c>
      <c r="H5" s="81">
        <f>+'CUOTA INDUSTRIAL'!E12</f>
        <v>1536.03</v>
      </c>
      <c r="I5" s="81">
        <f>+'CUOTA INDUSTRIAL'!F12</f>
        <v>-1520.5070000000001</v>
      </c>
      <c r="J5" s="81">
        <f>+'CUOTA INDUSTRIAL'!G12</f>
        <v>15.522999999999911</v>
      </c>
      <c r="K5" s="81">
        <f>+'CUOTA INDUSTRIAL'!H12</f>
        <v>0</v>
      </c>
      <c r="L5" s="81">
        <f>+'CUOTA INDUSTRIAL'!I12</f>
        <v>15.522999999999911</v>
      </c>
      <c r="M5" s="93">
        <f>+'CUOTA INDUSTRIAL'!J12</f>
        <v>0</v>
      </c>
      <c r="N5" s="99" t="s">
        <v>15</v>
      </c>
      <c r="O5" s="103">
        <f>Resumen!B$4</f>
        <v>46210</v>
      </c>
      <c r="P5" s="81">
        <v>2026</v>
      </c>
      <c r="Q5" s="81"/>
    </row>
    <row r="6" spans="1:17">
      <c r="A6" s="81" t="s">
        <v>249</v>
      </c>
      <c r="B6" s="81" t="s">
        <v>249</v>
      </c>
      <c r="C6" s="81" t="s">
        <v>221</v>
      </c>
      <c r="D6" s="81" t="s">
        <v>250</v>
      </c>
      <c r="E6" s="81" t="str">
        <f>+'CUOTA INDUSTRIAL'!C13</f>
        <v>LOTE RENUNCIADO</v>
      </c>
      <c r="F6" s="103">
        <v>46023</v>
      </c>
      <c r="G6" s="103">
        <v>46387</v>
      </c>
      <c r="H6" s="81">
        <f>+'CUOTA INDUSTRIAL'!E13</f>
        <v>10496.205</v>
      </c>
      <c r="I6" s="81">
        <f>+'CUOTA INDUSTRIAL'!F13</f>
        <v>0</v>
      </c>
      <c r="J6" s="81">
        <f>+'CUOTA INDUSTRIAL'!G13</f>
        <v>10496.205</v>
      </c>
      <c r="K6" s="81">
        <f>+'CUOTA INDUSTRIAL'!H13</f>
        <v>0</v>
      </c>
      <c r="L6" s="81">
        <f>+'CUOTA INDUSTRIAL'!I13</f>
        <v>10496.205</v>
      </c>
      <c r="M6" s="93">
        <f>+'CUOTA INDUSTRIAL'!J13</f>
        <v>0</v>
      </c>
      <c r="N6" s="99" t="s">
        <v>15</v>
      </c>
      <c r="O6" s="103">
        <f>Resumen!B$4</f>
        <v>46210</v>
      </c>
      <c r="P6" s="81">
        <v>2026</v>
      </c>
      <c r="Q6" s="81"/>
    </row>
    <row r="7" spans="1:17">
      <c r="A7" s="81" t="s">
        <v>249</v>
      </c>
      <c r="B7" s="81" t="s">
        <v>249</v>
      </c>
      <c r="C7" s="81" t="s">
        <v>221</v>
      </c>
      <c r="D7" s="81" t="s">
        <v>250</v>
      </c>
      <c r="E7" s="81" t="str">
        <f>+'CUOTA INDUSTRIAL'!C15</f>
        <v>ESPACIO PESQUERO SpA.</v>
      </c>
      <c r="F7" s="103">
        <v>46023</v>
      </c>
      <c r="G7" s="103">
        <v>46387</v>
      </c>
      <c r="H7" s="81">
        <f>+'CUOTA INDUSTRIAL'!E15</f>
        <v>938.68499999999995</v>
      </c>
      <c r="I7" s="81">
        <f>+'CUOTA INDUSTRIAL'!F15</f>
        <v>-929.19799999999998</v>
      </c>
      <c r="J7" s="81">
        <f>+'CUOTA INDUSTRIAL'!G15</f>
        <v>9.4869999999999663</v>
      </c>
      <c r="K7" s="81">
        <f>+'CUOTA INDUSTRIAL'!H15</f>
        <v>0</v>
      </c>
      <c r="L7" s="81">
        <f>+'CUOTA INDUSTRIAL'!I15</f>
        <v>9.4869999999999663</v>
      </c>
      <c r="M7" s="93">
        <f>+'CUOTA INDUSTRIAL'!J15</f>
        <v>0</v>
      </c>
      <c r="N7" s="99" t="s">
        <v>15</v>
      </c>
      <c r="O7" s="103">
        <f>Resumen!B$4</f>
        <v>46210</v>
      </c>
      <c r="P7" s="81">
        <v>2026</v>
      </c>
      <c r="Q7" s="81"/>
    </row>
    <row r="8" spans="1:17" s="9" customFormat="1">
      <c r="A8" s="104" t="s">
        <v>249</v>
      </c>
      <c r="B8" s="104" t="s">
        <v>249</v>
      </c>
      <c r="C8" s="104" t="s">
        <v>221</v>
      </c>
      <c r="D8" s="104" t="s">
        <v>250</v>
      </c>
      <c r="E8" s="104" t="s">
        <v>251</v>
      </c>
      <c r="F8" s="103">
        <v>46023</v>
      </c>
      <c r="G8" s="103">
        <v>46387</v>
      </c>
      <c r="H8" s="105">
        <f>+'CUOTA INDUSTRIAL'!K17</f>
        <v>170669.96399999998</v>
      </c>
      <c r="I8" s="104">
        <f>+'CUOTA INDUSTRIAL'!L17</f>
        <v>-2449.7049999999999</v>
      </c>
      <c r="J8" s="104">
        <f>+'CUOTA INDUSTRIAL'!M17</f>
        <v>168220.25899999996</v>
      </c>
      <c r="K8" s="104">
        <f>+'CUOTA INDUSTRIAL'!N17</f>
        <v>0</v>
      </c>
      <c r="L8" s="104">
        <f>+'CUOTA INDUSTRIAL'!O17</f>
        <v>168220.25899999996</v>
      </c>
      <c r="M8" s="106">
        <f>+'CUOTA INDUSTRIAL'!P17</f>
        <v>0</v>
      </c>
      <c r="N8" s="100" t="s">
        <v>15</v>
      </c>
      <c r="O8" s="103">
        <f>Resumen!B$4</f>
        <v>46210</v>
      </c>
      <c r="P8" s="81">
        <v>2026</v>
      </c>
      <c r="Q8" s="104"/>
    </row>
    <row r="9" spans="1:17">
      <c r="A9" s="81" t="s">
        <v>249</v>
      </c>
      <c r="B9" s="81" t="s">
        <v>249</v>
      </c>
      <c r="C9" s="81" t="s">
        <v>222</v>
      </c>
      <c r="D9" s="81" t="s">
        <v>250</v>
      </c>
      <c r="E9" s="81" t="str">
        <f>+'CUOTA INDUSTRIAL'!C22</f>
        <v>ABASTECIMIENTO DEL PACIFICO S.A.</v>
      </c>
      <c r="F9" s="103">
        <v>46023</v>
      </c>
      <c r="G9" s="103">
        <v>46387</v>
      </c>
      <c r="H9" s="81">
        <f>+'CUOTA INDUSTRIAL'!E22</f>
        <v>75.768000000000001</v>
      </c>
      <c r="I9" s="81">
        <f>+'CUOTA INDUSTRIAL'!F22</f>
        <v>0</v>
      </c>
      <c r="J9" s="81">
        <f>+'CUOTA INDUSTRIAL'!G22</f>
        <v>75.768000000000001</v>
      </c>
      <c r="K9" s="81">
        <f>+'CUOTA INDUSTRIAL'!H22</f>
        <v>0</v>
      </c>
      <c r="L9" s="81">
        <f>+'CUOTA INDUSTRIAL'!I22</f>
        <v>75.768000000000001</v>
      </c>
      <c r="M9" s="93">
        <f>+'CUOTA INDUSTRIAL'!J22</f>
        <v>0</v>
      </c>
      <c r="N9" s="99" t="s">
        <v>15</v>
      </c>
      <c r="O9" s="103">
        <f>Resumen!B$4</f>
        <v>46210</v>
      </c>
      <c r="P9" s="81">
        <v>2026</v>
      </c>
      <c r="Q9" s="81"/>
    </row>
    <row r="10" spans="1:17">
      <c r="A10" s="81" t="s">
        <v>249</v>
      </c>
      <c r="B10" s="81" t="s">
        <v>249</v>
      </c>
      <c r="C10" s="81" t="s">
        <v>222</v>
      </c>
      <c r="D10" s="81" t="s">
        <v>250</v>
      </c>
      <c r="E10" s="81" t="str">
        <f>+'CUOTA INDUSTRIAL'!C23</f>
        <v xml:space="preserve">ALIMENTOS MARINOS S.A.          </v>
      </c>
      <c r="F10" s="103">
        <v>46023</v>
      </c>
      <c r="G10" s="103">
        <v>46387</v>
      </c>
      <c r="H10" s="81">
        <f>+'CUOTA INDUSTRIAL'!E23</f>
        <v>404.07600000000002</v>
      </c>
      <c r="I10" s="81">
        <f>+'CUOTA INDUSTRIAL'!F23</f>
        <v>0</v>
      </c>
      <c r="J10" s="81">
        <f>+'CUOTA INDUSTRIAL'!G23</f>
        <v>404.07600000000002</v>
      </c>
      <c r="K10" s="81">
        <f>+'CUOTA INDUSTRIAL'!H23</f>
        <v>0</v>
      </c>
      <c r="L10" s="81">
        <f>+'CUOTA INDUSTRIAL'!I23</f>
        <v>404.07600000000002</v>
      </c>
      <c r="M10" s="107">
        <f>+'CUOTA INDUSTRIAL'!J23</f>
        <v>0</v>
      </c>
      <c r="N10" s="99" t="s">
        <v>15</v>
      </c>
      <c r="O10" s="103">
        <f>Resumen!B$4</f>
        <v>46210</v>
      </c>
      <c r="P10" s="81">
        <v>2026</v>
      </c>
      <c r="Q10" s="81"/>
    </row>
    <row r="11" spans="1:17">
      <c r="A11" s="81" t="s">
        <v>249</v>
      </c>
      <c r="B11" s="81" t="s">
        <v>249</v>
      </c>
      <c r="C11" s="81" t="s">
        <v>222</v>
      </c>
      <c r="D11" s="81" t="s">
        <v>250</v>
      </c>
      <c r="E11" s="81" t="str">
        <f>+'CUOTA INDUSTRIAL'!C24</f>
        <v>ATILIO REYES BARRERA</v>
      </c>
      <c r="F11" s="103">
        <v>46023</v>
      </c>
      <c r="G11" s="103">
        <v>46387</v>
      </c>
      <c r="H11" s="81">
        <f>+'CUOTA INDUSTRIAL'!E24</f>
        <v>54.12</v>
      </c>
      <c r="I11" s="81">
        <f>+'CUOTA INDUSTRIAL'!F24</f>
        <v>0</v>
      </c>
      <c r="J11" s="81">
        <f>+'CUOTA INDUSTRIAL'!G24</f>
        <v>54.12</v>
      </c>
      <c r="K11" s="81">
        <f>+'CUOTA INDUSTRIAL'!H24</f>
        <v>0</v>
      </c>
      <c r="L11" s="81">
        <f>+'CUOTA INDUSTRIAL'!I24</f>
        <v>54.12</v>
      </c>
      <c r="M11" s="93">
        <f>+'CUOTA INDUSTRIAL'!J24</f>
        <v>0</v>
      </c>
      <c r="N11" s="99" t="s">
        <v>15</v>
      </c>
      <c r="O11" s="103">
        <f>Resumen!B$4</f>
        <v>46210</v>
      </c>
      <c r="P11" s="81">
        <v>2026</v>
      </c>
      <c r="Q11" s="81"/>
    </row>
    <row r="12" spans="1:17">
      <c r="A12" s="81" t="s">
        <v>249</v>
      </c>
      <c r="B12" s="81" t="s">
        <v>249</v>
      </c>
      <c r="C12" s="81" t="s">
        <v>222</v>
      </c>
      <c r="D12" s="81" t="s">
        <v>250</v>
      </c>
      <c r="E12" s="81" t="str">
        <f>+'CUOTA INDUSTRIAL'!C25</f>
        <v xml:space="preserve">BAHIA CALDERA S.A. PESQ.          </v>
      </c>
      <c r="F12" s="103">
        <v>46023</v>
      </c>
      <c r="G12" s="103">
        <v>46387</v>
      </c>
      <c r="H12" s="81">
        <f>+'CUOTA INDUSTRIAL'!E25</f>
        <v>3156.8429999999998</v>
      </c>
      <c r="I12" s="81">
        <f>+'CUOTA INDUSTRIAL'!F25</f>
        <v>0</v>
      </c>
      <c r="J12" s="81">
        <f>+'CUOTA INDUSTRIAL'!G25</f>
        <v>3156.8429999999998</v>
      </c>
      <c r="K12" s="81">
        <f>+'CUOTA INDUSTRIAL'!H25</f>
        <v>0</v>
      </c>
      <c r="L12" s="81">
        <f>+'CUOTA INDUSTRIAL'!I25</f>
        <v>3156.8429999999998</v>
      </c>
      <c r="M12" s="93">
        <f>+'CUOTA INDUSTRIAL'!J25</f>
        <v>0</v>
      </c>
      <c r="N12" s="99" t="s">
        <v>15</v>
      </c>
      <c r="O12" s="103">
        <f>Resumen!B$4</f>
        <v>46210</v>
      </c>
      <c r="P12" s="81">
        <v>2026</v>
      </c>
      <c r="Q12" s="81"/>
    </row>
    <row r="13" spans="1:17">
      <c r="A13" s="81" t="s">
        <v>249</v>
      </c>
      <c r="B13" s="81" t="s">
        <v>249</v>
      </c>
      <c r="C13" s="81" t="s">
        <v>222</v>
      </c>
      <c r="D13" s="81" t="s">
        <v>250</v>
      </c>
      <c r="E13" s="81" t="str">
        <f>+'CUOTA INDUSTRIAL'!C26</f>
        <v xml:space="preserve">BLUMAR S.A.                                              </v>
      </c>
      <c r="F13" s="103">
        <v>46023</v>
      </c>
      <c r="G13" s="103">
        <v>46387</v>
      </c>
      <c r="H13" s="81">
        <f>+'CUOTA INDUSTRIAL'!E26</f>
        <v>23.309000000000001</v>
      </c>
      <c r="I13" s="81">
        <f>+'CUOTA INDUSTRIAL'!F26</f>
        <v>0</v>
      </c>
      <c r="J13" s="81">
        <f>+'CUOTA INDUSTRIAL'!G26</f>
        <v>23.309000000000001</v>
      </c>
      <c r="K13" s="81">
        <f>+'CUOTA INDUSTRIAL'!H26</f>
        <v>0</v>
      </c>
      <c r="L13" s="81">
        <f>+'CUOTA INDUSTRIAL'!I26</f>
        <v>23.309000000000001</v>
      </c>
      <c r="M13" s="93">
        <f>+'CUOTA INDUSTRIAL'!J26</f>
        <v>0</v>
      </c>
      <c r="N13" s="99" t="s">
        <v>15</v>
      </c>
      <c r="O13" s="103">
        <f>Resumen!B$4</f>
        <v>46210</v>
      </c>
      <c r="P13" s="81">
        <v>2026</v>
      </c>
      <c r="Q13" s="81"/>
    </row>
    <row r="14" spans="1:17">
      <c r="A14" s="81" t="s">
        <v>249</v>
      </c>
      <c r="B14" s="81" t="s">
        <v>249</v>
      </c>
      <c r="C14" s="81" t="s">
        <v>222</v>
      </c>
      <c r="D14" s="81" t="s">
        <v>250</v>
      </c>
      <c r="E14" s="81" t="str">
        <f>+'CUOTA INDUSTRIAL'!C27</f>
        <v xml:space="preserve">CAMANCHACA S.A. CIA. PESQ    </v>
      </c>
      <c r="F14" s="103">
        <v>46023</v>
      </c>
      <c r="G14" s="103">
        <v>46387</v>
      </c>
      <c r="H14" s="81">
        <f>+'CUOTA INDUSTRIAL'!E27</f>
        <v>200.89400000000001</v>
      </c>
      <c r="I14" s="81">
        <f>+'CUOTA INDUSTRIAL'!F27</f>
        <v>0</v>
      </c>
      <c r="J14" s="81">
        <f>+'CUOTA INDUSTRIAL'!G27</f>
        <v>200.89400000000001</v>
      </c>
      <c r="K14" s="81">
        <f>+'CUOTA INDUSTRIAL'!H27</f>
        <v>0</v>
      </c>
      <c r="L14" s="81">
        <f>+'CUOTA INDUSTRIAL'!I27</f>
        <v>200.89400000000001</v>
      </c>
      <c r="M14" s="93">
        <f>+'CUOTA INDUSTRIAL'!J27</f>
        <v>0</v>
      </c>
      <c r="N14" s="99" t="s">
        <v>15</v>
      </c>
      <c r="O14" s="103">
        <f>Resumen!B$4</f>
        <v>46210</v>
      </c>
      <c r="P14" s="81">
        <v>2026</v>
      </c>
      <c r="Q14" s="81"/>
    </row>
    <row r="15" spans="1:17">
      <c r="A15" s="81" t="s">
        <v>249</v>
      </c>
      <c r="B15" s="81" t="s">
        <v>249</v>
      </c>
      <c r="C15" s="81" t="s">
        <v>222</v>
      </c>
      <c r="D15" s="81" t="s">
        <v>250</v>
      </c>
      <c r="E15" s="81" t="str">
        <f>+'CUOTA INDUSTRIAL'!C28</f>
        <v>ERIC ARACENA REYNUABA</v>
      </c>
      <c r="F15" s="103">
        <v>46023</v>
      </c>
      <c r="G15" s="103">
        <v>46387</v>
      </c>
      <c r="H15" s="81">
        <f>+'CUOTA INDUSTRIAL'!E28</f>
        <v>28.864000000000001</v>
      </c>
      <c r="I15" s="81">
        <f>+'CUOTA INDUSTRIAL'!F28</f>
        <v>0</v>
      </c>
      <c r="J15" s="81">
        <f>+'CUOTA INDUSTRIAL'!G28</f>
        <v>28.864000000000001</v>
      </c>
      <c r="K15" s="81">
        <f>+'CUOTA INDUSTRIAL'!H28</f>
        <v>0</v>
      </c>
      <c r="L15" s="81">
        <f>+'CUOTA INDUSTRIAL'!I28</f>
        <v>28.864000000000001</v>
      </c>
      <c r="M15" s="93">
        <f>+'CUOTA INDUSTRIAL'!J28</f>
        <v>0</v>
      </c>
      <c r="N15" s="99" t="s">
        <v>15</v>
      </c>
      <c r="O15" s="103">
        <f>Resumen!B$4</f>
        <v>46210</v>
      </c>
      <c r="P15" s="81">
        <v>2026</v>
      </c>
      <c r="Q15" s="81"/>
    </row>
    <row r="16" spans="1:17">
      <c r="A16" s="81" t="s">
        <v>249</v>
      </c>
      <c r="B16" s="81" t="s">
        <v>249</v>
      </c>
      <c r="C16" s="81" t="s">
        <v>222</v>
      </c>
      <c r="D16" s="81" t="s">
        <v>250</v>
      </c>
      <c r="E16" s="81" t="str">
        <f>+'CUOTA INDUSTRIAL'!C29</f>
        <v>FOODCORP CHILE S.A.</v>
      </c>
      <c r="F16" s="103">
        <v>46023</v>
      </c>
      <c r="G16" s="103">
        <v>46387</v>
      </c>
      <c r="H16" s="81">
        <f>+'CUOTA INDUSTRIAL'!E29</f>
        <v>18.04</v>
      </c>
      <c r="I16" s="81">
        <f>+'CUOTA INDUSTRIAL'!F29</f>
        <v>0</v>
      </c>
      <c r="J16" s="81">
        <f>+'CUOTA INDUSTRIAL'!G29</f>
        <v>18.04</v>
      </c>
      <c r="K16" s="81">
        <f>+'CUOTA INDUSTRIAL'!H29</f>
        <v>0</v>
      </c>
      <c r="L16" s="81">
        <f>+'CUOTA INDUSTRIAL'!I29</f>
        <v>18.04</v>
      </c>
      <c r="M16" s="93">
        <f>+'CUOTA INDUSTRIAL'!J29</f>
        <v>0</v>
      </c>
      <c r="N16" s="99" t="s">
        <v>15</v>
      </c>
      <c r="O16" s="103">
        <f>Resumen!B$4</f>
        <v>46210</v>
      </c>
      <c r="P16" s="81">
        <v>2026</v>
      </c>
      <c r="Q16" s="81"/>
    </row>
    <row r="17" spans="1:17">
      <c r="A17" s="81" t="s">
        <v>249</v>
      </c>
      <c r="B17" s="81" t="s">
        <v>249</v>
      </c>
      <c r="C17" s="81" t="s">
        <v>222</v>
      </c>
      <c r="D17" s="81" t="s">
        <v>250</v>
      </c>
      <c r="E17" s="81" t="str">
        <f>+'CUOTA INDUSTRIAL'!C30</f>
        <v>GIULLIANO REYNUABA SALAS</v>
      </c>
      <c r="F17" s="103">
        <v>46023</v>
      </c>
      <c r="G17" s="103">
        <v>46387</v>
      </c>
      <c r="H17" s="81">
        <f>+'CUOTA INDUSTRIAL'!E30</f>
        <v>28.864000000000001</v>
      </c>
      <c r="I17" s="81">
        <f>+'CUOTA INDUSTRIAL'!F30</f>
        <v>0</v>
      </c>
      <c r="J17" s="81">
        <f>+'CUOTA INDUSTRIAL'!G30</f>
        <v>28.864000000000001</v>
      </c>
      <c r="K17" s="81">
        <f>+'CUOTA INDUSTRIAL'!H30</f>
        <v>0</v>
      </c>
      <c r="L17" s="81">
        <f>+'CUOTA INDUSTRIAL'!I30</f>
        <v>28.864000000000001</v>
      </c>
      <c r="M17" s="93">
        <f>+'CUOTA INDUSTRIAL'!J30</f>
        <v>0</v>
      </c>
      <c r="N17" s="99" t="s">
        <v>15</v>
      </c>
      <c r="O17" s="103">
        <f>Resumen!B$4</f>
        <v>46210</v>
      </c>
      <c r="P17" s="81">
        <v>2026</v>
      </c>
      <c r="Q17" s="81"/>
    </row>
    <row r="18" spans="1:17">
      <c r="A18" s="81" t="s">
        <v>249</v>
      </c>
      <c r="B18" s="81" t="s">
        <v>249</v>
      </c>
      <c r="C18" s="81" t="s">
        <v>222</v>
      </c>
      <c r="D18" s="81" t="s">
        <v>250</v>
      </c>
      <c r="E18" s="81" t="str">
        <f>+'CUOTA INDUSTRIAL'!C31</f>
        <v xml:space="preserve">LANDES S.A. SOC. PESQ.                           </v>
      </c>
      <c r="F18" s="103">
        <v>46023</v>
      </c>
      <c r="G18" s="103">
        <v>46387</v>
      </c>
      <c r="H18" s="81">
        <f>+'CUOTA INDUSTRIAL'!E31</f>
        <v>0.67400000000000004</v>
      </c>
      <c r="I18" s="81">
        <f>+'CUOTA INDUSTRIAL'!F31</f>
        <v>0</v>
      </c>
      <c r="J18" s="81">
        <f>+'CUOTA INDUSTRIAL'!G31</f>
        <v>0.67400000000000004</v>
      </c>
      <c r="K18" s="81">
        <f>+'CUOTA INDUSTRIAL'!H31</f>
        <v>0</v>
      </c>
      <c r="L18" s="81">
        <f>+'CUOTA INDUSTRIAL'!I31</f>
        <v>0.67400000000000004</v>
      </c>
      <c r="M18" s="93">
        <f>+'CUOTA INDUSTRIAL'!J31</f>
        <v>0</v>
      </c>
      <c r="N18" s="99" t="s">
        <v>15</v>
      </c>
      <c r="O18" s="103">
        <f>Resumen!B$4</f>
        <v>46210</v>
      </c>
      <c r="P18" s="81">
        <v>2026</v>
      </c>
      <c r="Q18" s="81"/>
    </row>
    <row r="19" spans="1:17">
      <c r="A19" s="81" t="s">
        <v>249</v>
      </c>
      <c r="B19" s="81" t="s">
        <v>249</v>
      </c>
      <c r="C19" s="81" t="s">
        <v>222</v>
      </c>
      <c r="D19" s="81" t="s">
        <v>250</v>
      </c>
      <c r="E19" s="81" t="str">
        <f>+'CUOTA INDUSTRIAL'!C32</f>
        <v xml:space="preserve">ORIZON S.A                                                   </v>
      </c>
      <c r="F19" s="103">
        <v>46023</v>
      </c>
      <c r="G19" s="103">
        <v>46387</v>
      </c>
      <c r="H19" s="81">
        <f>+'CUOTA INDUSTRIAL'!E32</f>
        <v>3071.4830000000002</v>
      </c>
      <c r="I19" s="81">
        <f>+'CUOTA INDUSTRIAL'!F32</f>
        <v>0</v>
      </c>
      <c r="J19" s="81">
        <f>+'CUOTA INDUSTRIAL'!G32</f>
        <v>3071.4830000000002</v>
      </c>
      <c r="K19" s="81">
        <f>+'CUOTA INDUSTRIAL'!H32</f>
        <v>0</v>
      </c>
      <c r="L19" s="81">
        <f>+'CUOTA INDUSTRIAL'!I32</f>
        <v>3071.4830000000002</v>
      </c>
      <c r="M19" s="93">
        <f>+'CUOTA INDUSTRIAL'!J32</f>
        <v>0</v>
      </c>
      <c r="N19" s="99" t="s">
        <v>15</v>
      </c>
      <c r="O19" s="103">
        <f>Resumen!B$4</f>
        <v>46210</v>
      </c>
      <c r="P19" s="81">
        <v>2026</v>
      </c>
      <c r="Q19" s="81"/>
    </row>
    <row r="20" spans="1:17">
      <c r="A20" s="81" t="s">
        <v>249</v>
      </c>
      <c r="B20" s="81" t="s">
        <v>249</v>
      </c>
      <c r="C20" s="81" t="s">
        <v>222</v>
      </c>
      <c r="D20" s="81" t="s">
        <v>250</v>
      </c>
      <c r="E20" s="81" t="str">
        <f>+'CUOTA INDUSTRIAL'!C33</f>
        <v>PROCESOS TECNOLOGICOS DEL BIO BIO SpA</v>
      </c>
      <c r="F20" s="103">
        <v>46023</v>
      </c>
      <c r="G20" s="103">
        <v>46387</v>
      </c>
      <c r="H20" s="81">
        <f>+'CUOTA INDUSTRIAL'!E33</f>
        <v>82.983999999999995</v>
      </c>
      <c r="I20" s="81">
        <f>+'CUOTA INDUSTRIAL'!F33</f>
        <v>0</v>
      </c>
      <c r="J20" s="81">
        <f>+'CUOTA INDUSTRIAL'!G33</f>
        <v>82.983999999999995</v>
      </c>
      <c r="K20" s="81">
        <f>+'CUOTA INDUSTRIAL'!H33</f>
        <v>0</v>
      </c>
      <c r="L20" s="81">
        <f>+'CUOTA INDUSTRIAL'!I33</f>
        <v>82.983999999999995</v>
      </c>
      <c r="M20" s="93">
        <f>+'CUOTA INDUSTRIAL'!J33</f>
        <v>0</v>
      </c>
      <c r="N20" s="99" t="s">
        <v>15</v>
      </c>
      <c r="O20" s="103">
        <f>Resumen!B$4</f>
        <v>46210</v>
      </c>
      <c r="P20" s="81">
        <v>2026</v>
      </c>
      <c r="Q20" s="81"/>
    </row>
    <row r="21" spans="1:17">
      <c r="A21" s="81" t="s">
        <v>249</v>
      </c>
      <c r="B21" s="81" t="s">
        <v>249</v>
      </c>
      <c r="C21" s="81" t="s">
        <v>222</v>
      </c>
      <c r="D21" s="81" t="s">
        <v>250</v>
      </c>
      <c r="E21" s="81" t="str">
        <f>+'CUOTA INDUSTRIAL'!C34</f>
        <v>SIPESUR SPA</v>
      </c>
      <c r="F21" s="103">
        <v>46023</v>
      </c>
      <c r="G21" s="103">
        <v>46387</v>
      </c>
      <c r="H21" s="81">
        <f>+'CUOTA INDUSTRIAL'!E34</f>
        <v>70.081000000000003</v>
      </c>
      <c r="I21" s="81">
        <f>+'CUOTA INDUSTRIAL'!F34</f>
        <v>0</v>
      </c>
      <c r="J21" s="81">
        <f>+'CUOTA INDUSTRIAL'!G34</f>
        <v>70.081000000000003</v>
      </c>
      <c r="K21" s="81">
        <f>+'CUOTA INDUSTRIAL'!H34</f>
        <v>0</v>
      </c>
      <c r="L21" s="81">
        <f>+'CUOTA INDUSTRIAL'!I34</f>
        <v>70.081000000000003</v>
      </c>
      <c r="M21" s="93">
        <f>+'CUOTA INDUSTRIAL'!J34</f>
        <v>0</v>
      </c>
      <c r="N21" s="99" t="s">
        <v>15</v>
      </c>
      <c r="O21" s="103">
        <f>Resumen!B$4</f>
        <v>46210</v>
      </c>
      <c r="P21" s="81">
        <v>2026</v>
      </c>
      <c r="Q21" s="81"/>
    </row>
    <row r="22" spans="1:17" s="9" customFormat="1">
      <c r="A22" s="104" t="s">
        <v>249</v>
      </c>
      <c r="B22" s="104" t="s">
        <v>249</v>
      </c>
      <c r="C22" s="104" t="s">
        <v>222</v>
      </c>
      <c r="D22" s="104" t="s">
        <v>250</v>
      </c>
      <c r="E22" s="104" t="s">
        <v>251</v>
      </c>
      <c r="F22" s="103">
        <v>46023</v>
      </c>
      <c r="G22" s="103">
        <v>46387</v>
      </c>
      <c r="H22" s="104">
        <f>+'CUOTA INDUSTRIAL'!K35</f>
        <v>7216.0000000000009</v>
      </c>
      <c r="I22" s="104">
        <f>+'CUOTA INDUSTRIAL'!L35</f>
        <v>0</v>
      </c>
      <c r="J22" s="104">
        <f>+'CUOTA INDUSTRIAL'!M35</f>
        <v>7216.0000000000009</v>
      </c>
      <c r="K22" s="104">
        <f>+'CUOTA INDUSTRIAL'!N35</f>
        <v>0</v>
      </c>
      <c r="L22" s="104">
        <f>+'CUOTA INDUSTRIAL'!O35</f>
        <v>7216.0000000000009</v>
      </c>
      <c r="M22" s="106">
        <f>+'CUOTA INDUSTRIAL'!P35</f>
        <v>0</v>
      </c>
      <c r="N22" s="100" t="s">
        <v>15</v>
      </c>
      <c r="O22" s="103">
        <f>Resumen!B$4</f>
        <v>46210</v>
      </c>
      <c r="P22" s="81">
        <v>2026</v>
      </c>
      <c r="Q22" s="104"/>
    </row>
    <row r="23" spans="1:17">
      <c r="A23" s="81" t="s">
        <v>252</v>
      </c>
      <c r="B23" s="81" t="s">
        <v>252</v>
      </c>
      <c r="C23" s="81" t="s">
        <v>221</v>
      </c>
      <c r="D23" s="81" t="s">
        <v>250</v>
      </c>
      <c r="E23" s="81" t="str">
        <f>+'CUOTA INDUSTRIAL'!C40</f>
        <v xml:space="preserve">ARICA SEAFOOD PRODUCER S.A.  </v>
      </c>
      <c r="F23" s="103">
        <v>46023</v>
      </c>
      <c r="G23" s="103">
        <v>46387</v>
      </c>
      <c r="H23" s="81">
        <f>+'CUOTA INDUSTRIAL'!E40</f>
        <v>14.494999999999999</v>
      </c>
      <c r="I23" s="81">
        <f>+'CUOTA INDUSTRIAL'!F40</f>
        <v>0</v>
      </c>
      <c r="J23" s="81">
        <f>+'CUOTA INDUSTRIAL'!G40</f>
        <v>14.494999999999999</v>
      </c>
      <c r="K23" s="81">
        <f>+'CUOTA INDUSTRIAL'!H40</f>
        <v>0</v>
      </c>
      <c r="L23" s="81">
        <f>+'CUOTA INDUSTRIAL'!I40</f>
        <v>14.494999999999999</v>
      </c>
      <c r="M23" s="93">
        <f>+'CUOTA INDUSTRIAL'!J40</f>
        <v>0</v>
      </c>
      <c r="N23" s="99" t="s">
        <v>15</v>
      </c>
      <c r="O23" s="103">
        <f>Resumen!B$4</f>
        <v>46210</v>
      </c>
      <c r="P23" s="81">
        <v>2026</v>
      </c>
      <c r="Q23" s="81"/>
    </row>
    <row r="24" spans="1:17">
      <c r="A24" s="81" t="s">
        <v>252</v>
      </c>
      <c r="B24" s="81" t="s">
        <v>252</v>
      </c>
      <c r="C24" s="81" t="s">
        <v>221</v>
      </c>
      <c r="D24" s="81" t="s">
        <v>250</v>
      </c>
      <c r="E24" s="81" t="str">
        <f>+'CUOTA INDUSTRIAL'!C41</f>
        <v>BLUMAR S.A.</v>
      </c>
      <c r="F24" s="103">
        <v>46023</v>
      </c>
      <c r="G24" s="103">
        <v>46387</v>
      </c>
      <c r="H24" s="81">
        <f>+'CUOTA INDUSTRIAL'!E41</f>
        <v>1.544</v>
      </c>
      <c r="I24" s="81">
        <f>+'CUOTA INDUSTRIAL'!F41</f>
        <v>0</v>
      </c>
      <c r="J24" s="81">
        <f>+'CUOTA INDUSTRIAL'!G41</f>
        <v>1.544</v>
      </c>
      <c r="K24" s="81">
        <f>+'CUOTA INDUSTRIAL'!H41</f>
        <v>0</v>
      </c>
      <c r="L24" s="81">
        <f>+'CUOTA INDUSTRIAL'!I41</f>
        <v>1.544</v>
      </c>
      <c r="M24" s="93">
        <f>+'CUOTA INDUSTRIAL'!J41</f>
        <v>0</v>
      </c>
      <c r="N24" s="99" t="s">
        <v>15</v>
      </c>
      <c r="O24" s="103">
        <f>Resumen!B$4</f>
        <v>46210</v>
      </c>
      <c r="P24" s="81">
        <v>2026</v>
      </c>
      <c r="Q24" s="81"/>
    </row>
    <row r="25" spans="1:17">
      <c r="A25" s="81" t="s">
        <v>252</v>
      </c>
      <c r="B25" s="81" t="s">
        <v>252</v>
      </c>
      <c r="C25" s="81" t="s">
        <v>221</v>
      </c>
      <c r="D25" s="81" t="s">
        <v>250</v>
      </c>
      <c r="E25" s="81" t="str">
        <f>+'CUOTA INDUSTRIAL'!C42</f>
        <v xml:space="preserve">CAMANCHACA S.A. CIA. PESQ      </v>
      </c>
      <c r="F25" s="103">
        <v>46023</v>
      </c>
      <c r="G25" s="103">
        <v>46387</v>
      </c>
      <c r="H25" s="81">
        <f>+'CUOTA INDUSTRIAL'!E42</f>
        <v>925.14700000000005</v>
      </c>
      <c r="I25" s="81">
        <f>+'CUOTA INDUSTRIAL'!F42</f>
        <v>-750</v>
      </c>
      <c r="J25" s="81">
        <f>+'CUOTA INDUSTRIAL'!G42</f>
        <v>175.14700000000005</v>
      </c>
      <c r="K25" s="81">
        <f>+'CUOTA INDUSTRIAL'!H42</f>
        <v>0</v>
      </c>
      <c r="L25" s="81">
        <f>+'CUOTA INDUSTRIAL'!I42</f>
        <v>175.14700000000005</v>
      </c>
      <c r="M25" s="93">
        <f>+'CUOTA INDUSTRIAL'!J42</f>
        <v>0</v>
      </c>
      <c r="N25" s="99" t="s">
        <v>15</v>
      </c>
      <c r="O25" s="103">
        <f>Resumen!B$4</f>
        <v>46210</v>
      </c>
      <c r="P25" s="81">
        <v>2026</v>
      </c>
      <c r="Q25" s="81"/>
    </row>
    <row r="26" spans="1:17">
      <c r="A26" s="81" t="s">
        <v>252</v>
      </c>
      <c r="B26" s="81" t="s">
        <v>252</v>
      </c>
      <c r="C26" s="81" t="s">
        <v>221</v>
      </c>
      <c r="D26" s="81" t="s">
        <v>250</v>
      </c>
      <c r="E26" s="81" t="str">
        <f>+'CUOTA INDUSTRIAL'!C45</f>
        <v xml:space="preserve">CORPESCA S.A.                             </v>
      </c>
      <c r="F26" s="103">
        <v>46023</v>
      </c>
      <c r="G26" s="103">
        <v>46387</v>
      </c>
      <c r="H26" s="81">
        <f>+'CUOTA INDUSTRIAL'!E45</f>
        <v>3465.7280000000001</v>
      </c>
      <c r="I26" s="81">
        <f>+'CUOTA INDUSTRIAL'!F45</f>
        <v>-1200</v>
      </c>
      <c r="J26" s="81">
        <f>+'CUOTA INDUSTRIAL'!G45</f>
        <v>2265.7280000000001</v>
      </c>
      <c r="K26" s="81">
        <f>+'CUOTA INDUSTRIAL'!H45</f>
        <v>0</v>
      </c>
      <c r="L26" s="81">
        <f>+'CUOTA INDUSTRIAL'!I45</f>
        <v>2265.7280000000001</v>
      </c>
      <c r="M26" s="93">
        <f>+'CUOTA INDUSTRIAL'!J45</f>
        <v>0</v>
      </c>
      <c r="N26" s="99" t="s">
        <v>15</v>
      </c>
      <c r="O26" s="103">
        <f>Resumen!B$4</f>
        <v>46210</v>
      </c>
      <c r="P26" s="81">
        <v>2026</v>
      </c>
      <c r="Q26" s="81"/>
    </row>
    <row r="27" spans="1:17" s="9" customFormat="1">
      <c r="A27" s="104" t="s">
        <v>252</v>
      </c>
      <c r="B27" s="104" t="s">
        <v>252</v>
      </c>
      <c r="C27" s="104" t="s">
        <v>221</v>
      </c>
      <c r="D27" s="104" t="s">
        <v>250</v>
      </c>
      <c r="E27" s="104" t="s">
        <v>251</v>
      </c>
      <c r="F27" s="103">
        <v>46023</v>
      </c>
      <c r="G27" s="103">
        <v>46387</v>
      </c>
      <c r="H27" s="108">
        <f>'CUOTA INDUSTRIAL'!E46</f>
        <v>4410.0020000000004</v>
      </c>
      <c r="I27" s="104">
        <f>+'CUOTA INDUSTRIAL'!L46</f>
        <v>-1950</v>
      </c>
      <c r="J27" s="104">
        <f>+'CUOTA INDUSTRIAL'!M46</f>
        <v>2460.0020000000004</v>
      </c>
      <c r="K27" s="104">
        <f>+'CUOTA INDUSTRIAL'!N46</f>
        <v>0</v>
      </c>
      <c r="L27" s="104">
        <f>+'CUOTA INDUSTRIAL'!O46</f>
        <v>2460.0020000000004</v>
      </c>
      <c r="M27" s="106">
        <f>+'CUOTA INDUSTRIAL'!P46</f>
        <v>0</v>
      </c>
      <c r="N27" s="100" t="s">
        <v>15</v>
      </c>
      <c r="O27" s="103">
        <f>Resumen!B$4</f>
        <v>46210</v>
      </c>
      <c r="P27" s="81">
        <v>2026</v>
      </c>
      <c r="Q27" s="104"/>
    </row>
    <row r="28" spans="1:17">
      <c r="A28" s="81" t="s">
        <v>252</v>
      </c>
      <c r="B28" s="81" t="s">
        <v>252</v>
      </c>
      <c r="C28" s="81" t="s">
        <v>222</v>
      </c>
      <c r="D28" s="81" t="s">
        <v>250</v>
      </c>
      <c r="E28" s="81" t="str">
        <f>+'CUOTA INDUSTRIAL'!C51</f>
        <v xml:space="preserve">ALIMENTOS MARINOS S.A.          </v>
      </c>
      <c r="F28" s="103">
        <v>46023</v>
      </c>
      <c r="G28" s="103">
        <v>46387</v>
      </c>
      <c r="H28" s="81">
        <f>+'CUOTA INDUSTRIAL'!E51</f>
        <v>302.63900000000001</v>
      </c>
      <c r="I28" s="81">
        <f>+'CUOTA INDUSTRIAL'!F51</f>
        <v>0</v>
      </c>
      <c r="J28" s="81">
        <f>+'CUOTA INDUSTRIAL'!G51</f>
        <v>302.63900000000001</v>
      </c>
      <c r="K28" s="81">
        <f>+'CUOTA INDUSTRIAL'!H51</f>
        <v>0</v>
      </c>
      <c r="L28" s="81">
        <f>+'CUOTA INDUSTRIAL'!I51</f>
        <v>302.63900000000001</v>
      </c>
      <c r="M28" s="93">
        <f>+'CUOTA INDUSTRIAL'!J51</f>
        <v>0</v>
      </c>
      <c r="N28" s="99" t="s">
        <v>15</v>
      </c>
      <c r="O28" s="103">
        <f>Resumen!B$4</f>
        <v>46210</v>
      </c>
      <c r="P28" s="81">
        <v>2026</v>
      </c>
      <c r="Q28" s="81"/>
    </row>
    <row r="29" spans="1:17">
      <c r="A29" s="81" t="s">
        <v>252</v>
      </c>
      <c r="B29" s="81" t="s">
        <v>252</v>
      </c>
      <c r="C29" s="81" t="s">
        <v>222</v>
      </c>
      <c r="D29" s="81" t="s">
        <v>250</v>
      </c>
      <c r="E29" s="81" t="str">
        <f>+'CUOTA INDUSTRIAL'!C52</f>
        <v xml:space="preserve">BAHIA CALDERA S.A. PESQ.          </v>
      </c>
      <c r="F29" s="103">
        <v>46023</v>
      </c>
      <c r="G29" s="103">
        <v>46387</v>
      </c>
      <c r="H29" s="81">
        <f>+'CUOTA INDUSTRIAL'!E52</f>
        <v>1317.64</v>
      </c>
      <c r="I29" s="81">
        <f>+'CUOTA INDUSTRIAL'!F52</f>
        <v>-1317</v>
      </c>
      <c r="J29" s="81">
        <f>+'CUOTA INDUSTRIAL'!G52</f>
        <v>0.64000000000010004</v>
      </c>
      <c r="K29" s="81">
        <f>+'CUOTA INDUSTRIAL'!H52</f>
        <v>0</v>
      </c>
      <c r="L29" s="81">
        <f>+'CUOTA INDUSTRIAL'!I52</f>
        <v>0.64000000000010004</v>
      </c>
      <c r="M29" s="93">
        <f>+'CUOTA INDUSTRIAL'!J52</f>
        <v>0</v>
      </c>
      <c r="N29" s="99" t="s">
        <v>15</v>
      </c>
      <c r="O29" s="103">
        <f>Resumen!B$4</f>
        <v>46210</v>
      </c>
      <c r="P29" s="81">
        <v>2026</v>
      </c>
      <c r="Q29" s="81"/>
    </row>
    <row r="30" spans="1:17">
      <c r="A30" s="81" t="s">
        <v>252</v>
      </c>
      <c r="B30" s="81" t="s">
        <v>252</v>
      </c>
      <c r="C30" s="81" t="s">
        <v>222</v>
      </c>
      <c r="D30" s="81" t="s">
        <v>250</v>
      </c>
      <c r="E30" s="81" t="str">
        <f>+'CUOTA INDUSTRIAL'!C53</f>
        <v>FOODCORP CHILE S.A.</v>
      </c>
      <c r="F30" s="103">
        <v>46023</v>
      </c>
      <c r="G30" s="103">
        <v>46387</v>
      </c>
      <c r="H30" s="81">
        <f>+'CUOTA INDUSTRIAL'!E53</f>
        <v>0.222</v>
      </c>
      <c r="I30" s="81">
        <f>+'CUOTA INDUSTRIAL'!F53</f>
        <v>0</v>
      </c>
      <c r="J30" s="81">
        <f>+'CUOTA INDUSTRIAL'!G53</f>
        <v>0.222</v>
      </c>
      <c r="K30" s="81">
        <f>+'CUOTA INDUSTRIAL'!H53</f>
        <v>0</v>
      </c>
      <c r="L30" s="81">
        <f>+'CUOTA INDUSTRIAL'!I53</f>
        <v>0.222</v>
      </c>
      <c r="M30" s="93">
        <f>+'CUOTA INDUSTRIAL'!J53</f>
        <v>0</v>
      </c>
      <c r="N30" s="99" t="s">
        <v>15</v>
      </c>
      <c r="O30" s="103">
        <f>Resumen!B$4</f>
        <v>46210</v>
      </c>
      <c r="P30" s="81">
        <v>2026</v>
      </c>
      <c r="Q30" s="81"/>
    </row>
    <row r="31" spans="1:17">
      <c r="A31" s="81" t="s">
        <v>252</v>
      </c>
      <c r="B31" s="81" t="s">
        <v>252</v>
      </c>
      <c r="C31" s="81" t="s">
        <v>222</v>
      </c>
      <c r="D31" s="81" t="s">
        <v>250</v>
      </c>
      <c r="E31" s="81" t="str">
        <f>+'CUOTA INDUSTRIAL'!C54</f>
        <v>BLUMAR S.A.</v>
      </c>
      <c r="F31" s="103">
        <v>46023</v>
      </c>
      <c r="G31" s="103">
        <v>46387</v>
      </c>
      <c r="H31" s="81">
        <f>+'CUOTA INDUSTRIAL'!E54</f>
        <v>8.484</v>
      </c>
      <c r="I31" s="81">
        <f>+'CUOTA INDUSTRIAL'!F54</f>
        <v>0</v>
      </c>
      <c r="J31" s="81">
        <f>+'CUOTA INDUSTRIAL'!G54</f>
        <v>8.484</v>
      </c>
      <c r="K31" s="81">
        <f>+'CUOTA INDUSTRIAL'!H54</f>
        <v>0</v>
      </c>
      <c r="L31" s="81">
        <f>+'CUOTA INDUSTRIAL'!I54</f>
        <v>8.484</v>
      </c>
      <c r="M31" s="93">
        <f>+'CUOTA INDUSTRIAL'!J54</f>
        <v>0</v>
      </c>
      <c r="N31" s="99" t="s">
        <v>15</v>
      </c>
      <c r="O31" s="103">
        <f>Resumen!B$4</f>
        <v>46210</v>
      </c>
      <c r="P31" s="81">
        <v>2026</v>
      </c>
      <c r="Q31" s="81"/>
    </row>
    <row r="32" spans="1:17">
      <c r="A32" s="81" t="s">
        <v>252</v>
      </c>
      <c r="B32" s="81" t="s">
        <v>252</v>
      </c>
      <c r="C32" s="81" t="s">
        <v>222</v>
      </c>
      <c r="D32" s="81" t="s">
        <v>250</v>
      </c>
      <c r="E32" s="81" t="str">
        <f>+'CUOTA INDUSTRIAL'!C55</f>
        <v>CAMANCHACA S.A.</v>
      </c>
      <c r="F32" s="103">
        <v>46023</v>
      </c>
      <c r="G32" s="103">
        <v>46387</v>
      </c>
      <c r="H32" s="81">
        <f>+'CUOTA INDUSTRIAL'!E55</f>
        <v>13.42</v>
      </c>
      <c r="I32" s="81">
        <f>+'CUOTA INDUSTRIAL'!F55</f>
        <v>0</v>
      </c>
      <c r="J32" s="81">
        <f>+'CUOTA INDUSTRIAL'!G55</f>
        <v>13.42</v>
      </c>
      <c r="K32" s="81">
        <f>+'CUOTA INDUSTRIAL'!H55</f>
        <v>0</v>
      </c>
      <c r="L32" s="81">
        <f>+'CUOTA INDUSTRIAL'!I55</f>
        <v>13.42</v>
      </c>
      <c r="M32" s="93">
        <f>+'CUOTA INDUSTRIAL'!J55</f>
        <v>0</v>
      </c>
      <c r="N32" s="99" t="s">
        <v>15</v>
      </c>
      <c r="O32" s="103">
        <f>Resumen!B$4</f>
        <v>46210</v>
      </c>
      <c r="P32" s="81">
        <v>2026</v>
      </c>
      <c r="Q32" s="81"/>
    </row>
    <row r="33" spans="1:17">
      <c r="A33" s="81" t="s">
        <v>252</v>
      </c>
      <c r="B33" s="81" t="s">
        <v>252</v>
      </c>
      <c r="C33" s="81" t="s">
        <v>222</v>
      </c>
      <c r="D33" s="81" t="s">
        <v>250</v>
      </c>
      <c r="E33" s="81" t="str">
        <f>+'CUOTA INDUSTRIAL'!C56</f>
        <v>SIPESUR SPA</v>
      </c>
      <c r="F33" s="103">
        <v>46023</v>
      </c>
      <c r="G33" s="103">
        <v>46387</v>
      </c>
      <c r="H33" s="81">
        <f>+'CUOTA INDUSTRIAL'!E56</f>
        <v>4.3959999999999999</v>
      </c>
      <c r="I33" s="81">
        <f>+'CUOTA INDUSTRIAL'!F56</f>
        <v>0</v>
      </c>
      <c r="J33" s="81">
        <f>+'CUOTA INDUSTRIAL'!G56</f>
        <v>4.3959999999999999</v>
      </c>
      <c r="K33" s="81">
        <f>+'CUOTA INDUSTRIAL'!H56</f>
        <v>0</v>
      </c>
      <c r="L33" s="81">
        <f>+'CUOTA INDUSTRIAL'!I56</f>
        <v>4.3959999999999999</v>
      </c>
      <c r="M33" s="93">
        <f>+'CUOTA INDUSTRIAL'!J56</f>
        <v>0</v>
      </c>
      <c r="N33" s="99" t="s">
        <v>15</v>
      </c>
      <c r="O33" s="103">
        <f>Resumen!B$4</f>
        <v>46210</v>
      </c>
      <c r="P33" s="81">
        <v>2026</v>
      </c>
      <c r="Q33" s="81"/>
    </row>
    <row r="34" spans="1:17">
      <c r="A34" s="81" t="s">
        <v>252</v>
      </c>
      <c r="B34" s="81" t="s">
        <v>252</v>
      </c>
      <c r="C34" s="81" t="s">
        <v>222</v>
      </c>
      <c r="D34" s="81" t="s">
        <v>250</v>
      </c>
      <c r="E34" s="81" t="str">
        <f>+'CUOTA INDUSTRIAL'!C57</f>
        <v>ORIZON S.A.</v>
      </c>
      <c r="F34" s="103">
        <v>46023</v>
      </c>
      <c r="G34" s="103">
        <v>46387</v>
      </c>
      <c r="H34" s="81">
        <f>+'CUOTA INDUSTRIAL'!E57</f>
        <v>565.60799999999995</v>
      </c>
      <c r="I34" s="81">
        <f>+'CUOTA INDUSTRIAL'!F57</f>
        <v>-365</v>
      </c>
      <c r="J34" s="81">
        <f>+'CUOTA INDUSTRIAL'!G57</f>
        <v>200.60799999999995</v>
      </c>
      <c r="K34" s="81">
        <f>+'CUOTA INDUSTRIAL'!H57</f>
        <v>0</v>
      </c>
      <c r="L34" s="81">
        <f>+'CUOTA INDUSTRIAL'!I57</f>
        <v>200.60799999999995</v>
      </c>
      <c r="M34" s="93">
        <f>+'CUOTA INDUSTRIAL'!J57</f>
        <v>0</v>
      </c>
      <c r="N34" s="99" t="s">
        <v>15</v>
      </c>
      <c r="O34" s="103">
        <f>Resumen!B$4</f>
        <v>46210</v>
      </c>
      <c r="P34" s="81">
        <v>2026</v>
      </c>
      <c r="Q34" s="81"/>
    </row>
    <row r="35" spans="1:17">
      <c r="A35" s="81" t="s">
        <v>252</v>
      </c>
      <c r="B35" s="81" t="s">
        <v>252</v>
      </c>
      <c r="C35" s="81" t="s">
        <v>222</v>
      </c>
      <c r="D35" s="81" t="s">
        <v>250</v>
      </c>
      <c r="E35" s="81" t="str">
        <f>+'CUOTA INDUSTRIAL'!C58</f>
        <v>LANDES S.A. SOC. PESQ.</v>
      </c>
      <c r="F35" s="103">
        <v>46023</v>
      </c>
      <c r="G35" s="103">
        <v>46387</v>
      </c>
      <c r="H35" s="81">
        <f>+'CUOTA INDUSTRIAL'!E58</f>
        <v>2.5920000000000001</v>
      </c>
      <c r="I35" s="81">
        <f>+'CUOTA INDUSTRIAL'!F58</f>
        <v>0</v>
      </c>
      <c r="J35" s="81">
        <f>+'CUOTA INDUSTRIAL'!G58</f>
        <v>2.5920000000000001</v>
      </c>
      <c r="K35" s="81">
        <f>+'CUOTA INDUSTRIAL'!H58</f>
        <v>0</v>
      </c>
      <c r="L35" s="81">
        <f>+'CUOTA INDUSTRIAL'!I58</f>
        <v>2.5920000000000001</v>
      </c>
      <c r="M35" s="93">
        <f>+'CUOTA INDUSTRIAL'!J58</f>
        <v>0</v>
      </c>
      <c r="N35" s="99" t="s">
        <v>15</v>
      </c>
      <c r="O35" s="103">
        <f>Resumen!B$4</f>
        <v>46210</v>
      </c>
      <c r="P35" s="81">
        <v>2026</v>
      </c>
      <c r="Q35" s="81"/>
    </row>
    <row r="36" spans="1:17" s="9" customFormat="1">
      <c r="A36" s="104" t="s">
        <v>252</v>
      </c>
      <c r="B36" s="104" t="s">
        <v>252</v>
      </c>
      <c r="C36" s="104" t="s">
        <v>222</v>
      </c>
      <c r="D36" s="104" t="s">
        <v>250</v>
      </c>
      <c r="E36" s="104" t="s">
        <v>251</v>
      </c>
      <c r="F36" s="103">
        <v>46023</v>
      </c>
      <c r="G36" s="103">
        <v>46387</v>
      </c>
      <c r="H36" s="104">
        <f>+'CUOTA INDUSTRIAL'!K59</f>
        <v>2215.0009999999997</v>
      </c>
      <c r="I36" s="104">
        <f>+'CUOTA INDUSTRIAL'!L59</f>
        <v>-1682</v>
      </c>
      <c r="J36" s="104">
        <f>+'CUOTA INDUSTRIAL'!M59</f>
        <v>533.00099999999975</v>
      </c>
      <c r="K36" s="104">
        <f>+'CUOTA INDUSTRIAL'!N59</f>
        <v>0</v>
      </c>
      <c r="L36" s="104">
        <f>+'CUOTA INDUSTRIAL'!O59</f>
        <v>533.00100000000009</v>
      </c>
      <c r="M36" s="109">
        <f>+'CUOTA INDUSTRIAL'!P59</f>
        <v>0</v>
      </c>
      <c r="N36" s="101" t="s">
        <v>15</v>
      </c>
      <c r="O36" s="103">
        <f>Resumen!B$4</f>
        <v>46210</v>
      </c>
      <c r="P36" s="81">
        <v>2026</v>
      </c>
      <c r="Q36" s="104"/>
    </row>
    <row r="37" spans="1:17" ht="16.5" customHeight="1">
      <c r="A37" s="81" t="s">
        <v>249</v>
      </c>
      <c r="B37" s="81" t="s">
        <v>249</v>
      </c>
      <c r="C37" s="81" t="s">
        <v>150</v>
      </c>
      <c r="D37" s="81" t="s">
        <v>74</v>
      </c>
      <c r="E37" s="81" t="str">
        <f>+'Artesanal Anchoveta XV-IV'!D7</f>
        <v>MACROZONA XV - I</v>
      </c>
      <c r="F37" s="103">
        <v>46023</v>
      </c>
      <c r="G37" s="103">
        <v>46387</v>
      </c>
      <c r="H37" s="81">
        <f>+'Artesanal Anchoveta XV-IV'!F7</f>
        <v>45705</v>
      </c>
      <c r="I37" s="81">
        <f>+'Artesanal Anchoveta XV-IV'!G7</f>
        <v>0</v>
      </c>
      <c r="J37" s="81">
        <f>+'Artesanal Anchoveta XV-IV'!H7</f>
        <v>45705</v>
      </c>
      <c r="K37" s="81">
        <f>+'Artesanal Anchoveta XV-IV'!I7</f>
        <v>45705</v>
      </c>
      <c r="L37" s="81">
        <f>+'Artesanal Anchoveta XV-IV'!J7</f>
        <v>0</v>
      </c>
      <c r="M37" s="93">
        <f>+'Artesanal Anchoveta XV-IV'!K7</f>
        <v>1</v>
      </c>
      <c r="N37" s="99" t="s">
        <v>15</v>
      </c>
      <c r="O37" s="103">
        <f>Resumen!B$4</f>
        <v>46210</v>
      </c>
      <c r="P37" s="81">
        <v>2026</v>
      </c>
      <c r="Q37" s="81"/>
    </row>
    <row r="38" spans="1:17" s="9" customFormat="1">
      <c r="A38" s="104" t="s">
        <v>249</v>
      </c>
      <c r="B38" s="104" t="s">
        <v>249</v>
      </c>
      <c r="C38" s="104" t="s">
        <v>150</v>
      </c>
      <c r="D38" s="104" t="s">
        <v>74</v>
      </c>
      <c r="E38" s="104" t="s">
        <v>253</v>
      </c>
      <c r="F38" s="103">
        <v>46023</v>
      </c>
      <c r="G38" s="103">
        <v>46387</v>
      </c>
      <c r="H38" s="104">
        <f>Resumen!E9</f>
        <v>45705</v>
      </c>
      <c r="I38" s="104">
        <f>Resumen!F9</f>
        <v>0</v>
      </c>
      <c r="J38" s="104">
        <f>Resumen!G9</f>
        <v>45705</v>
      </c>
      <c r="K38" s="104">
        <f>Resumen!H9</f>
        <v>45705</v>
      </c>
      <c r="L38" s="104">
        <f>Resumen!I9</f>
        <v>0</v>
      </c>
      <c r="M38" s="109">
        <f>Resumen!J9</f>
        <v>1</v>
      </c>
      <c r="N38" s="101" t="s">
        <v>15</v>
      </c>
      <c r="O38" s="103">
        <f>Resumen!B$4</f>
        <v>46210</v>
      </c>
      <c r="P38" s="81">
        <v>2026</v>
      </c>
      <c r="Q38" s="104"/>
    </row>
    <row r="39" spans="1:17">
      <c r="A39" s="81" t="s">
        <v>249</v>
      </c>
      <c r="B39" s="81" t="s">
        <v>249</v>
      </c>
      <c r="C39" s="81" t="s">
        <v>16</v>
      </c>
      <c r="D39" s="81" t="s">
        <v>74</v>
      </c>
      <c r="E39" s="81" t="str">
        <f>+'Artesanal Anchoveta XV-IV'!D8</f>
        <v>REGIÓN II</v>
      </c>
      <c r="F39" s="103">
        <v>46023</v>
      </c>
      <c r="G39" s="103">
        <v>46387</v>
      </c>
      <c r="H39" s="81">
        <f>+'Artesanal Anchoveta XV-IV'!F8</f>
        <v>13652</v>
      </c>
      <c r="I39" s="81">
        <f>+'Artesanal Anchoveta XV-IV'!G8</f>
        <v>0</v>
      </c>
      <c r="J39" s="81">
        <f>+'Artesanal Anchoveta XV-IV'!H8</f>
        <v>13652</v>
      </c>
      <c r="K39" s="81">
        <f>+'Artesanal Anchoveta XV-IV'!I8</f>
        <v>99.587000000000003</v>
      </c>
      <c r="L39" s="81">
        <f>+'Artesanal Anchoveta XV-IV'!J8</f>
        <v>13552.413</v>
      </c>
      <c r="M39" s="93">
        <f>+'Artesanal Anchoveta XV-IV'!K8</f>
        <v>7.2946820978611196E-3</v>
      </c>
      <c r="N39" s="99" t="str">
        <f>'Artesanal Anchoveta XV-IV'!L8</f>
        <v>-</v>
      </c>
      <c r="O39" s="103">
        <f>Resumen!B$4</f>
        <v>46210</v>
      </c>
      <c r="P39" s="81">
        <v>2026</v>
      </c>
      <c r="Q39" s="81"/>
    </row>
    <row r="40" spans="1:17" s="9" customFormat="1">
      <c r="A40" s="104" t="s">
        <v>249</v>
      </c>
      <c r="B40" s="104" t="s">
        <v>249</v>
      </c>
      <c r="C40" s="104" t="s">
        <v>16</v>
      </c>
      <c r="D40" s="104" t="s">
        <v>74</v>
      </c>
      <c r="E40" s="104" t="s">
        <v>254</v>
      </c>
      <c r="F40" s="103">
        <v>46023</v>
      </c>
      <c r="G40" s="103">
        <v>46387</v>
      </c>
      <c r="H40" s="104">
        <f>+'Artesanal Anchoveta XV-IV'!M8</f>
        <v>13652</v>
      </c>
      <c r="I40" s="104">
        <f>+'Artesanal Anchoveta XV-IV'!N8</f>
        <v>0</v>
      </c>
      <c r="J40" s="104">
        <f>+'Artesanal Anchoveta XV-IV'!O8</f>
        <v>13652</v>
      </c>
      <c r="K40" s="104">
        <f>+'Artesanal Anchoveta XV-IV'!P8</f>
        <v>99.587000000000003</v>
      </c>
      <c r="L40" s="104">
        <f>+'Artesanal Anchoveta XV-IV'!Q8</f>
        <v>13552.413</v>
      </c>
      <c r="M40" s="109">
        <f>+'Artesanal Anchoveta XV-IV'!R8</f>
        <v>7.2946820978611196E-3</v>
      </c>
      <c r="N40" s="101" t="s">
        <v>15</v>
      </c>
      <c r="O40" s="103">
        <f>Resumen!B$4</f>
        <v>46210</v>
      </c>
      <c r="P40" s="81">
        <v>2026</v>
      </c>
      <c r="Q40" s="104"/>
    </row>
    <row r="41" spans="1:17">
      <c r="A41" s="81" t="s">
        <v>249</v>
      </c>
      <c r="B41" s="81" t="s">
        <v>249</v>
      </c>
      <c r="C41" s="81" t="s">
        <v>18</v>
      </c>
      <c r="D41" s="81" t="s">
        <v>74</v>
      </c>
      <c r="E41" s="81" t="str">
        <f>+'Artesanal Anchoveta XV-IV'!D9</f>
        <v>REGIÓN III</v>
      </c>
      <c r="F41" s="103">
        <v>46023</v>
      </c>
      <c r="G41" s="103">
        <v>46387</v>
      </c>
      <c r="H41" s="81">
        <f>+'Artesanal Anchoveta XV-IV'!F9</f>
        <v>5490</v>
      </c>
      <c r="I41" s="81">
        <f>+'Artesanal Anchoveta XV-IV'!G9</f>
        <v>0</v>
      </c>
      <c r="J41" s="81">
        <f>+'Artesanal Anchoveta XV-IV'!H9</f>
        <v>5490</v>
      </c>
      <c r="K41" s="81">
        <f>+'Artesanal Anchoveta XV-IV'!I9</f>
        <v>0</v>
      </c>
      <c r="L41" s="81">
        <f>+'Artesanal Anchoveta XV-IV'!J9</f>
        <v>5490</v>
      </c>
      <c r="M41" s="93">
        <f>+'Artesanal Anchoveta XV-IV'!K9</f>
        <v>0</v>
      </c>
      <c r="N41" s="99" t="s">
        <v>15</v>
      </c>
      <c r="O41" s="103">
        <f>Resumen!B$4</f>
        <v>46210</v>
      </c>
      <c r="P41" s="81">
        <v>2026</v>
      </c>
      <c r="Q41" s="81"/>
    </row>
    <row r="42" spans="1:17" s="9" customFormat="1">
      <c r="A42" s="104" t="s">
        <v>249</v>
      </c>
      <c r="B42" s="104" t="s">
        <v>249</v>
      </c>
      <c r="C42" s="104" t="s">
        <v>18</v>
      </c>
      <c r="D42" s="104" t="s">
        <v>74</v>
      </c>
      <c r="E42" s="104" t="s">
        <v>254</v>
      </c>
      <c r="F42" s="103">
        <v>46023</v>
      </c>
      <c r="G42" s="103">
        <v>46387</v>
      </c>
      <c r="H42" s="104">
        <f>+'Artesanal Anchoveta XV-IV'!M9</f>
        <v>5490</v>
      </c>
      <c r="I42" s="104">
        <f>+'Artesanal Anchoveta XV-IV'!N9</f>
        <v>0</v>
      </c>
      <c r="J42" s="104">
        <f>+'Artesanal Anchoveta XV-IV'!O9</f>
        <v>5490</v>
      </c>
      <c r="K42" s="104">
        <f>+'Artesanal Anchoveta XV-IV'!P9</f>
        <v>0</v>
      </c>
      <c r="L42" s="104">
        <f>+'Artesanal Anchoveta XV-IV'!Q9</f>
        <v>5490</v>
      </c>
      <c r="M42" s="109">
        <f>+'Artesanal Anchoveta XV-IV'!R9</f>
        <v>0</v>
      </c>
      <c r="N42" s="101" t="s">
        <v>15</v>
      </c>
      <c r="O42" s="103">
        <f>Resumen!B$4</f>
        <v>46210</v>
      </c>
      <c r="P42" s="81">
        <v>2026</v>
      </c>
      <c r="Q42" s="104"/>
    </row>
    <row r="43" spans="1:17">
      <c r="A43" s="81" t="s">
        <v>249</v>
      </c>
      <c r="B43" s="81" t="s">
        <v>249</v>
      </c>
      <c r="C43" s="81" t="s">
        <v>20</v>
      </c>
      <c r="D43" s="81" t="s">
        <v>255</v>
      </c>
      <c r="E43" s="81" t="str">
        <f>+'Artesanal Anchoveta XV-IV'!D10</f>
        <v>AG de Coquimbo RAG 55-4</v>
      </c>
      <c r="F43" s="103">
        <v>46023</v>
      </c>
      <c r="G43" s="103">
        <v>46387</v>
      </c>
      <c r="H43" s="81">
        <f>+'Artesanal Anchoveta XV-IV'!F10</f>
        <v>71.471999999999994</v>
      </c>
      <c r="I43" s="81">
        <f>+'Artesanal Anchoveta XV-IV'!G10</f>
        <v>0</v>
      </c>
      <c r="J43" s="81">
        <f>+'Artesanal Anchoveta XV-IV'!H10</f>
        <v>71.471999999999994</v>
      </c>
      <c r="K43" s="81">
        <f>+'Artesanal Anchoveta XV-IV'!I10</f>
        <v>0</v>
      </c>
      <c r="L43" s="81">
        <f>+'Artesanal Anchoveta XV-IV'!J10</f>
        <v>71.471999999999994</v>
      </c>
      <c r="M43" s="93">
        <f>+'Artesanal Anchoveta XV-IV'!K10</f>
        <v>0</v>
      </c>
      <c r="N43" s="99" t="s">
        <v>15</v>
      </c>
      <c r="O43" s="103">
        <f>Resumen!B$4</f>
        <v>46210</v>
      </c>
      <c r="P43" s="81">
        <v>2026</v>
      </c>
      <c r="Q43" s="81"/>
    </row>
    <row r="44" spans="1:17">
      <c r="A44" s="81" t="s">
        <v>249</v>
      </c>
      <c r="B44" s="81" t="s">
        <v>249</v>
      </c>
      <c r="C44" s="81" t="s">
        <v>20</v>
      </c>
      <c r="D44" s="81" t="s">
        <v>255</v>
      </c>
      <c r="E44" s="81" t="str">
        <f>+'Artesanal Anchoveta XV-IV'!D11</f>
        <v>CERCOPESCA Rol 4276</v>
      </c>
      <c r="F44" s="103">
        <v>46023</v>
      </c>
      <c r="G44" s="103">
        <v>46387</v>
      </c>
      <c r="H44" s="81">
        <f>+'Artesanal Anchoveta XV-IV'!F11</f>
        <v>1838.4860000000001</v>
      </c>
      <c r="I44" s="81">
        <f>+'Artesanal Anchoveta XV-IV'!G11</f>
        <v>0</v>
      </c>
      <c r="J44" s="81">
        <f>+'Artesanal Anchoveta XV-IV'!H11</f>
        <v>1838.4860000000001</v>
      </c>
      <c r="K44" s="81">
        <f>+'Artesanal Anchoveta XV-IV'!I11</f>
        <v>44.756900000000002</v>
      </c>
      <c r="L44" s="81">
        <f>+'Artesanal Anchoveta XV-IV'!J11</f>
        <v>1793.7291</v>
      </c>
      <c r="M44" s="93">
        <f>+'Artesanal Anchoveta XV-IV'!K11</f>
        <v>2.4344433408793973E-2</v>
      </c>
      <c r="N44" s="99" t="s">
        <v>15</v>
      </c>
      <c r="O44" s="103">
        <f>Resumen!B$4</f>
        <v>46210</v>
      </c>
      <c r="P44" s="81">
        <v>2026</v>
      </c>
      <c r="Q44" s="81"/>
    </row>
    <row r="45" spans="1:17">
      <c r="A45" s="81" t="s">
        <v>249</v>
      </c>
      <c r="B45" s="81" t="s">
        <v>249</v>
      </c>
      <c r="C45" s="81" t="s">
        <v>20</v>
      </c>
      <c r="D45" s="81" t="s">
        <v>255</v>
      </c>
      <c r="E45" s="81" t="str">
        <f>+'Artesanal Anchoveta XV-IV'!D12</f>
        <v>Cooperativa Pesquera Cerqueros Bahía Coquimbo Rol 6923</v>
      </c>
      <c r="F45" s="103">
        <v>46023</v>
      </c>
      <c r="G45" s="103">
        <v>46387</v>
      </c>
      <c r="H45" s="81">
        <f>+'Artesanal Anchoveta XV-IV'!F12</f>
        <v>280.971</v>
      </c>
      <c r="I45" s="81">
        <f>+'Artesanal Anchoveta XV-IV'!G12</f>
        <v>0</v>
      </c>
      <c r="J45" s="81">
        <f>+'Artesanal Anchoveta XV-IV'!H12</f>
        <v>280.971</v>
      </c>
      <c r="K45" s="81">
        <f>+'Artesanal Anchoveta XV-IV'!I12</f>
        <v>0</v>
      </c>
      <c r="L45" s="81">
        <f>+'Artesanal Anchoveta XV-IV'!J12</f>
        <v>280.971</v>
      </c>
      <c r="M45" s="93">
        <f>+'Artesanal Anchoveta XV-IV'!K12</f>
        <v>0</v>
      </c>
      <c r="N45" s="99"/>
      <c r="O45" s="103">
        <f>Resumen!B$4</f>
        <v>46210</v>
      </c>
      <c r="P45" s="81">
        <v>2026</v>
      </c>
      <c r="Q45" s="81"/>
    </row>
    <row r="46" spans="1:17">
      <c r="A46" s="81" t="s">
        <v>249</v>
      </c>
      <c r="B46" s="81" t="s">
        <v>249</v>
      </c>
      <c r="C46" s="81" t="s">
        <v>20</v>
      </c>
      <c r="D46" s="81" t="s">
        <v>255</v>
      </c>
      <c r="E46" s="81" t="str">
        <f>'Artesanal Anchoveta XV-IV'!D13</f>
        <v>CUOTA RESIDUAL</v>
      </c>
      <c r="F46" s="103">
        <v>46023</v>
      </c>
      <c r="G46" s="103">
        <v>46387</v>
      </c>
      <c r="H46" s="81">
        <f>'Artesanal Anchoveta XV-IV'!F13</f>
        <v>163.071</v>
      </c>
      <c r="I46" s="81">
        <f>'Artesanal Anchoveta XV-IV'!G13</f>
        <v>0</v>
      </c>
      <c r="J46" s="81">
        <f>+'Artesanal Anchoveta XV-IV'!H13</f>
        <v>163.071</v>
      </c>
      <c r="K46" s="81">
        <f>+'Artesanal Anchoveta XV-IV'!I13</f>
        <v>0</v>
      </c>
      <c r="L46" s="81">
        <f>+'Artesanal Anchoveta XV-IV'!J13</f>
        <v>163.071</v>
      </c>
      <c r="M46" s="93">
        <f>+'Artesanal Anchoveta XV-IV'!K13</f>
        <v>0</v>
      </c>
      <c r="N46" s="99" t="s">
        <v>15</v>
      </c>
      <c r="O46" s="103">
        <f>Resumen!B$4</f>
        <v>46210</v>
      </c>
      <c r="P46" s="81">
        <v>2026</v>
      </c>
      <c r="Q46" s="81"/>
    </row>
    <row r="47" spans="1:17">
      <c r="A47" s="81" t="s">
        <v>249</v>
      </c>
      <c r="B47" s="81" t="s">
        <v>249</v>
      </c>
      <c r="C47" s="81" t="s">
        <v>222</v>
      </c>
      <c r="D47" s="81" t="s">
        <v>255</v>
      </c>
      <c r="E47" s="81" t="s">
        <v>256</v>
      </c>
      <c r="F47" s="103">
        <v>46023</v>
      </c>
      <c r="G47" s="103">
        <v>46387</v>
      </c>
      <c r="H47" s="81">
        <f>'Artesanal Anchoveta XV-IV'!F14</f>
        <v>1500</v>
      </c>
      <c r="I47" s="81">
        <f>'Artesanal Anchoveta XV-IV'!G14</f>
        <v>0</v>
      </c>
      <c r="J47" s="81">
        <f>+'Artesanal Anchoveta XV-IV'!H14</f>
        <v>1500</v>
      </c>
      <c r="K47" s="81">
        <f>+'Artesanal Anchoveta XV-IV'!I14</f>
        <v>0</v>
      </c>
      <c r="L47" s="81">
        <f>+'Artesanal Anchoveta XV-IV'!J14</f>
        <v>1500</v>
      </c>
      <c r="M47" s="107">
        <f>+'Artesanal Anchoveta XV-IV'!K14</f>
        <v>0</v>
      </c>
      <c r="N47" s="102" t="s">
        <v>15</v>
      </c>
      <c r="O47" s="103">
        <f>Resumen!B$4</f>
        <v>46210</v>
      </c>
      <c r="P47" s="81">
        <v>2026</v>
      </c>
      <c r="Q47" s="81"/>
    </row>
    <row r="48" spans="1:17" s="9" customFormat="1">
      <c r="A48" s="104" t="s">
        <v>249</v>
      </c>
      <c r="B48" s="104" t="s">
        <v>249</v>
      </c>
      <c r="C48" s="104" t="s">
        <v>20</v>
      </c>
      <c r="D48" s="104" t="s">
        <v>255</v>
      </c>
      <c r="E48" s="104" t="s">
        <v>254</v>
      </c>
      <c r="F48" s="103">
        <v>46023</v>
      </c>
      <c r="G48" s="103">
        <v>46387</v>
      </c>
      <c r="H48" s="104">
        <f>+Resumen!E15</f>
        <v>2354</v>
      </c>
      <c r="I48" s="104">
        <f>+Resumen!F15</f>
        <v>0</v>
      </c>
      <c r="J48" s="104">
        <f>+Resumen!G15</f>
        <v>2354</v>
      </c>
      <c r="K48" s="104">
        <f>+Resumen!H15</f>
        <v>44.756900000000002</v>
      </c>
      <c r="L48" s="104">
        <f>+Resumen!I15</f>
        <v>0</v>
      </c>
      <c r="M48" s="109">
        <f>+Resumen!J15</f>
        <v>1.9013126593033135E-2</v>
      </c>
      <c r="N48" s="101" t="s">
        <v>15</v>
      </c>
      <c r="O48" s="103">
        <f>Resumen!B$4</f>
        <v>46210</v>
      </c>
      <c r="P48" s="81">
        <v>2026</v>
      </c>
      <c r="Q48" s="104"/>
    </row>
    <row r="49" spans="1:17">
      <c r="A49" s="81" t="s">
        <v>252</v>
      </c>
      <c r="B49" s="81" t="s">
        <v>252</v>
      </c>
      <c r="C49" s="81" t="s">
        <v>150</v>
      </c>
      <c r="D49" s="81" t="s">
        <v>257</v>
      </c>
      <c r="E49" s="81" t="str">
        <f>+'Artesanal S.española XV-IV'!D7</f>
        <v>MACROZONA XV - I</v>
      </c>
      <c r="F49" s="103">
        <v>46023</v>
      </c>
      <c r="G49" s="103">
        <v>46387</v>
      </c>
      <c r="H49" s="81">
        <f>+'Artesanal S.española XV-IV'!F7</f>
        <v>1205</v>
      </c>
      <c r="I49" s="81">
        <f>+'Artesanal S.española XV-IV'!G7</f>
        <v>0</v>
      </c>
      <c r="J49" s="81">
        <f>+'Artesanal S.española XV-IV'!H7</f>
        <v>1205</v>
      </c>
      <c r="K49" s="81">
        <f>+'Artesanal S.española XV-IV'!I7</f>
        <v>1492.5550000000001</v>
      </c>
      <c r="L49" s="81">
        <f>+'Artesanal S.española XV-IV'!J7</f>
        <v>-287.55500000000006</v>
      </c>
      <c r="M49" s="93">
        <f>+'Artesanal S.española XV-IV'!K7</f>
        <v>1.2386348547717843</v>
      </c>
      <c r="N49" s="99" t="s">
        <v>15</v>
      </c>
      <c r="O49" s="103">
        <f>Resumen!B$4</f>
        <v>46210</v>
      </c>
      <c r="P49" s="81">
        <v>2026</v>
      </c>
      <c r="Q49" s="81"/>
    </row>
    <row r="50" spans="1:17" s="9" customFormat="1">
      <c r="A50" s="104" t="s">
        <v>252</v>
      </c>
      <c r="B50" s="104" t="s">
        <v>252</v>
      </c>
      <c r="C50" s="104" t="s">
        <v>150</v>
      </c>
      <c r="D50" s="104" t="s">
        <v>257</v>
      </c>
      <c r="E50" s="104" t="s">
        <v>253</v>
      </c>
      <c r="F50" s="103">
        <v>46023</v>
      </c>
      <c r="G50" s="103">
        <v>46387</v>
      </c>
      <c r="H50" s="104">
        <f>+'Artesanal S.española XV-IV'!M7</f>
        <v>1205</v>
      </c>
      <c r="I50" s="104">
        <f>+'Artesanal S.española XV-IV'!N7</f>
        <v>0</v>
      </c>
      <c r="J50" s="104">
        <f>+'Artesanal S.española XV-IV'!O7</f>
        <v>1205</v>
      </c>
      <c r="K50" s="104">
        <f>+'Artesanal S.española XV-IV'!P7</f>
        <v>1492.5550000000001</v>
      </c>
      <c r="L50" s="104">
        <f>+'Artesanal S.española XV-IV'!Q7</f>
        <v>-287.55500000000006</v>
      </c>
      <c r="M50" s="109">
        <f>+'Artesanal S.española XV-IV'!R7</f>
        <v>1.2386348547717843</v>
      </c>
      <c r="N50" s="101" t="s">
        <v>15</v>
      </c>
      <c r="O50" s="103">
        <f>Resumen!B$4</f>
        <v>46210</v>
      </c>
      <c r="P50" s="81">
        <v>2026</v>
      </c>
      <c r="Q50" s="104"/>
    </row>
    <row r="51" spans="1:17">
      <c r="A51" s="81" t="s">
        <v>252</v>
      </c>
      <c r="B51" s="81" t="s">
        <v>252</v>
      </c>
      <c r="C51" s="81" t="s">
        <v>16</v>
      </c>
      <c r="D51" s="81" t="s">
        <v>74</v>
      </c>
      <c r="E51" s="81" t="str">
        <f>+'Artesanal S.española XV-IV'!D8</f>
        <v>REGIÓN II</v>
      </c>
      <c r="F51" s="103">
        <v>46023</v>
      </c>
      <c r="G51" s="103">
        <v>46387</v>
      </c>
      <c r="H51" s="81">
        <f>+'Artesanal S.española XV-IV'!F8</f>
        <v>4533</v>
      </c>
      <c r="I51" s="81">
        <f>+'Artesanal S.española XV-IV'!G8</f>
        <v>0</v>
      </c>
      <c r="J51" s="81">
        <f>+'Artesanal S.española XV-IV'!H8</f>
        <v>4533</v>
      </c>
      <c r="K51" s="81">
        <f>+'Artesanal S.española XV-IV'!I8</f>
        <v>2122.3180000000002</v>
      </c>
      <c r="L51" s="81">
        <f>+'Artesanal S.española XV-IV'!J8</f>
        <v>2410.6819999999998</v>
      </c>
      <c r="M51" s="107">
        <f>+'Artesanal S.española XV-IV'!K8</f>
        <v>0.46819280829472759</v>
      </c>
      <c r="N51" s="102" t="str">
        <f>'Artesanal S.española XV-IV'!L8</f>
        <v>-</v>
      </c>
      <c r="O51" s="103">
        <f>Resumen!B$4</f>
        <v>46210</v>
      </c>
      <c r="P51" s="81">
        <v>2026</v>
      </c>
      <c r="Q51" s="81"/>
    </row>
    <row r="52" spans="1:17" s="9" customFormat="1">
      <c r="A52" s="104" t="s">
        <v>252</v>
      </c>
      <c r="B52" s="104" t="s">
        <v>252</v>
      </c>
      <c r="C52" s="104" t="s">
        <v>16</v>
      </c>
      <c r="D52" s="104" t="s">
        <v>74</v>
      </c>
      <c r="E52" s="104" t="s">
        <v>253</v>
      </c>
      <c r="F52" s="103">
        <v>46023</v>
      </c>
      <c r="G52" s="103">
        <v>46387</v>
      </c>
      <c r="H52" s="104">
        <f>+'Artesanal S.española XV-IV'!M8</f>
        <v>4533</v>
      </c>
      <c r="I52" s="104">
        <f>+'Artesanal S.española XV-IV'!N8</f>
        <v>0</v>
      </c>
      <c r="J52" s="104">
        <f>+'Artesanal S.española XV-IV'!O8</f>
        <v>4533</v>
      </c>
      <c r="K52" s="104">
        <f>+'Artesanal S.española XV-IV'!P8</f>
        <v>2122.3180000000002</v>
      </c>
      <c r="L52" s="104">
        <f>+'Artesanal S.española XV-IV'!Q8</f>
        <v>2410.6819999999998</v>
      </c>
      <c r="M52" s="109">
        <f>+'Artesanal S.española XV-IV'!R8</f>
        <v>0.46819280829472759</v>
      </c>
      <c r="N52" s="101" t="s">
        <v>15</v>
      </c>
      <c r="O52" s="103">
        <f>Resumen!B$4</f>
        <v>46210</v>
      </c>
      <c r="P52" s="81">
        <v>2026</v>
      </c>
      <c r="Q52" s="104"/>
    </row>
    <row r="53" spans="1:17">
      <c r="A53" s="81" t="s">
        <v>252</v>
      </c>
      <c r="B53" s="81" t="s">
        <v>252</v>
      </c>
      <c r="C53" s="81" t="s">
        <v>18</v>
      </c>
      <c r="D53" s="81" t="s">
        <v>74</v>
      </c>
      <c r="E53" s="81" t="str">
        <f>+'Artesanal S.española XV-IV'!D9</f>
        <v>REGIÓN III</v>
      </c>
      <c r="F53" s="103">
        <v>46023</v>
      </c>
      <c r="G53" s="103">
        <v>46387</v>
      </c>
      <c r="H53" s="81">
        <f>+'Artesanal S.española XV-IV'!F9</f>
        <v>1030</v>
      </c>
      <c r="I53" s="81">
        <f>+'Artesanal S.española XV-IV'!G9</f>
        <v>0</v>
      </c>
      <c r="J53" s="81">
        <f>+'Artesanal S.española XV-IV'!H9</f>
        <v>1030</v>
      </c>
      <c r="K53" s="81">
        <f>+'Artesanal S.española XV-IV'!I9</f>
        <v>954.89800000000002</v>
      </c>
      <c r="L53" s="81">
        <f>+'Artesanal S.española XV-IV'!J9</f>
        <v>75.101999999999975</v>
      </c>
      <c r="M53" s="107">
        <v>0</v>
      </c>
      <c r="N53" s="102" t="s">
        <v>15</v>
      </c>
      <c r="O53" s="103">
        <f>Resumen!B$4</f>
        <v>46210</v>
      </c>
      <c r="P53" s="81">
        <v>2026</v>
      </c>
      <c r="Q53" s="81"/>
    </row>
    <row r="54" spans="1:17" s="9" customFormat="1">
      <c r="A54" s="104" t="s">
        <v>252</v>
      </c>
      <c r="B54" s="104" t="s">
        <v>252</v>
      </c>
      <c r="C54" s="104" t="s">
        <v>18</v>
      </c>
      <c r="D54" s="104" t="s">
        <v>74</v>
      </c>
      <c r="E54" s="104" t="s">
        <v>253</v>
      </c>
      <c r="F54" s="103">
        <v>46023</v>
      </c>
      <c r="G54" s="103">
        <v>46387</v>
      </c>
      <c r="H54" s="104">
        <f>+'Artesanal S.española XV-IV'!M9</f>
        <v>1030</v>
      </c>
      <c r="I54" s="104">
        <f>+'Artesanal S.española XV-IV'!N9</f>
        <v>0</v>
      </c>
      <c r="J54" s="104">
        <f>+'Artesanal S.española XV-IV'!O9</f>
        <v>1030</v>
      </c>
      <c r="K54" s="104">
        <f>+'Artesanal S.española XV-IV'!P9</f>
        <v>954.89800000000002</v>
      </c>
      <c r="L54" s="104">
        <f>+'Artesanal S.española XV-IV'!Q9</f>
        <v>75.101999999999975</v>
      </c>
      <c r="M54" s="109">
        <v>0</v>
      </c>
      <c r="N54" s="101" t="s">
        <v>15</v>
      </c>
      <c r="O54" s="103">
        <f>Resumen!B$4</f>
        <v>46210</v>
      </c>
      <c r="P54" s="81">
        <v>2026</v>
      </c>
      <c r="Q54" s="104"/>
    </row>
    <row r="55" spans="1:17">
      <c r="A55" s="81" t="s">
        <v>252</v>
      </c>
      <c r="B55" s="81" t="s">
        <v>252</v>
      </c>
      <c r="C55" s="81" t="s">
        <v>20</v>
      </c>
      <c r="D55" s="81" t="s">
        <v>74</v>
      </c>
      <c r="E55" s="81" t="str">
        <f>+'Artesanal S.española XV-IV'!D10</f>
        <v>REGIÓN IV</v>
      </c>
      <c r="F55" s="103">
        <v>46023</v>
      </c>
      <c r="G55" s="103">
        <v>46387</v>
      </c>
      <c r="H55" s="81">
        <f>+'Artesanal S.española XV-IV'!F10</f>
        <v>1030</v>
      </c>
      <c r="I55" s="81">
        <f>+'Artesanal S.española XV-IV'!G10</f>
        <v>0</v>
      </c>
      <c r="J55" s="81">
        <f>+'Artesanal S.española XV-IV'!H10</f>
        <v>1030</v>
      </c>
      <c r="K55" s="81">
        <f>+'Artesanal S.española XV-IV'!I10</f>
        <v>913.255</v>
      </c>
      <c r="L55" s="81">
        <f>+'Artesanal S.española XV-IV'!J10</f>
        <v>116.745</v>
      </c>
      <c r="M55" s="107">
        <f>+'Artesanal S.española XV-IV'!K10</f>
        <v>0.88665533980582523</v>
      </c>
      <c r="N55" s="102" t="s">
        <v>15</v>
      </c>
      <c r="O55" s="103">
        <f>Resumen!B$4</f>
        <v>46210</v>
      </c>
      <c r="P55" s="81">
        <v>2026</v>
      </c>
      <c r="Q55" s="81"/>
    </row>
    <row r="56" spans="1:17">
      <c r="A56" s="81" t="s">
        <v>252</v>
      </c>
      <c r="B56" s="81" t="s">
        <v>252</v>
      </c>
      <c r="C56" s="81" t="s">
        <v>222</v>
      </c>
      <c r="D56" s="81" t="s">
        <v>74</v>
      </c>
      <c r="E56" s="81" t="s">
        <v>256</v>
      </c>
      <c r="F56" s="103">
        <v>46023</v>
      </c>
      <c r="G56" s="103">
        <v>46387</v>
      </c>
      <c r="H56" s="81">
        <f>+'Artesanal S.española XV-IV'!F11</f>
        <v>300</v>
      </c>
      <c r="I56" s="81">
        <f>+'Artesanal S.española XV-IV'!G11</f>
        <v>0</v>
      </c>
      <c r="J56" s="81">
        <f>+'Artesanal S.española XV-IV'!H11</f>
        <v>300</v>
      </c>
      <c r="K56" s="81">
        <f>+'Artesanal S.española XV-IV'!I11</f>
        <v>146.91399999999999</v>
      </c>
      <c r="L56" s="81">
        <f>+'Artesanal S.española XV-IV'!J11</f>
        <v>153.08600000000001</v>
      </c>
      <c r="M56" s="107">
        <f>+'Artesanal S.española XV-IV'!K11</f>
        <v>0.48971333333333328</v>
      </c>
      <c r="N56" s="102" t="s">
        <v>15</v>
      </c>
      <c r="O56" s="103">
        <f>Resumen!B$4</f>
        <v>46210</v>
      </c>
      <c r="P56" s="81">
        <v>2026</v>
      </c>
      <c r="Q56" s="81"/>
    </row>
    <row r="57" spans="1:17" s="9" customFormat="1">
      <c r="A57" s="104" t="s">
        <v>252</v>
      </c>
      <c r="B57" s="104" t="s">
        <v>252</v>
      </c>
      <c r="C57" s="104" t="s">
        <v>20</v>
      </c>
      <c r="D57" s="104" t="s">
        <v>74</v>
      </c>
      <c r="E57" s="104" t="s">
        <v>253</v>
      </c>
      <c r="F57" s="103">
        <v>46023</v>
      </c>
      <c r="G57" s="103">
        <v>46387</v>
      </c>
      <c r="H57" s="104">
        <f>+'Artesanal S.española XV-IV'!M10</f>
        <v>1030</v>
      </c>
      <c r="I57" s="104">
        <f>+'Artesanal S.española XV-IV'!N10</f>
        <v>0</v>
      </c>
      <c r="J57" s="104">
        <f>+'Artesanal S.española XV-IV'!O10</f>
        <v>1030</v>
      </c>
      <c r="K57" s="104">
        <f>+'Artesanal S.española XV-IV'!P10</f>
        <v>913.255</v>
      </c>
      <c r="L57" s="104">
        <f>+'Artesanal S.española XV-IV'!Q10</f>
        <v>116.745</v>
      </c>
      <c r="M57" s="109">
        <f>+'Artesanal S.española XV-IV'!R10</f>
        <v>0.88665533980582523</v>
      </c>
      <c r="N57" s="101" t="s">
        <v>15</v>
      </c>
      <c r="O57" s="103">
        <f>Resumen!B$4</f>
        <v>46210</v>
      </c>
      <c r="P57" s="81">
        <v>2026</v>
      </c>
      <c r="Q57" s="104"/>
    </row>
  </sheetData>
  <autoFilter ref="A1:Q57" xr:uid="{00000000-0009-0000-0000-000008000000}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Artesanal Anchoveta XV-IV</vt:lpstr>
      <vt:lpstr>Artesanal S.española XV-IV</vt:lpstr>
      <vt:lpstr>CRUC</vt:lpstr>
      <vt:lpstr>Cesiones ind y colec</vt:lpstr>
      <vt:lpstr>CUOTA INDUSTRIAL</vt:lpstr>
      <vt:lpstr>MOVIMIENTO INDUSTRIAL</vt:lpstr>
      <vt:lpstr>P. Investigación</vt:lpstr>
      <vt:lpstr>Publicacion web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kmolina</dc:creator>
  <cp:keywords/>
  <dc:description/>
  <cp:lastModifiedBy>CEA TELLO, MARIO ANDRES</cp:lastModifiedBy>
  <cp:revision/>
  <dcterms:created xsi:type="dcterms:W3CDTF">2019-10-16T16:01:09Z</dcterms:created>
  <dcterms:modified xsi:type="dcterms:W3CDTF">2026-07-08T11:48:39Z</dcterms:modified>
  <cp:category/>
  <cp:contentStatus/>
</cp:coreProperties>
</file>