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sernapesca-my.sharepoint.com/personal/cparedes_sernapesca_cl/Documents/001 Subdireccion de Pesquerías/datos Marcela/1.- Bentonicos/04.- Langostino Amarillo/"/>
    </mc:Choice>
  </mc:AlternateContent>
  <xr:revisionPtr revIDLastSave="404" documentId="13_ncr:1_{A43A55BC-F907-4F92-9DF9-B6F4513FC842}" xr6:coauthVersionLast="47" xr6:coauthVersionMax="47" xr10:uidLastSave="{91B995CF-5561-4BD8-929C-F29F63C0AC4D}"/>
  <bookViews>
    <workbookView xWindow="-120" yWindow="-120" windowWidth="24240" windowHeight="13020" tabRatio="769" xr2:uid="{00000000-000D-0000-FFFF-FFFF00000000}"/>
  </bookViews>
  <sheets>
    <sheet name="RESUMEN " sheetId="1" r:id="rId1"/>
    <sheet name="CUOTA ARTESANAL" sheetId="2" r:id="rId2"/>
    <sheet name="CUOTA LTP -INDUSTRIAL" sheetId="3" r:id="rId3"/>
    <sheet name="CUOTA LICITADA PEP" sheetId="5" r:id="rId4"/>
    <sheet name="LEY 21.752 CRUC" sheetId="10" r:id="rId5"/>
    <sheet name="PESCA DE INVESTIGACION" sheetId="7" r:id="rId6"/>
    <sheet name="CESIONES INDIVIDUALES" sheetId="9" r:id="rId7"/>
    <sheet name="MOVIMIENTOS" sheetId="8" r:id="rId8"/>
    <sheet name="PAG. WEB" sheetId="6" r:id="rId9"/>
  </sheets>
  <definedNames>
    <definedName name="_xlnm._FilterDatabase" localSheetId="8" hidden="1">'PAG. WEB'!$A$1:$Q$191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2" l="1"/>
  <c r="G67" i="5"/>
  <c r="G27" i="5"/>
  <c r="G23" i="5"/>
  <c r="G45" i="5"/>
  <c r="I25" i="2"/>
  <c r="J24" i="2"/>
  <c r="I24" i="2"/>
  <c r="H27" i="2"/>
  <c r="AA7" i="8"/>
  <c r="Z7" i="8"/>
  <c r="Y7" i="8"/>
  <c r="F15" i="1"/>
  <c r="G15" i="1" s="1"/>
  <c r="J25" i="2"/>
  <c r="H15" i="1" l="1"/>
  <c r="J15" i="1" s="1"/>
  <c r="J6" i="2"/>
  <c r="I6" i="2"/>
  <c r="J14" i="2" l="1"/>
  <c r="F8" i="2"/>
  <c r="G27" i="2"/>
  <c r="I27" i="2" s="1"/>
  <c r="J27" i="2" l="1"/>
  <c r="F17" i="5" l="1"/>
  <c r="F16" i="5"/>
  <c r="F15" i="5"/>
  <c r="F14" i="5"/>
  <c r="F13" i="5"/>
  <c r="D6" i="5"/>
  <c r="C6" i="5"/>
  <c r="O13" i="6"/>
  <c r="O16" i="6"/>
  <c r="I16" i="6"/>
  <c r="J16" i="6"/>
  <c r="K16" i="6"/>
  <c r="L16" i="6"/>
  <c r="M16" i="6"/>
  <c r="O19" i="6"/>
  <c r="I19" i="6"/>
  <c r="J19" i="6"/>
  <c r="K19" i="6"/>
  <c r="L19" i="6"/>
  <c r="M19" i="6"/>
  <c r="N19" i="6"/>
  <c r="H19" i="6"/>
  <c r="H16" i="6"/>
  <c r="H14" i="6"/>
  <c r="H15" i="6"/>
  <c r="I13" i="6"/>
  <c r="J13" i="6"/>
  <c r="H13" i="6"/>
  <c r="O10" i="6"/>
  <c r="I10" i="6"/>
  <c r="J10" i="6"/>
  <c r="H10" i="6"/>
  <c r="H7" i="6"/>
  <c r="H4" i="6"/>
  <c r="O7" i="6"/>
  <c r="H21" i="6"/>
  <c r="O4" i="6"/>
  <c r="I4" i="6"/>
  <c r="J4" i="6"/>
  <c r="K4" i="6"/>
  <c r="L4" i="6"/>
  <c r="M4" i="6"/>
  <c r="M49" i="5"/>
  <c r="O49" i="5"/>
  <c r="M89" i="5"/>
  <c r="O89" i="5"/>
  <c r="F90" i="5"/>
  <c r="F89" i="5"/>
  <c r="L89" i="5" s="1"/>
  <c r="N89" i="5" s="1"/>
  <c r="P89" i="5" s="1"/>
  <c r="F50" i="5"/>
  <c r="F49" i="5"/>
  <c r="E6" i="1"/>
  <c r="F36" i="3"/>
  <c r="E44" i="1"/>
  <c r="H44" i="1" s="1"/>
  <c r="G44" i="1"/>
  <c r="F46" i="1"/>
  <c r="D46" i="1"/>
  <c r="C46" i="1"/>
  <c r="E45" i="1"/>
  <c r="G45" i="1" s="1"/>
  <c r="E43" i="1"/>
  <c r="H43" i="1" s="1"/>
  <c r="E42" i="1"/>
  <c r="H42" i="1" s="1"/>
  <c r="E41" i="1"/>
  <c r="G41" i="1" s="1"/>
  <c r="L49" i="5" l="1"/>
  <c r="N49" i="5" s="1"/>
  <c r="P49" i="5" s="1"/>
  <c r="Q89" i="5"/>
  <c r="Q49" i="5"/>
  <c r="H45" i="1"/>
  <c r="H41" i="1"/>
  <c r="E46" i="1"/>
  <c r="H46" i="1" s="1"/>
  <c r="G43" i="1"/>
  <c r="G42" i="1"/>
  <c r="G46" i="1" s="1"/>
  <c r="F55" i="5" l="1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91" i="5"/>
  <c r="F92" i="5"/>
  <c r="F54" i="5"/>
  <c r="F53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51" i="5"/>
  <c r="F52" i="5"/>
  <c r="E25" i="1" l="1"/>
  <c r="E26" i="1"/>
  <c r="Q6" i="10"/>
  <c r="Q8" i="10"/>
  <c r="Q10" i="10"/>
  <c r="P6" i="10"/>
  <c r="P8" i="10"/>
  <c r="P10" i="10"/>
  <c r="O6" i="10"/>
  <c r="O8" i="10"/>
  <c r="O10" i="10"/>
  <c r="N6" i="10"/>
  <c r="N8" i="10"/>
  <c r="N10" i="10"/>
  <c r="M6" i="10"/>
  <c r="M8" i="10"/>
  <c r="M10" i="10"/>
  <c r="L6" i="10"/>
  <c r="L8" i="10"/>
  <c r="L10" i="10"/>
  <c r="J6" i="10"/>
  <c r="J7" i="10"/>
  <c r="J8" i="10"/>
  <c r="J9" i="10"/>
  <c r="J10" i="10"/>
  <c r="J11" i="10"/>
  <c r="I6" i="10"/>
  <c r="I7" i="10"/>
  <c r="I8" i="10"/>
  <c r="I9" i="10"/>
  <c r="I10" i="10"/>
  <c r="I11" i="10"/>
  <c r="H16" i="10"/>
  <c r="E16" i="10"/>
  <c r="G6" i="10"/>
  <c r="G7" i="10"/>
  <c r="G8" i="10"/>
  <c r="G9" i="10"/>
  <c r="G10" i="10"/>
  <c r="G11" i="10"/>
  <c r="O14" i="10"/>
  <c r="M14" i="10"/>
  <c r="L14" i="10"/>
  <c r="N14" i="10" s="1"/>
  <c r="G14" i="10"/>
  <c r="J14" i="10" s="1"/>
  <c r="O12" i="10"/>
  <c r="M12" i="10"/>
  <c r="L12" i="10"/>
  <c r="N12" i="10" s="1"/>
  <c r="G12" i="10"/>
  <c r="J12" i="10" s="1"/>
  <c r="B3" i="10"/>
  <c r="E13" i="1"/>
  <c r="F26" i="1"/>
  <c r="F25" i="1"/>
  <c r="M16" i="10" l="1"/>
  <c r="E9" i="1"/>
  <c r="Q12" i="10"/>
  <c r="P12" i="10"/>
  <c r="Q14" i="10"/>
  <c r="P14" i="10"/>
  <c r="O16" i="10"/>
  <c r="L16" i="10"/>
  <c r="N16" i="10" s="1"/>
  <c r="I12" i="10"/>
  <c r="G13" i="10" s="1"/>
  <c r="I14" i="10"/>
  <c r="N3" i="6"/>
  <c r="N5" i="6"/>
  <c r="N6" i="6"/>
  <c r="N8" i="6"/>
  <c r="N9" i="6"/>
  <c r="N11" i="6"/>
  <c r="N12" i="6"/>
  <c r="N14" i="6"/>
  <c r="N17" i="6"/>
  <c r="N18" i="6"/>
  <c r="N20" i="6"/>
  <c r="N21" i="6"/>
  <c r="B10" i="5"/>
  <c r="B3" i="3"/>
  <c r="B3" i="2"/>
  <c r="B22" i="1"/>
  <c r="E93" i="5"/>
  <c r="G15" i="10" l="1"/>
  <c r="F16" i="10" s="1"/>
  <c r="G16" i="10" s="1"/>
  <c r="P16" i="10"/>
  <c r="I13" i="10"/>
  <c r="J13" i="10"/>
  <c r="Q16" i="10"/>
  <c r="I93" i="5"/>
  <c r="G93" i="5"/>
  <c r="J15" i="10" l="1"/>
  <c r="I15" i="10"/>
  <c r="J16" i="10" s="1"/>
  <c r="M51" i="5"/>
  <c r="O51" i="5"/>
  <c r="M91" i="5"/>
  <c r="O91" i="5"/>
  <c r="H91" i="5"/>
  <c r="I16" i="10" l="1"/>
  <c r="L51" i="5"/>
  <c r="L91" i="5"/>
  <c r="N91" i="5" s="1"/>
  <c r="P91" i="5" s="1"/>
  <c r="H51" i="5"/>
  <c r="J51" i="5" s="1"/>
  <c r="H52" i="5" s="1"/>
  <c r="J91" i="5"/>
  <c r="H92" i="5" s="1"/>
  <c r="K91" i="5"/>
  <c r="H14" i="1"/>
  <c r="N51" i="5" l="1"/>
  <c r="P51" i="5" s="1"/>
  <c r="Q91" i="5"/>
  <c r="K51" i="5"/>
  <c r="K52" i="5"/>
  <c r="J52" i="5"/>
  <c r="J92" i="5"/>
  <c r="K92" i="5"/>
  <c r="Q51" i="5" l="1"/>
  <c r="H87" i="5"/>
  <c r="H47" i="5"/>
  <c r="K47" i="5" s="1"/>
  <c r="M87" i="5"/>
  <c r="O87" i="5"/>
  <c r="M47" i="5"/>
  <c r="O47" i="5"/>
  <c r="J47" i="5" l="1"/>
  <c r="H48" i="5" s="1"/>
  <c r="J87" i="5"/>
  <c r="H88" i="5" s="1"/>
  <c r="K87" i="5"/>
  <c r="L87" i="5"/>
  <c r="N87" i="5" s="1"/>
  <c r="P87" i="5" s="1"/>
  <c r="L47" i="5"/>
  <c r="N47" i="5" s="1"/>
  <c r="P47" i="5" s="1"/>
  <c r="E54" i="3"/>
  <c r="K52" i="3"/>
  <c r="L52" i="3"/>
  <c r="N52" i="3"/>
  <c r="G52" i="3"/>
  <c r="I52" i="3" s="1"/>
  <c r="G53" i="3" s="1"/>
  <c r="K28" i="3"/>
  <c r="L28" i="3"/>
  <c r="N28" i="3"/>
  <c r="G28" i="3"/>
  <c r="I28" i="3" s="1"/>
  <c r="G29" i="3" s="1"/>
  <c r="M52" i="3" l="1"/>
  <c r="P52" i="3" s="1"/>
  <c r="M28" i="3"/>
  <c r="P28" i="3" s="1"/>
  <c r="O52" i="3"/>
  <c r="K48" i="5"/>
  <c r="J48" i="5"/>
  <c r="H49" i="5" s="1"/>
  <c r="Q47" i="5"/>
  <c r="J88" i="5"/>
  <c r="H89" i="5" s="1"/>
  <c r="K88" i="5"/>
  <c r="Q87" i="5"/>
  <c r="J53" i="3"/>
  <c r="I53" i="3"/>
  <c r="J52" i="3"/>
  <c r="I29" i="3"/>
  <c r="J29" i="3"/>
  <c r="J28" i="3"/>
  <c r="J89" i="5" l="1"/>
  <c r="H90" i="5" s="1"/>
  <c r="K89" i="5"/>
  <c r="J49" i="5"/>
  <c r="H50" i="5" s="1"/>
  <c r="K49" i="5"/>
  <c r="O28" i="3"/>
  <c r="K90" i="5" l="1"/>
  <c r="J90" i="5"/>
  <c r="K50" i="5"/>
  <c r="J50" i="5"/>
  <c r="H54" i="3"/>
  <c r="O5" i="8" l="1"/>
  <c r="P5" i="8"/>
  <c r="T5" i="8"/>
  <c r="U5" i="8"/>
  <c r="F29" i="1" l="1"/>
  <c r="Q5" i="8"/>
  <c r="V5" i="8"/>
  <c r="O188" i="6"/>
  <c r="O189" i="6"/>
  <c r="O190" i="6"/>
  <c r="O173" i="6"/>
  <c r="O174" i="6"/>
  <c r="O175" i="6"/>
  <c r="O176" i="6"/>
  <c r="O177" i="6"/>
  <c r="O178" i="6"/>
  <c r="O179" i="6"/>
  <c r="O180" i="6"/>
  <c r="O181" i="6"/>
  <c r="F54" i="3" l="1"/>
  <c r="G54" i="3" s="1"/>
  <c r="I54" i="3" s="1"/>
  <c r="I173" i="6" l="1"/>
  <c r="K173" i="6"/>
  <c r="I174" i="6"/>
  <c r="K174" i="6"/>
  <c r="I176" i="6"/>
  <c r="K176" i="6"/>
  <c r="I177" i="6"/>
  <c r="K177" i="6"/>
  <c r="I179" i="6"/>
  <c r="K179" i="6"/>
  <c r="I180" i="6"/>
  <c r="K180" i="6"/>
  <c r="I182" i="6"/>
  <c r="K182" i="6"/>
  <c r="I183" i="6"/>
  <c r="K183" i="6"/>
  <c r="I185" i="6"/>
  <c r="K185" i="6"/>
  <c r="I186" i="6"/>
  <c r="K186" i="6"/>
  <c r="I188" i="6"/>
  <c r="K188" i="6"/>
  <c r="I189" i="6"/>
  <c r="K189" i="6"/>
  <c r="E190" i="6"/>
  <c r="E188" i="6"/>
  <c r="E189" i="6"/>
  <c r="E187" i="6"/>
  <c r="E185" i="6"/>
  <c r="E186" i="6"/>
  <c r="E181" i="6"/>
  <c r="E180" i="6"/>
  <c r="E179" i="6"/>
  <c r="E178" i="6"/>
  <c r="E177" i="6"/>
  <c r="E176" i="6"/>
  <c r="E175" i="6"/>
  <c r="E173" i="6"/>
  <c r="E174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I122" i="6"/>
  <c r="K122" i="6"/>
  <c r="I123" i="6"/>
  <c r="K123" i="6"/>
  <c r="I125" i="6"/>
  <c r="K125" i="6"/>
  <c r="I126" i="6"/>
  <c r="K126" i="6"/>
  <c r="I128" i="6"/>
  <c r="K128" i="6"/>
  <c r="I129" i="6"/>
  <c r="K129" i="6"/>
  <c r="I131" i="6"/>
  <c r="K131" i="6"/>
  <c r="I132" i="6"/>
  <c r="K132" i="6"/>
  <c r="I134" i="6"/>
  <c r="K134" i="6"/>
  <c r="I135" i="6"/>
  <c r="K135" i="6"/>
  <c r="I137" i="6"/>
  <c r="K137" i="6"/>
  <c r="I138" i="6"/>
  <c r="K138" i="6"/>
  <c r="E139" i="6"/>
  <c r="E137" i="6"/>
  <c r="E138" i="6"/>
  <c r="E136" i="6"/>
  <c r="E134" i="6"/>
  <c r="E135" i="6"/>
  <c r="E130" i="6"/>
  <c r="E128" i="6"/>
  <c r="E129" i="6"/>
  <c r="E127" i="6"/>
  <c r="E125" i="6"/>
  <c r="E126" i="6"/>
  <c r="E124" i="6"/>
  <c r="E122" i="6"/>
  <c r="E123" i="6"/>
  <c r="O80" i="6" l="1"/>
  <c r="O81" i="6"/>
  <c r="O82" i="6"/>
  <c r="O83" i="6"/>
  <c r="O84" i="6"/>
  <c r="I82" i="6"/>
  <c r="K82" i="6"/>
  <c r="I83" i="6"/>
  <c r="K83" i="6"/>
  <c r="H83" i="6"/>
  <c r="H82" i="6"/>
  <c r="E84" i="6"/>
  <c r="E82" i="6"/>
  <c r="E83" i="6"/>
  <c r="O49" i="6"/>
  <c r="O50" i="6"/>
  <c r="O51" i="6"/>
  <c r="I49" i="6"/>
  <c r="K49" i="6"/>
  <c r="I50" i="6"/>
  <c r="K50" i="6"/>
  <c r="H50" i="6"/>
  <c r="H49" i="6"/>
  <c r="E51" i="6"/>
  <c r="E49" i="6"/>
  <c r="E50" i="6"/>
  <c r="I15" i="1" l="1"/>
  <c r="AG63" i="3" l="1"/>
  <c r="D66" i="3"/>
  <c r="C91" i="3"/>
  <c r="J66" i="3"/>
  <c r="AG116" i="3"/>
  <c r="AG117" i="3"/>
  <c r="AB113" i="3"/>
  <c r="AB112" i="3"/>
  <c r="AG85" i="3"/>
  <c r="AG86" i="3"/>
  <c r="AB82" i="3"/>
  <c r="AB81" i="3"/>
  <c r="M83" i="5" l="1"/>
  <c r="I187" i="6" s="1"/>
  <c r="O83" i="5"/>
  <c r="K187" i="6" s="1"/>
  <c r="M85" i="5"/>
  <c r="I190" i="6" s="1"/>
  <c r="O85" i="5"/>
  <c r="K190" i="6" s="1"/>
  <c r="H186" i="6"/>
  <c r="H189" i="6"/>
  <c r="M45" i="5"/>
  <c r="O45" i="5"/>
  <c r="K139" i="6" s="1"/>
  <c r="M43" i="5"/>
  <c r="I136" i="6" s="1"/>
  <c r="O43" i="5"/>
  <c r="K136" i="6" s="1"/>
  <c r="H138" i="6"/>
  <c r="H134" i="6"/>
  <c r="H135" i="6"/>
  <c r="I139" i="6" l="1"/>
  <c r="H43" i="5"/>
  <c r="J43" i="5" s="1"/>
  <c r="L134" i="6" s="1"/>
  <c r="H85" i="5"/>
  <c r="J188" i="6" s="1"/>
  <c r="H188" i="6"/>
  <c r="H83" i="5"/>
  <c r="J185" i="6" s="1"/>
  <c r="H185" i="6"/>
  <c r="H45" i="5"/>
  <c r="J137" i="6" s="1"/>
  <c r="H137" i="6"/>
  <c r="L43" i="5"/>
  <c r="L45" i="5"/>
  <c r="L83" i="5"/>
  <c r="L85" i="5"/>
  <c r="M134" i="6" l="1"/>
  <c r="J134" i="6"/>
  <c r="H44" i="5"/>
  <c r="M135" i="6" s="1"/>
  <c r="K85" i="5"/>
  <c r="M188" i="6" s="1"/>
  <c r="J85" i="5"/>
  <c r="N85" i="5"/>
  <c r="M190" i="6" s="1"/>
  <c r="H190" i="6"/>
  <c r="M185" i="6"/>
  <c r="J83" i="5"/>
  <c r="N83" i="5"/>
  <c r="M187" i="6" s="1"/>
  <c r="H187" i="6"/>
  <c r="J45" i="5"/>
  <c r="K45" i="5"/>
  <c r="M137" i="6" s="1"/>
  <c r="N45" i="5"/>
  <c r="M139" i="6" s="1"/>
  <c r="H139" i="6"/>
  <c r="N43" i="5"/>
  <c r="M136" i="6" s="1"/>
  <c r="H136" i="6"/>
  <c r="J135" i="6" l="1"/>
  <c r="J44" i="5"/>
  <c r="L135" i="6" s="1"/>
  <c r="H86" i="5"/>
  <c r="L188" i="6"/>
  <c r="P85" i="5"/>
  <c r="L190" i="6" s="1"/>
  <c r="J190" i="6"/>
  <c r="H84" i="5"/>
  <c r="L185" i="6"/>
  <c r="P83" i="5"/>
  <c r="L187" i="6" s="1"/>
  <c r="J187" i="6"/>
  <c r="P45" i="5"/>
  <c r="L139" i="6" s="1"/>
  <c r="J139" i="6"/>
  <c r="H46" i="5"/>
  <c r="L137" i="6"/>
  <c r="P43" i="5"/>
  <c r="L136" i="6" s="1"/>
  <c r="J136" i="6"/>
  <c r="J189" i="6" l="1"/>
  <c r="M189" i="6"/>
  <c r="J86" i="5"/>
  <c r="L189" i="6" s="1"/>
  <c r="J186" i="6"/>
  <c r="M186" i="6"/>
  <c r="J84" i="5"/>
  <c r="L186" i="6" s="1"/>
  <c r="J46" i="5"/>
  <c r="L138" i="6" s="1"/>
  <c r="J138" i="6"/>
  <c r="M138" i="6"/>
  <c r="E19" i="2"/>
  <c r="AG81" i="3"/>
  <c r="AG82" i="3"/>
  <c r="AG65" i="3"/>
  <c r="AG64" i="3"/>
  <c r="AG95" i="3"/>
  <c r="AG94" i="3"/>
  <c r="N91" i="3"/>
  <c r="L91" i="3"/>
  <c r="I91" i="3"/>
  <c r="K91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66" i="3"/>
  <c r="D77" i="3"/>
  <c r="D78" i="3"/>
  <c r="D79" i="3"/>
  <c r="D80" i="3"/>
  <c r="D67" i="3"/>
  <c r="D68" i="3"/>
  <c r="D69" i="3"/>
  <c r="D70" i="3"/>
  <c r="D71" i="3"/>
  <c r="D72" i="3"/>
  <c r="D73" i="3"/>
  <c r="D74" i="3"/>
  <c r="D75" i="3"/>
  <c r="D76" i="3"/>
  <c r="F91" i="3"/>
  <c r="H91" i="3"/>
  <c r="E91" i="3"/>
  <c r="AG119" i="3"/>
  <c r="AG106" i="3"/>
  <c r="AG107" i="3"/>
  <c r="AG108" i="3"/>
  <c r="AG109" i="3"/>
  <c r="AG110" i="3"/>
  <c r="AG111" i="3"/>
  <c r="AG112" i="3"/>
  <c r="AG113" i="3"/>
  <c r="AG114" i="3"/>
  <c r="AG115" i="3"/>
  <c r="AG118" i="3"/>
  <c r="AG75" i="3"/>
  <c r="AG76" i="3"/>
  <c r="AG77" i="3"/>
  <c r="AG78" i="3"/>
  <c r="AG79" i="3"/>
  <c r="AG80" i="3"/>
  <c r="AG83" i="3"/>
  <c r="AG84" i="3"/>
  <c r="AG87" i="3"/>
  <c r="AG88" i="3"/>
  <c r="AG105" i="3"/>
  <c r="AG104" i="3"/>
  <c r="AG103" i="3"/>
  <c r="AG102" i="3"/>
  <c r="AG101" i="3"/>
  <c r="AG100" i="3"/>
  <c r="AG99" i="3"/>
  <c r="AG98" i="3"/>
  <c r="AG97" i="3"/>
  <c r="AG96" i="3"/>
  <c r="AL95" i="3"/>
  <c r="AG74" i="3"/>
  <c r="AG73" i="3"/>
  <c r="AG72" i="3"/>
  <c r="AG71" i="3"/>
  <c r="AG70" i="3"/>
  <c r="AG69" i="3"/>
  <c r="AG68" i="3"/>
  <c r="AG67" i="3"/>
  <c r="AL66" i="3"/>
  <c r="AG66" i="3"/>
  <c r="D91" i="3" l="1"/>
  <c r="AG89" i="3"/>
  <c r="AG120" i="3"/>
  <c r="J91" i="3"/>
  <c r="M91" i="3"/>
  <c r="G91" i="3"/>
  <c r="D92" i="3"/>
  <c r="N92" i="3"/>
  <c r="H92" i="3"/>
  <c r="J92" i="3"/>
  <c r="L92" i="3" l="1"/>
  <c r="F92" i="3"/>
  <c r="E5" i="5"/>
  <c r="E4" i="5"/>
  <c r="G6" i="2" l="1"/>
  <c r="M79" i="5" l="1"/>
  <c r="I181" i="6" s="1"/>
  <c r="O79" i="5"/>
  <c r="K181" i="6" s="1"/>
  <c r="H180" i="6"/>
  <c r="H128" i="6"/>
  <c r="M39" i="5"/>
  <c r="I130" i="6" s="1"/>
  <c r="O39" i="5"/>
  <c r="K130" i="6" s="1"/>
  <c r="H129" i="6"/>
  <c r="H79" i="5" l="1"/>
  <c r="J179" i="6" s="1"/>
  <c r="H179" i="6"/>
  <c r="L39" i="5"/>
  <c r="H39" i="5"/>
  <c r="L79" i="5"/>
  <c r="K79" i="5" l="1"/>
  <c r="M179" i="6" s="1"/>
  <c r="J79" i="5"/>
  <c r="H80" i="5" s="1"/>
  <c r="J180" i="6" s="1"/>
  <c r="N79" i="5"/>
  <c r="Q79" i="5" s="1"/>
  <c r="M181" i="6" s="1"/>
  <c r="H181" i="6"/>
  <c r="N39" i="5"/>
  <c r="H130" i="6"/>
  <c r="J39" i="5"/>
  <c r="J128" i="6"/>
  <c r="K39" i="5"/>
  <c r="M128" i="6" s="1"/>
  <c r="L179" i="6" l="1"/>
  <c r="K80" i="5"/>
  <c r="M180" i="6" s="1"/>
  <c r="J80" i="5"/>
  <c r="L180" i="6" s="1"/>
  <c r="P79" i="5"/>
  <c r="L181" i="6" s="1"/>
  <c r="J181" i="6"/>
  <c r="P39" i="5"/>
  <c r="L130" i="6" s="1"/>
  <c r="J130" i="6"/>
  <c r="Q39" i="5"/>
  <c r="M130" i="6" s="1"/>
  <c r="H40" i="5"/>
  <c r="L128" i="6"/>
  <c r="G14" i="1"/>
  <c r="K40" i="5" l="1"/>
  <c r="M129" i="6" s="1"/>
  <c r="J129" i="6"/>
  <c r="J40" i="5"/>
  <c r="L129" i="6" s="1"/>
  <c r="K86" i="6"/>
  <c r="K85" i="6"/>
  <c r="I86" i="6"/>
  <c r="H86" i="6"/>
  <c r="I85" i="6"/>
  <c r="H85" i="6"/>
  <c r="O85" i="6"/>
  <c r="O86" i="6"/>
  <c r="O87" i="6"/>
  <c r="E87" i="6"/>
  <c r="E86" i="6"/>
  <c r="E85" i="6"/>
  <c r="N50" i="3"/>
  <c r="K87" i="6" s="1"/>
  <c r="L50" i="3"/>
  <c r="I87" i="6" s="1"/>
  <c r="K50" i="3"/>
  <c r="H87" i="6" s="1"/>
  <c r="G50" i="3"/>
  <c r="J50" i="3" l="1"/>
  <c r="M85" i="6" s="1"/>
  <c r="M50" i="3"/>
  <c r="I50" i="3"/>
  <c r="J85" i="6"/>
  <c r="G51" i="3" l="1"/>
  <c r="J51" i="3" s="1"/>
  <c r="L85" i="6"/>
  <c r="O50" i="3"/>
  <c r="L87" i="6" s="1"/>
  <c r="J87" i="6"/>
  <c r="P50" i="3"/>
  <c r="M87" i="6" s="1"/>
  <c r="J86" i="6" l="1"/>
  <c r="I51" i="3"/>
  <c r="L86" i="6" s="1"/>
  <c r="M86" i="6"/>
  <c r="G48" i="3" l="1"/>
  <c r="J82" i="6" s="1"/>
  <c r="L48" i="3"/>
  <c r="I84" i="6" s="1"/>
  <c r="N48" i="3"/>
  <c r="K84" i="6" s="1"/>
  <c r="G24" i="3"/>
  <c r="J49" i="6" s="1"/>
  <c r="K24" i="3"/>
  <c r="H51" i="6" s="1"/>
  <c r="L24" i="3"/>
  <c r="I51" i="6" s="1"/>
  <c r="N24" i="3"/>
  <c r="K51" i="6" s="1"/>
  <c r="M24" i="3" l="1"/>
  <c r="J51" i="6" s="1"/>
  <c r="I48" i="3"/>
  <c r="J48" i="3"/>
  <c r="M82" i="6" s="1"/>
  <c r="K48" i="3"/>
  <c r="I24" i="3"/>
  <c r="J24" i="3"/>
  <c r="M49" i="6" s="1"/>
  <c r="G25" i="3" l="1"/>
  <c r="J50" i="6" s="1"/>
  <c r="L49" i="6"/>
  <c r="M48" i="3"/>
  <c r="P48" i="3" s="1"/>
  <c r="M84" i="6" s="1"/>
  <c r="H84" i="6"/>
  <c r="G49" i="3"/>
  <c r="J83" i="6" s="1"/>
  <c r="L82" i="6"/>
  <c r="O24" i="3"/>
  <c r="L51" i="6" s="1"/>
  <c r="P24" i="3"/>
  <c r="M51" i="6" s="1"/>
  <c r="J25" i="3" l="1"/>
  <c r="M50" i="6" s="1"/>
  <c r="I25" i="3"/>
  <c r="L50" i="6" s="1"/>
  <c r="I49" i="3"/>
  <c r="L83" i="6" s="1"/>
  <c r="O48" i="3"/>
  <c r="L84" i="6" s="1"/>
  <c r="J84" i="6"/>
  <c r="J49" i="3"/>
  <c r="M83" i="6" s="1"/>
  <c r="M77" i="5"/>
  <c r="I178" i="6" s="1"/>
  <c r="O77" i="5"/>
  <c r="K178" i="6" s="1"/>
  <c r="H177" i="6"/>
  <c r="M37" i="5"/>
  <c r="I127" i="6" s="1"/>
  <c r="H126" i="6"/>
  <c r="H37" i="5" l="1"/>
  <c r="J125" i="6" s="1"/>
  <c r="H125" i="6"/>
  <c r="H77" i="5"/>
  <c r="J176" i="6" s="1"/>
  <c r="H176" i="6"/>
  <c r="L77" i="5"/>
  <c r="L37" i="5"/>
  <c r="N37" i="5" l="1"/>
  <c r="J127" i="6" s="1"/>
  <c r="H127" i="6"/>
  <c r="K77" i="5"/>
  <c r="M176" i="6" s="1"/>
  <c r="J77" i="5"/>
  <c r="N77" i="5"/>
  <c r="Q77" i="5" s="1"/>
  <c r="M178" i="6" s="1"/>
  <c r="H178" i="6"/>
  <c r="P77" i="5" l="1"/>
  <c r="L178" i="6" s="1"/>
  <c r="J178" i="6"/>
  <c r="H78" i="5"/>
  <c r="L176" i="6"/>
  <c r="O185" i="6"/>
  <c r="O186" i="6"/>
  <c r="O187" i="6"/>
  <c r="H173" i="6"/>
  <c r="M75" i="5"/>
  <c r="I175" i="6" s="1"/>
  <c r="O75" i="5"/>
  <c r="K175" i="6" s="1"/>
  <c r="H174" i="6"/>
  <c r="M35" i="5"/>
  <c r="I124" i="6" s="1"/>
  <c r="O35" i="5"/>
  <c r="K124" i="6" s="1"/>
  <c r="H123" i="6"/>
  <c r="H35" i="5" l="1"/>
  <c r="J122" i="6" s="1"/>
  <c r="H122" i="6"/>
  <c r="J78" i="5"/>
  <c r="L177" i="6" s="1"/>
  <c r="J177" i="6"/>
  <c r="K78" i="5"/>
  <c r="M177" i="6" s="1"/>
  <c r="L75" i="5"/>
  <c r="H75" i="5"/>
  <c r="J173" i="6" s="1"/>
  <c r="L35" i="5"/>
  <c r="H124" i="6" s="1"/>
  <c r="M122" i="6" l="1"/>
  <c r="J35" i="5"/>
  <c r="L122" i="6" s="1"/>
  <c r="N75" i="5"/>
  <c r="H175" i="6"/>
  <c r="M173" i="6"/>
  <c r="J75" i="5"/>
  <c r="L173" i="6" s="1"/>
  <c r="N35" i="5"/>
  <c r="J124" i="6" s="1"/>
  <c r="H36" i="5" l="1"/>
  <c r="J123" i="6" s="1"/>
  <c r="P75" i="5"/>
  <c r="L175" i="6" s="1"/>
  <c r="J175" i="6"/>
  <c r="H76" i="5"/>
  <c r="J174" i="6" s="1"/>
  <c r="P35" i="5"/>
  <c r="L124" i="6" s="1"/>
  <c r="M124" i="6"/>
  <c r="J36" i="5" l="1"/>
  <c r="L123" i="6" s="1"/>
  <c r="M123" i="6"/>
  <c r="J76" i="5"/>
  <c r="L174" i="6" s="1"/>
  <c r="M174" i="6"/>
  <c r="G35" i="8"/>
  <c r="E33" i="8"/>
  <c r="F33" i="8" s="1"/>
  <c r="H33" i="8" s="1"/>
  <c r="D31" i="8"/>
  <c r="E31" i="8" s="1"/>
  <c r="F31" i="8" s="1"/>
  <c r="H31" i="8" s="1"/>
  <c r="E29" i="8"/>
  <c r="F29" i="8" s="1"/>
  <c r="H29" i="8" s="1"/>
  <c r="E27" i="8"/>
  <c r="F27" i="8" s="1"/>
  <c r="H27" i="8" s="1"/>
  <c r="E25" i="8"/>
  <c r="F25" i="8" s="1"/>
  <c r="H25" i="8" s="1"/>
  <c r="D23" i="8"/>
  <c r="C23" i="8"/>
  <c r="E21" i="8"/>
  <c r="F21" i="8" s="1"/>
  <c r="H21" i="8" s="1"/>
  <c r="D19" i="8"/>
  <c r="E19" i="8" s="1"/>
  <c r="F19" i="8" s="1"/>
  <c r="H19" i="8" s="1"/>
  <c r="E17" i="8"/>
  <c r="F17" i="8" s="1"/>
  <c r="H17" i="8" s="1"/>
  <c r="D15" i="8"/>
  <c r="C15" i="8"/>
  <c r="D8" i="8"/>
  <c r="E8" i="8" s="1"/>
  <c r="F8" i="8" s="1"/>
  <c r="H8" i="8" s="1"/>
  <c r="D2" i="8"/>
  <c r="E2" i="8" s="1"/>
  <c r="F2" i="8" s="1"/>
  <c r="H2" i="8" s="1"/>
  <c r="D12" i="8"/>
  <c r="D4" i="8"/>
  <c r="C4" i="8"/>
  <c r="E6" i="8"/>
  <c r="F6" i="8" s="1"/>
  <c r="H6" i="8" s="1"/>
  <c r="E10" i="8"/>
  <c r="F10" i="8" s="1"/>
  <c r="H10" i="8" s="1"/>
  <c r="C35" i="8" l="1"/>
  <c r="D35" i="8"/>
  <c r="E23" i="8"/>
  <c r="F23" i="8" s="1"/>
  <c r="H23" i="8" s="1"/>
  <c r="E15" i="8"/>
  <c r="F15" i="8" s="1"/>
  <c r="H15" i="8" s="1"/>
  <c r="E12" i="8"/>
  <c r="F12" i="8" s="1"/>
  <c r="E4" i="8"/>
  <c r="F4" i="8" s="1"/>
  <c r="H4" i="8" s="1"/>
  <c r="H35" i="8" l="1"/>
  <c r="H12" i="8"/>
  <c r="F35" i="8"/>
  <c r="E35" i="8"/>
  <c r="J14" i="1" l="1"/>
  <c r="I14" i="1"/>
  <c r="O88" i="6" l="1"/>
  <c r="O3" i="6" l="1"/>
  <c r="O5" i="6"/>
  <c r="O6" i="6"/>
  <c r="O8" i="6"/>
  <c r="O9" i="6"/>
  <c r="O11" i="6"/>
  <c r="O12" i="6"/>
  <c r="O14" i="6"/>
  <c r="O15" i="6"/>
  <c r="O17" i="6"/>
  <c r="O18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82" i="6"/>
  <c r="O183" i="6"/>
  <c r="O184" i="6"/>
  <c r="O191" i="6"/>
  <c r="O2" i="6"/>
  <c r="I191" i="6"/>
  <c r="E184" i="6"/>
  <c r="E183" i="6"/>
  <c r="E172" i="6"/>
  <c r="E171" i="6"/>
  <c r="E169" i="6"/>
  <c r="E168" i="6"/>
  <c r="E166" i="6"/>
  <c r="E165" i="6"/>
  <c r="E163" i="6"/>
  <c r="E162" i="6"/>
  <c r="E160" i="6"/>
  <c r="E159" i="6"/>
  <c r="E157" i="6"/>
  <c r="E156" i="6"/>
  <c r="E154" i="6"/>
  <c r="E153" i="6"/>
  <c r="E151" i="6"/>
  <c r="E150" i="6"/>
  <c r="E148" i="6"/>
  <c r="E147" i="6"/>
  <c r="E145" i="6"/>
  <c r="E144" i="6"/>
  <c r="E142" i="6"/>
  <c r="E141" i="6"/>
  <c r="I140" i="6"/>
  <c r="K140" i="6"/>
  <c r="I141" i="6"/>
  <c r="K141" i="6"/>
  <c r="I143" i="6"/>
  <c r="K143" i="6"/>
  <c r="I144" i="6"/>
  <c r="K144" i="6"/>
  <c r="I146" i="6"/>
  <c r="K146" i="6"/>
  <c r="I147" i="6"/>
  <c r="K147" i="6"/>
  <c r="I149" i="6"/>
  <c r="K149" i="6"/>
  <c r="I150" i="6"/>
  <c r="K150" i="6"/>
  <c r="I152" i="6"/>
  <c r="K152" i="6"/>
  <c r="I153" i="6"/>
  <c r="K153" i="6"/>
  <c r="I155" i="6"/>
  <c r="K155" i="6"/>
  <c r="I156" i="6"/>
  <c r="K156" i="6"/>
  <c r="I158" i="6"/>
  <c r="K158" i="6"/>
  <c r="I159" i="6"/>
  <c r="K159" i="6"/>
  <c r="I161" i="6"/>
  <c r="K161" i="6"/>
  <c r="I162" i="6"/>
  <c r="K162" i="6"/>
  <c r="I164" i="6"/>
  <c r="K164" i="6"/>
  <c r="I165" i="6"/>
  <c r="K165" i="6"/>
  <c r="I167" i="6"/>
  <c r="K167" i="6"/>
  <c r="I168" i="6"/>
  <c r="K168" i="6"/>
  <c r="I170" i="6"/>
  <c r="K170" i="6"/>
  <c r="I171" i="6"/>
  <c r="K171" i="6"/>
  <c r="E143" i="6"/>
  <c r="E146" i="6"/>
  <c r="E149" i="6"/>
  <c r="E152" i="6"/>
  <c r="E155" i="6"/>
  <c r="E158" i="6"/>
  <c r="E161" i="6"/>
  <c r="E164" i="6"/>
  <c r="E167" i="6"/>
  <c r="E170" i="6"/>
  <c r="E182" i="6"/>
  <c r="E140" i="6"/>
  <c r="E133" i="6"/>
  <c r="E132" i="6"/>
  <c r="E121" i="6"/>
  <c r="E120" i="6"/>
  <c r="E118" i="6"/>
  <c r="E117" i="6"/>
  <c r="E115" i="6"/>
  <c r="E114" i="6"/>
  <c r="E112" i="6"/>
  <c r="E111" i="6"/>
  <c r="E109" i="6"/>
  <c r="E108" i="6"/>
  <c r="E106" i="6"/>
  <c r="E105" i="6"/>
  <c r="E103" i="6"/>
  <c r="E102" i="6"/>
  <c r="E100" i="6"/>
  <c r="E99" i="6"/>
  <c r="E97" i="6"/>
  <c r="E96" i="6"/>
  <c r="E94" i="6"/>
  <c r="E93" i="6"/>
  <c r="E91" i="6"/>
  <c r="E90" i="6"/>
  <c r="I89" i="6"/>
  <c r="K89" i="6"/>
  <c r="I90" i="6"/>
  <c r="K90" i="6"/>
  <c r="I92" i="6"/>
  <c r="K92" i="6"/>
  <c r="I93" i="6"/>
  <c r="K93" i="6"/>
  <c r="I95" i="6"/>
  <c r="K95" i="6"/>
  <c r="I96" i="6"/>
  <c r="K96" i="6"/>
  <c r="I98" i="6"/>
  <c r="K98" i="6"/>
  <c r="I99" i="6"/>
  <c r="K99" i="6"/>
  <c r="I101" i="6"/>
  <c r="K101" i="6"/>
  <c r="I102" i="6"/>
  <c r="K102" i="6"/>
  <c r="I104" i="6"/>
  <c r="K104" i="6"/>
  <c r="I105" i="6"/>
  <c r="K105" i="6"/>
  <c r="I107" i="6"/>
  <c r="K107" i="6"/>
  <c r="I108" i="6"/>
  <c r="K108" i="6"/>
  <c r="I110" i="6"/>
  <c r="K110" i="6"/>
  <c r="I111" i="6"/>
  <c r="K111" i="6"/>
  <c r="I113" i="6"/>
  <c r="K113" i="6"/>
  <c r="I114" i="6"/>
  <c r="K114" i="6"/>
  <c r="I116" i="6"/>
  <c r="K116" i="6"/>
  <c r="I117" i="6"/>
  <c r="K117" i="6"/>
  <c r="I119" i="6"/>
  <c r="K119" i="6"/>
  <c r="I120" i="6"/>
  <c r="K120" i="6"/>
  <c r="E131" i="6"/>
  <c r="E92" i="6"/>
  <c r="E95" i="6"/>
  <c r="E98" i="6"/>
  <c r="E101" i="6"/>
  <c r="E104" i="6"/>
  <c r="E107" i="6"/>
  <c r="E110" i="6"/>
  <c r="E113" i="6"/>
  <c r="E116" i="6"/>
  <c r="E119" i="6"/>
  <c r="E89" i="6"/>
  <c r="E81" i="6"/>
  <c r="E80" i="6"/>
  <c r="E78" i="6"/>
  <c r="E77" i="6"/>
  <c r="E75" i="6"/>
  <c r="E74" i="6"/>
  <c r="E72" i="6"/>
  <c r="E71" i="6"/>
  <c r="E69" i="6"/>
  <c r="E68" i="6"/>
  <c r="E67" i="6"/>
  <c r="E66" i="6"/>
  <c r="E65" i="6"/>
  <c r="E63" i="6"/>
  <c r="E62" i="6"/>
  <c r="E60" i="6"/>
  <c r="E59" i="6"/>
  <c r="E57" i="6"/>
  <c r="E56" i="6"/>
  <c r="I55" i="6"/>
  <c r="K55" i="6"/>
  <c r="I56" i="6"/>
  <c r="K56" i="6"/>
  <c r="I58" i="6"/>
  <c r="K58" i="6"/>
  <c r="I59" i="6"/>
  <c r="K59" i="6"/>
  <c r="I61" i="6"/>
  <c r="K61" i="6"/>
  <c r="I62" i="6"/>
  <c r="K62" i="6"/>
  <c r="I64" i="6"/>
  <c r="K64" i="6"/>
  <c r="I65" i="6"/>
  <c r="K65" i="6"/>
  <c r="I67" i="6"/>
  <c r="K67" i="6"/>
  <c r="I68" i="6"/>
  <c r="K68" i="6"/>
  <c r="I70" i="6"/>
  <c r="K70" i="6"/>
  <c r="I71" i="6"/>
  <c r="K71" i="6"/>
  <c r="I73" i="6"/>
  <c r="K73" i="6"/>
  <c r="I74" i="6"/>
  <c r="K74" i="6"/>
  <c r="I76" i="6"/>
  <c r="K76" i="6"/>
  <c r="I77" i="6"/>
  <c r="K77" i="6"/>
  <c r="I79" i="6"/>
  <c r="K79" i="6"/>
  <c r="I80" i="6"/>
  <c r="K80" i="6"/>
  <c r="E58" i="6"/>
  <c r="E61" i="6"/>
  <c r="E64" i="6"/>
  <c r="E70" i="6"/>
  <c r="E73" i="6"/>
  <c r="E76" i="6"/>
  <c r="E79" i="6"/>
  <c r="E55" i="6"/>
  <c r="E54" i="6"/>
  <c r="E53" i="6"/>
  <c r="E48" i="6"/>
  <c r="E47" i="6"/>
  <c r="E45" i="6"/>
  <c r="E44" i="6"/>
  <c r="E42" i="6"/>
  <c r="E41" i="6"/>
  <c r="E39" i="6"/>
  <c r="E38" i="6"/>
  <c r="E36" i="6"/>
  <c r="E35" i="6"/>
  <c r="E33" i="6"/>
  <c r="E32" i="6"/>
  <c r="E30" i="6"/>
  <c r="E29" i="6"/>
  <c r="E27" i="6"/>
  <c r="E26" i="6"/>
  <c r="E24" i="6"/>
  <c r="E23" i="6"/>
  <c r="I22" i="6"/>
  <c r="K22" i="6"/>
  <c r="I23" i="6"/>
  <c r="K23" i="6"/>
  <c r="I25" i="6"/>
  <c r="K25" i="6"/>
  <c r="I26" i="6"/>
  <c r="K26" i="6"/>
  <c r="I28" i="6"/>
  <c r="K28" i="6"/>
  <c r="I29" i="6"/>
  <c r="K29" i="6"/>
  <c r="I31" i="6"/>
  <c r="K31" i="6"/>
  <c r="I32" i="6"/>
  <c r="K32" i="6"/>
  <c r="I34" i="6"/>
  <c r="K34" i="6"/>
  <c r="I35" i="6"/>
  <c r="K35" i="6"/>
  <c r="I37" i="6"/>
  <c r="K37" i="6"/>
  <c r="I38" i="6"/>
  <c r="K38" i="6"/>
  <c r="I40" i="6"/>
  <c r="K40" i="6"/>
  <c r="I41" i="6"/>
  <c r="K41" i="6"/>
  <c r="I43" i="6"/>
  <c r="K43" i="6"/>
  <c r="I44" i="6"/>
  <c r="K44" i="6"/>
  <c r="I46" i="6"/>
  <c r="K46" i="6"/>
  <c r="I47" i="6"/>
  <c r="K47" i="6"/>
  <c r="I52" i="6"/>
  <c r="K52" i="6"/>
  <c r="I53" i="6"/>
  <c r="K53" i="6"/>
  <c r="E25" i="6"/>
  <c r="E28" i="6"/>
  <c r="E31" i="6"/>
  <c r="E34" i="6"/>
  <c r="E37" i="6"/>
  <c r="E40" i="6"/>
  <c r="E43" i="6"/>
  <c r="E46" i="6"/>
  <c r="E52" i="6"/>
  <c r="E22" i="6"/>
  <c r="I20" i="6"/>
  <c r="K20" i="6"/>
  <c r="H20" i="6"/>
  <c r="I18" i="6"/>
  <c r="K18" i="6"/>
  <c r="H18" i="6"/>
  <c r="I17" i="6"/>
  <c r="K17" i="6"/>
  <c r="H17" i="6"/>
  <c r="E18" i="6"/>
  <c r="E17" i="6"/>
  <c r="I14" i="6"/>
  <c r="K14" i="6"/>
  <c r="E15" i="6"/>
  <c r="E14" i="6"/>
  <c r="I12" i="6"/>
  <c r="K12" i="6"/>
  <c r="H12" i="6"/>
  <c r="I11" i="6"/>
  <c r="K11" i="6"/>
  <c r="H11" i="6"/>
  <c r="E12" i="6"/>
  <c r="E11" i="6"/>
  <c r="I9" i="6"/>
  <c r="K9" i="6"/>
  <c r="H9" i="6"/>
  <c r="I8" i="6"/>
  <c r="K8" i="6"/>
  <c r="H8" i="6"/>
  <c r="E9" i="6"/>
  <c r="E8" i="6"/>
  <c r="E6" i="6"/>
  <c r="I6" i="6"/>
  <c r="K6" i="6"/>
  <c r="H6" i="6"/>
  <c r="I5" i="6"/>
  <c r="K5" i="6"/>
  <c r="H5" i="6"/>
  <c r="E5" i="6"/>
  <c r="I3" i="6"/>
  <c r="K3" i="6"/>
  <c r="H3" i="6"/>
  <c r="I2" i="6"/>
  <c r="K2" i="6"/>
  <c r="N2" i="6"/>
  <c r="H2" i="6"/>
  <c r="G28" i="1" l="1"/>
  <c r="I28" i="1" s="1"/>
  <c r="G27" i="1"/>
  <c r="J27" i="1" s="1"/>
  <c r="I27" i="1" l="1"/>
  <c r="J28" i="1"/>
  <c r="M53" i="5"/>
  <c r="M15" i="5"/>
  <c r="I94" i="6" s="1"/>
  <c r="O15" i="5"/>
  <c r="M17" i="5"/>
  <c r="I97" i="6" s="1"/>
  <c r="O17" i="5"/>
  <c r="M19" i="5"/>
  <c r="I100" i="6" s="1"/>
  <c r="O19" i="5"/>
  <c r="K100" i="6" s="1"/>
  <c r="M21" i="5"/>
  <c r="I103" i="6" s="1"/>
  <c r="O21" i="5"/>
  <c r="M23" i="5"/>
  <c r="I106" i="6" s="1"/>
  <c r="O23" i="5"/>
  <c r="M25" i="5"/>
  <c r="I109" i="6" s="1"/>
  <c r="O25" i="5"/>
  <c r="M27" i="5"/>
  <c r="I112" i="6" s="1"/>
  <c r="O27" i="5"/>
  <c r="K112" i="6" s="1"/>
  <c r="M29" i="5"/>
  <c r="I115" i="6" s="1"/>
  <c r="O29" i="5"/>
  <c r="M31" i="5"/>
  <c r="I118" i="6" s="1"/>
  <c r="O31" i="5"/>
  <c r="K118" i="6" s="1"/>
  <c r="M33" i="5"/>
  <c r="I121" i="6" s="1"/>
  <c r="O33" i="5"/>
  <c r="M41" i="5"/>
  <c r="I133" i="6" s="1"/>
  <c r="O41" i="5"/>
  <c r="K133" i="6" s="1"/>
  <c r="O53" i="5"/>
  <c r="M55" i="5"/>
  <c r="I145" i="6" s="1"/>
  <c r="O55" i="5"/>
  <c r="K145" i="6" s="1"/>
  <c r="M57" i="5"/>
  <c r="I148" i="6" s="1"/>
  <c r="O57" i="5"/>
  <c r="M59" i="5"/>
  <c r="I151" i="6" s="1"/>
  <c r="O59" i="5"/>
  <c r="M61" i="5"/>
  <c r="I154" i="6" s="1"/>
  <c r="O61" i="5"/>
  <c r="K154" i="6" s="1"/>
  <c r="M63" i="5"/>
  <c r="O63" i="5"/>
  <c r="M65" i="5"/>
  <c r="I160" i="6" s="1"/>
  <c r="O65" i="5"/>
  <c r="K160" i="6" s="1"/>
  <c r="M67" i="5"/>
  <c r="I163" i="6" s="1"/>
  <c r="O67" i="5"/>
  <c r="M69" i="5"/>
  <c r="I166" i="6" s="1"/>
  <c r="O69" i="5"/>
  <c r="K166" i="6" s="1"/>
  <c r="M71" i="5"/>
  <c r="I169" i="6" s="1"/>
  <c r="O71" i="5"/>
  <c r="M73" i="5"/>
  <c r="I172" i="6" s="1"/>
  <c r="O73" i="5"/>
  <c r="K172" i="6" s="1"/>
  <c r="M81" i="5"/>
  <c r="I184" i="6" s="1"/>
  <c r="O81" i="5"/>
  <c r="K184" i="6" s="1"/>
  <c r="O13" i="5"/>
  <c r="M13" i="5"/>
  <c r="H13" i="5"/>
  <c r="J89" i="6" l="1"/>
  <c r="K13" i="5"/>
  <c r="K106" i="6"/>
  <c r="I157" i="6"/>
  <c r="M93" i="5"/>
  <c r="K97" i="6"/>
  <c r="I142" i="6"/>
  <c r="H26" i="1"/>
  <c r="K157" i="6"/>
  <c r="K94" i="6"/>
  <c r="J13" i="5"/>
  <c r="L89" i="6" s="1"/>
  <c r="K142" i="6"/>
  <c r="M89" i="6"/>
  <c r="I91" i="6"/>
  <c r="K169" i="6"/>
  <c r="K148" i="6"/>
  <c r="K103" i="6"/>
  <c r="K91" i="6"/>
  <c r="K115" i="6"/>
  <c r="K163" i="6"/>
  <c r="K121" i="6"/>
  <c r="H89" i="6"/>
  <c r="K151" i="6"/>
  <c r="K109" i="6"/>
  <c r="H144" i="6"/>
  <c r="H147" i="6"/>
  <c r="H150" i="6"/>
  <c r="H153" i="6"/>
  <c r="H156" i="6"/>
  <c r="H159" i="6"/>
  <c r="H162" i="6"/>
  <c r="H165" i="6"/>
  <c r="H168" i="6"/>
  <c r="H171" i="6"/>
  <c r="H183" i="6"/>
  <c r="H141" i="6" l="1"/>
  <c r="H167" i="6"/>
  <c r="H71" i="5"/>
  <c r="L71" i="5"/>
  <c r="H155" i="6"/>
  <c r="L63" i="5"/>
  <c r="H63" i="5"/>
  <c r="H149" i="6"/>
  <c r="L59" i="5"/>
  <c r="H59" i="5"/>
  <c r="H146" i="6"/>
  <c r="L57" i="5"/>
  <c r="H57" i="5"/>
  <c r="H182" i="6"/>
  <c r="L81" i="5"/>
  <c r="H81" i="5"/>
  <c r="J182" i="6" s="1"/>
  <c r="H161" i="6"/>
  <c r="H67" i="5"/>
  <c r="L67" i="5"/>
  <c r="H140" i="6"/>
  <c r="L53" i="5"/>
  <c r="H53" i="5"/>
  <c r="H170" i="6"/>
  <c r="L73" i="5"/>
  <c r="H73" i="5"/>
  <c r="H164" i="6"/>
  <c r="H69" i="5"/>
  <c r="L69" i="5"/>
  <c r="H158" i="6"/>
  <c r="L65" i="5"/>
  <c r="H65" i="5"/>
  <c r="H152" i="6"/>
  <c r="L61" i="5"/>
  <c r="H61" i="5"/>
  <c r="H143" i="6"/>
  <c r="L55" i="5"/>
  <c r="H55" i="5"/>
  <c r="H132" i="6"/>
  <c r="H93" i="6"/>
  <c r="H96" i="6"/>
  <c r="H99" i="6"/>
  <c r="H102" i="6"/>
  <c r="H23" i="5"/>
  <c r="K23" i="5" s="1"/>
  <c r="H105" i="6"/>
  <c r="H108" i="6"/>
  <c r="H111" i="6"/>
  <c r="H29" i="5"/>
  <c r="H114" i="6"/>
  <c r="H117" i="6"/>
  <c r="H120" i="6"/>
  <c r="F93" i="5" l="1"/>
  <c r="H93" i="5" s="1"/>
  <c r="G26" i="1"/>
  <c r="E6" i="5"/>
  <c r="H90" i="6"/>
  <c r="H14" i="5"/>
  <c r="L13" i="5"/>
  <c r="H110" i="6"/>
  <c r="H27" i="5"/>
  <c r="L27" i="5"/>
  <c r="H95" i="6"/>
  <c r="L17" i="5"/>
  <c r="H17" i="5"/>
  <c r="J57" i="5"/>
  <c r="J146" i="6"/>
  <c r="K57" i="5"/>
  <c r="M146" i="6" s="1"/>
  <c r="H151" i="6"/>
  <c r="N59" i="5"/>
  <c r="N61" i="5"/>
  <c r="H154" i="6"/>
  <c r="J170" i="6"/>
  <c r="K73" i="5"/>
  <c r="M170" i="6" s="1"/>
  <c r="J73" i="5"/>
  <c r="J81" i="5"/>
  <c r="L182" i="6" s="1"/>
  <c r="M182" i="6"/>
  <c r="H148" i="6"/>
  <c r="N57" i="5"/>
  <c r="H169" i="6"/>
  <c r="N71" i="5"/>
  <c r="H116" i="6"/>
  <c r="L31" i="5"/>
  <c r="H31" i="5"/>
  <c r="H98" i="6"/>
  <c r="L19" i="5"/>
  <c r="H19" i="5"/>
  <c r="J152" i="6"/>
  <c r="K61" i="5"/>
  <c r="M152" i="6" s="1"/>
  <c r="J61" i="5"/>
  <c r="H119" i="6"/>
  <c r="L33" i="5"/>
  <c r="H33" i="5"/>
  <c r="H107" i="6"/>
  <c r="L25" i="5"/>
  <c r="H25" i="5"/>
  <c r="H92" i="6"/>
  <c r="L15" i="5"/>
  <c r="H15" i="5"/>
  <c r="J143" i="6"/>
  <c r="M143" i="6"/>
  <c r="J55" i="5"/>
  <c r="N69" i="5"/>
  <c r="H166" i="6"/>
  <c r="N73" i="5"/>
  <c r="H172" i="6"/>
  <c r="J53" i="5"/>
  <c r="J140" i="6"/>
  <c r="K53" i="5"/>
  <c r="M140" i="6" s="1"/>
  <c r="H163" i="6"/>
  <c r="N67" i="5"/>
  <c r="H184" i="6"/>
  <c r="N81" i="5"/>
  <c r="J184" i="6" s="1"/>
  <c r="J63" i="5"/>
  <c r="J155" i="6"/>
  <c r="K63" i="5"/>
  <c r="M155" i="6" s="1"/>
  <c r="J71" i="5"/>
  <c r="J167" i="6"/>
  <c r="K71" i="5"/>
  <c r="M167" i="6" s="1"/>
  <c r="H104" i="6"/>
  <c r="L23" i="5"/>
  <c r="N65" i="5"/>
  <c r="H160" i="6"/>
  <c r="H113" i="6"/>
  <c r="L29" i="5"/>
  <c r="H101" i="6"/>
  <c r="H21" i="5"/>
  <c r="L21" i="5"/>
  <c r="H131" i="6"/>
  <c r="H41" i="5"/>
  <c r="L41" i="5"/>
  <c r="N55" i="5"/>
  <c r="H145" i="6"/>
  <c r="J158" i="6"/>
  <c r="K65" i="5"/>
  <c r="M158" i="6" s="1"/>
  <c r="J65" i="5"/>
  <c r="J164" i="6"/>
  <c r="K69" i="5"/>
  <c r="M164" i="6" s="1"/>
  <c r="J69" i="5"/>
  <c r="H142" i="6"/>
  <c r="N53" i="5"/>
  <c r="J67" i="5"/>
  <c r="J161" i="6"/>
  <c r="K67" i="5"/>
  <c r="M161" i="6" s="1"/>
  <c r="J59" i="5"/>
  <c r="J149" i="6"/>
  <c r="M149" i="6"/>
  <c r="H157" i="6"/>
  <c r="N63" i="5"/>
  <c r="L93" i="5" l="1"/>
  <c r="N93" i="5" s="1"/>
  <c r="J93" i="5"/>
  <c r="K93" i="5"/>
  <c r="M131" i="6"/>
  <c r="J131" i="6"/>
  <c r="J145" i="6"/>
  <c r="P55" i="5"/>
  <c r="L145" i="6" s="1"/>
  <c r="M145" i="6"/>
  <c r="J104" i="6"/>
  <c r="M104" i="6"/>
  <c r="J23" i="5"/>
  <c r="J98" i="6"/>
  <c r="M98" i="6"/>
  <c r="J19" i="5"/>
  <c r="P57" i="5"/>
  <c r="L148" i="6" s="1"/>
  <c r="J148" i="6"/>
  <c r="Q57" i="5"/>
  <c r="M148" i="6" s="1"/>
  <c r="H191" i="6"/>
  <c r="H68" i="5"/>
  <c r="L161" i="6"/>
  <c r="H70" i="5"/>
  <c r="L164" i="6"/>
  <c r="N41" i="5"/>
  <c r="J133" i="6" s="1"/>
  <c r="H133" i="6"/>
  <c r="J21" i="5"/>
  <c r="J101" i="6"/>
  <c r="K21" i="5"/>
  <c r="M101" i="6" s="1"/>
  <c r="N23" i="5"/>
  <c r="Q23" i="5" s="1"/>
  <c r="H106" i="6"/>
  <c r="H72" i="5"/>
  <c r="L167" i="6"/>
  <c r="P81" i="5"/>
  <c r="L184" i="6" s="1"/>
  <c r="M184" i="6"/>
  <c r="J172" i="6"/>
  <c r="Q73" i="5"/>
  <c r="M172" i="6" s="1"/>
  <c r="P73" i="5"/>
  <c r="L172" i="6" s="1"/>
  <c r="J15" i="5"/>
  <c r="J92" i="6"/>
  <c r="M92" i="6"/>
  <c r="H62" i="5"/>
  <c r="L152" i="6"/>
  <c r="N19" i="5"/>
  <c r="H100" i="6"/>
  <c r="H74" i="5"/>
  <c r="L170" i="6"/>
  <c r="J154" i="6"/>
  <c r="Q61" i="5"/>
  <c r="M154" i="6" s="1"/>
  <c r="P61" i="5"/>
  <c r="L154" i="6" s="1"/>
  <c r="P59" i="5"/>
  <c r="L151" i="6" s="1"/>
  <c r="J151" i="6"/>
  <c r="H58" i="5"/>
  <c r="L146" i="6"/>
  <c r="N27" i="5"/>
  <c r="H112" i="6"/>
  <c r="H91" i="6"/>
  <c r="N13" i="5"/>
  <c r="H66" i="5"/>
  <c r="L158" i="6"/>
  <c r="H115" i="6"/>
  <c r="N29" i="5"/>
  <c r="H82" i="5"/>
  <c r="J183" i="6" s="1"/>
  <c r="H56" i="5"/>
  <c r="L143" i="6"/>
  <c r="H94" i="6"/>
  <c r="N15" i="5"/>
  <c r="J33" i="5"/>
  <c r="J119" i="6"/>
  <c r="K33" i="5"/>
  <c r="M119" i="6" s="1"/>
  <c r="P71" i="5"/>
  <c r="L169" i="6" s="1"/>
  <c r="J169" i="6"/>
  <c r="Q71" i="5"/>
  <c r="M169" i="6" s="1"/>
  <c r="J95" i="6"/>
  <c r="K17" i="5"/>
  <c r="M95" i="6" s="1"/>
  <c r="J17" i="5"/>
  <c r="J110" i="6"/>
  <c r="K27" i="5"/>
  <c r="M110" i="6" s="1"/>
  <c r="J27" i="5"/>
  <c r="J90" i="6"/>
  <c r="M90" i="6"/>
  <c r="J14" i="5"/>
  <c r="L90" i="6" s="1"/>
  <c r="H103" i="6"/>
  <c r="N21" i="5"/>
  <c r="H64" i="5"/>
  <c r="L155" i="6"/>
  <c r="H109" i="6"/>
  <c r="N25" i="5"/>
  <c r="N31" i="5"/>
  <c r="H118" i="6"/>
  <c r="P63" i="5"/>
  <c r="L157" i="6" s="1"/>
  <c r="J157" i="6"/>
  <c r="Q63" i="5"/>
  <c r="M157" i="6" s="1"/>
  <c r="H60" i="5"/>
  <c r="L149" i="6"/>
  <c r="J142" i="6"/>
  <c r="P53" i="5"/>
  <c r="L142" i="6" s="1"/>
  <c r="Q53" i="5"/>
  <c r="M142" i="6" s="1"/>
  <c r="J41" i="5"/>
  <c r="L131" i="6" s="1"/>
  <c r="I26" i="1"/>
  <c r="J26" i="1"/>
  <c r="J29" i="5"/>
  <c r="J113" i="6"/>
  <c r="K29" i="5"/>
  <c r="M113" i="6" s="1"/>
  <c r="J160" i="6"/>
  <c r="Q65" i="5"/>
  <c r="M160" i="6" s="1"/>
  <c r="P65" i="5"/>
  <c r="L160" i="6" s="1"/>
  <c r="P67" i="5"/>
  <c r="L163" i="6" s="1"/>
  <c r="J163" i="6"/>
  <c r="M163" i="6"/>
  <c r="H54" i="5"/>
  <c r="L140" i="6"/>
  <c r="J166" i="6"/>
  <c r="Q69" i="5"/>
  <c r="M166" i="6" s="1"/>
  <c r="P69" i="5"/>
  <c r="L166" i="6" s="1"/>
  <c r="J25" i="5"/>
  <c r="J107" i="6"/>
  <c r="K25" i="5"/>
  <c r="M107" i="6" s="1"/>
  <c r="H121" i="6"/>
  <c r="N33" i="5"/>
  <c r="J116" i="6"/>
  <c r="K31" i="5"/>
  <c r="M116" i="6" s="1"/>
  <c r="J31" i="5"/>
  <c r="N17" i="5"/>
  <c r="H97" i="6"/>
  <c r="E29" i="1" l="1"/>
  <c r="G29" i="1" s="1"/>
  <c r="G25" i="1"/>
  <c r="H22" i="5"/>
  <c r="L101" i="6"/>
  <c r="J165" i="6"/>
  <c r="K70" i="5"/>
  <c r="M165" i="6" s="1"/>
  <c r="J70" i="5"/>
  <c r="L165" i="6" s="1"/>
  <c r="H20" i="5"/>
  <c r="L98" i="6"/>
  <c r="J97" i="6"/>
  <c r="P17" i="5"/>
  <c r="L97" i="6" s="1"/>
  <c r="Q17" i="5"/>
  <c r="M97" i="6" s="1"/>
  <c r="P33" i="5"/>
  <c r="L121" i="6" s="1"/>
  <c r="J121" i="6"/>
  <c r="Q33" i="5"/>
  <c r="M121" i="6" s="1"/>
  <c r="H26" i="5"/>
  <c r="L107" i="6"/>
  <c r="J150" i="6"/>
  <c r="M150" i="6"/>
  <c r="J60" i="5"/>
  <c r="L150" i="6" s="1"/>
  <c r="H34" i="5"/>
  <c r="L119" i="6"/>
  <c r="J144" i="6"/>
  <c r="M144" i="6"/>
  <c r="J56" i="5"/>
  <c r="L144" i="6" s="1"/>
  <c r="J91" i="6"/>
  <c r="P13" i="5"/>
  <c r="L91" i="6" s="1"/>
  <c r="Q13" i="5"/>
  <c r="M91" i="6" s="1"/>
  <c r="J112" i="6"/>
  <c r="P27" i="5"/>
  <c r="L112" i="6" s="1"/>
  <c r="Q27" i="5"/>
  <c r="M112" i="6" s="1"/>
  <c r="J100" i="6"/>
  <c r="P19" i="5"/>
  <c r="L100" i="6" s="1"/>
  <c r="M100" i="6"/>
  <c r="J106" i="6"/>
  <c r="M106" i="6"/>
  <c r="P23" i="5"/>
  <c r="L106" i="6" s="1"/>
  <c r="J141" i="6"/>
  <c r="K54" i="5"/>
  <c r="M141" i="6" s="1"/>
  <c r="J54" i="5"/>
  <c r="L141" i="6" s="1"/>
  <c r="J118" i="6"/>
  <c r="Q31" i="5"/>
  <c r="M118" i="6" s="1"/>
  <c r="P31" i="5"/>
  <c r="L118" i="6" s="1"/>
  <c r="J156" i="6"/>
  <c r="J64" i="5"/>
  <c r="L156" i="6" s="1"/>
  <c r="K64" i="5"/>
  <c r="M156" i="6" s="1"/>
  <c r="P15" i="5"/>
  <c r="L94" i="6" s="1"/>
  <c r="J94" i="6"/>
  <c r="M94" i="6"/>
  <c r="P41" i="5"/>
  <c r="L133" i="6" s="1"/>
  <c r="M133" i="6"/>
  <c r="J162" i="6"/>
  <c r="M162" i="6"/>
  <c r="J68" i="5"/>
  <c r="L162" i="6" s="1"/>
  <c r="H24" i="5"/>
  <c r="L104" i="6"/>
  <c r="H28" i="5"/>
  <c r="L110" i="6"/>
  <c r="P29" i="5"/>
  <c r="L115" i="6" s="1"/>
  <c r="J115" i="6"/>
  <c r="Q29" i="5"/>
  <c r="M115" i="6" s="1"/>
  <c r="H16" i="5"/>
  <c r="L92" i="6"/>
  <c r="H32" i="5"/>
  <c r="L116" i="6"/>
  <c r="H42" i="5"/>
  <c r="H30" i="5"/>
  <c r="L113" i="6"/>
  <c r="P25" i="5"/>
  <c r="L109" i="6" s="1"/>
  <c r="J109" i="6"/>
  <c r="Q25" i="5"/>
  <c r="M109" i="6" s="1"/>
  <c r="P21" i="5"/>
  <c r="L103" i="6" s="1"/>
  <c r="J103" i="6"/>
  <c r="Q21" i="5"/>
  <c r="M103" i="6" s="1"/>
  <c r="H18" i="5"/>
  <c r="L95" i="6"/>
  <c r="J82" i="5"/>
  <c r="L183" i="6" s="1"/>
  <c r="M183" i="6"/>
  <c r="J159" i="6"/>
  <c r="J66" i="5"/>
  <c r="L159" i="6" s="1"/>
  <c r="K66" i="5"/>
  <c r="M159" i="6" s="1"/>
  <c r="J147" i="6"/>
  <c r="J58" i="5"/>
  <c r="L147" i="6" s="1"/>
  <c r="K58" i="5"/>
  <c r="M147" i="6" s="1"/>
  <c r="J171" i="6"/>
  <c r="K74" i="5"/>
  <c r="M171" i="6" s="1"/>
  <c r="J74" i="5"/>
  <c r="L171" i="6" s="1"/>
  <c r="J153" i="6"/>
  <c r="K62" i="5"/>
  <c r="M153" i="6" s="1"/>
  <c r="J62" i="5"/>
  <c r="L153" i="6" s="1"/>
  <c r="J168" i="6"/>
  <c r="J72" i="5"/>
  <c r="L168" i="6" s="1"/>
  <c r="K72" i="5"/>
  <c r="M168" i="6" s="1"/>
  <c r="J191" i="6"/>
  <c r="K88" i="6"/>
  <c r="I88" i="6"/>
  <c r="K21" i="6"/>
  <c r="F19" i="2"/>
  <c r="I21" i="6" s="1"/>
  <c r="M18" i="2"/>
  <c r="F8" i="1" s="1"/>
  <c r="G8" i="1" s="1"/>
  <c r="O18" i="2"/>
  <c r="H8" i="1" s="1"/>
  <c r="L18" i="2"/>
  <c r="G18" i="2"/>
  <c r="J20" i="6" s="1"/>
  <c r="M132" i="6" l="1"/>
  <c r="J132" i="6"/>
  <c r="J8" i="1"/>
  <c r="I8" i="1"/>
  <c r="I18" i="2"/>
  <c r="L20" i="6" s="1"/>
  <c r="J18" i="2"/>
  <c r="N18" i="2"/>
  <c r="J42" i="5"/>
  <c r="L132" i="6" s="1"/>
  <c r="J108" i="6"/>
  <c r="J26" i="5"/>
  <c r="L108" i="6" s="1"/>
  <c r="K26" i="5"/>
  <c r="M108" i="6" s="1"/>
  <c r="J99" i="6"/>
  <c r="M99" i="6"/>
  <c r="J20" i="5"/>
  <c r="L99" i="6" s="1"/>
  <c r="J111" i="6"/>
  <c r="K28" i="5"/>
  <c r="M111" i="6" s="1"/>
  <c r="J28" i="5"/>
  <c r="L111" i="6" s="1"/>
  <c r="J102" i="6"/>
  <c r="K22" i="5"/>
  <c r="M102" i="6" s="1"/>
  <c r="J22" i="5"/>
  <c r="L102" i="6" s="1"/>
  <c r="J96" i="6"/>
  <c r="K18" i="5"/>
  <c r="M96" i="6" s="1"/>
  <c r="J18" i="5"/>
  <c r="L96" i="6" s="1"/>
  <c r="J114" i="6"/>
  <c r="K30" i="5"/>
  <c r="M114" i="6" s="1"/>
  <c r="J30" i="5"/>
  <c r="L114" i="6" s="1"/>
  <c r="J117" i="6"/>
  <c r="K32" i="5"/>
  <c r="M117" i="6" s="1"/>
  <c r="J32" i="5"/>
  <c r="L117" i="6" s="1"/>
  <c r="J93" i="6"/>
  <c r="J16" i="5"/>
  <c r="L93" i="6" s="1"/>
  <c r="M93" i="6"/>
  <c r="J105" i="6"/>
  <c r="J24" i="5"/>
  <c r="L105" i="6" s="1"/>
  <c r="K24" i="5"/>
  <c r="M105" i="6" s="1"/>
  <c r="J120" i="6"/>
  <c r="J34" i="5"/>
  <c r="L120" i="6" s="1"/>
  <c r="K34" i="5"/>
  <c r="M120" i="6" s="1"/>
  <c r="L8" i="2"/>
  <c r="M8" i="2"/>
  <c r="I7" i="6" s="1"/>
  <c r="O8" i="2"/>
  <c r="K7" i="6" s="1"/>
  <c r="L10" i="2"/>
  <c r="M10" i="2"/>
  <c r="O10" i="2"/>
  <c r="K10" i="6" s="1"/>
  <c r="L12" i="2"/>
  <c r="M12" i="2"/>
  <c r="O12" i="2"/>
  <c r="K13" i="6" s="1"/>
  <c r="L14" i="2"/>
  <c r="M14" i="2"/>
  <c r="I15" i="6" s="1"/>
  <c r="O14" i="2"/>
  <c r="K15" i="6" s="1"/>
  <c r="L16" i="2"/>
  <c r="M16" i="2"/>
  <c r="O16" i="2"/>
  <c r="O6" i="2"/>
  <c r="M6" i="2"/>
  <c r="L6" i="2"/>
  <c r="G8" i="2"/>
  <c r="G10" i="2"/>
  <c r="G12" i="2"/>
  <c r="I12" i="2" s="1"/>
  <c r="L11" i="6" s="1"/>
  <c r="G14" i="2"/>
  <c r="G16" i="2"/>
  <c r="J2" i="6"/>
  <c r="L8" i="3"/>
  <c r="I27" i="6" s="1"/>
  <c r="N8" i="3"/>
  <c r="K27" i="6" s="1"/>
  <c r="L10" i="3"/>
  <c r="I30" i="6" s="1"/>
  <c r="N10" i="3"/>
  <c r="K30" i="6" s="1"/>
  <c r="L12" i="3"/>
  <c r="I33" i="6" s="1"/>
  <c r="N12" i="3"/>
  <c r="K33" i="6" s="1"/>
  <c r="L14" i="3"/>
  <c r="I36" i="6" s="1"/>
  <c r="N14" i="3"/>
  <c r="K36" i="6" s="1"/>
  <c r="L16" i="3"/>
  <c r="I39" i="6" s="1"/>
  <c r="N16" i="3"/>
  <c r="K39" i="6" s="1"/>
  <c r="L18" i="3"/>
  <c r="I42" i="6" s="1"/>
  <c r="N18" i="3"/>
  <c r="K42" i="6" s="1"/>
  <c r="L20" i="3"/>
  <c r="I45" i="6" s="1"/>
  <c r="N20" i="3"/>
  <c r="K45" i="6" s="1"/>
  <c r="L22" i="3"/>
  <c r="N22" i="3"/>
  <c r="K48" i="6" s="1"/>
  <c r="L26" i="3"/>
  <c r="I54" i="6" s="1"/>
  <c r="N26" i="3"/>
  <c r="L30" i="3"/>
  <c r="N30" i="3"/>
  <c r="L32" i="3"/>
  <c r="I60" i="6" s="1"/>
  <c r="N32" i="3"/>
  <c r="K60" i="6" s="1"/>
  <c r="L34" i="3"/>
  <c r="N34" i="3"/>
  <c r="K63" i="6" s="1"/>
  <c r="L36" i="3"/>
  <c r="I66" i="6" s="1"/>
  <c r="N36" i="3"/>
  <c r="L38" i="3"/>
  <c r="N38" i="3"/>
  <c r="K69" i="6" s="1"/>
  <c r="L40" i="3"/>
  <c r="I72" i="6" s="1"/>
  <c r="N40" i="3"/>
  <c r="K72" i="6" s="1"/>
  <c r="L42" i="3"/>
  <c r="I75" i="6" s="1"/>
  <c r="N42" i="3"/>
  <c r="K75" i="6" s="1"/>
  <c r="L44" i="3"/>
  <c r="N44" i="3"/>
  <c r="K78" i="6" s="1"/>
  <c r="L46" i="3"/>
  <c r="I81" i="6" s="1"/>
  <c r="N46" i="3"/>
  <c r="K81" i="6" s="1"/>
  <c r="N6" i="3"/>
  <c r="L6" i="3"/>
  <c r="F11" i="1" s="1"/>
  <c r="I8" i="2" l="1"/>
  <c r="J8" i="2"/>
  <c r="H12" i="1"/>
  <c r="K54" i="6"/>
  <c r="H11" i="1"/>
  <c r="F12" i="1"/>
  <c r="F13" i="1" s="1"/>
  <c r="E7" i="1"/>
  <c r="E10" i="1" s="1"/>
  <c r="E16" i="1" s="1"/>
  <c r="L54" i="3"/>
  <c r="K57" i="6"/>
  <c r="N54" i="3"/>
  <c r="P18" i="2"/>
  <c r="L2" i="6"/>
  <c r="L5" i="6"/>
  <c r="G9" i="2"/>
  <c r="J9" i="2" s="1"/>
  <c r="M6" i="6" s="1"/>
  <c r="K24" i="6"/>
  <c r="I57" i="6"/>
  <c r="J16" i="2"/>
  <c r="M17" i="6" s="1"/>
  <c r="J17" i="6"/>
  <c r="G13" i="2"/>
  <c r="J13" i="2" s="1"/>
  <c r="M12" i="6" s="1"/>
  <c r="J10" i="2"/>
  <c r="M8" i="6" s="1"/>
  <c r="J8" i="6"/>
  <c r="L19" i="2"/>
  <c r="N10" i="2"/>
  <c r="F7" i="1"/>
  <c r="F6" i="1"/>
  <c r="M19" i="2"/>
  <c r="N12" i="2"/>
  <c r="Q12" i="2" s="1"/>
  <c r="M13" i="6" s="1"/>
  <c r="I24" i="6"/>
  <c r="I78" i="6"/>
  <c r="I63" i="6"/>
  <c r="M2" i="6"/>
  <c r="I14" i="2"/>
  <c r="J12" i="2"/>
  <c r="M11" i="6" s="1"/>
  <c r="J11" i="6"/>
  <c r="N6" i="2"/>
  <c r="M20" i="6"/>
  <c r="Q18" i="2"/>
  <c r="I69" i="6"/>
  <c r="I48" i="6"/>
  <c r="I16" i="2"/>
  <c r="I10" i="2"/>
  <c r="L8" i="6" s="1"/>
  <c r="M5" i="6"/>
  <c r="J5" i="6"/>
  <c r="H6" i="1"/>
  <c r="N16" i="2"/>
  <c r="N14" i="2"/>
  <c r="J15" i="6" s="1"/>
  <c r="N8" i="2"/>
  <c r="J7" i="6" s="1"/>
  <c r="K66" i="6"/>
  <c r="H7" i="1"/>
  <c r="O19" i="2"/>
  <c r="G13" i="1" l="1"/>
  <c r="F16" i="1"/>
  <c r="H13" i="1"/>
  <c r="G6" i="1"/>
  <c r="J6" i="1" s="1"/>
  <c r="G7" i="1"/>
  <c r="I7" i="1" s="1"/>
  <c r="G7" i="2"/>
  <c r="J3" i="6" s="1"/>
  <c r="H10" i="1"/>
  <c r="Q10" i="2"/>
  <c r="M10" i="6" s="1"/>
  <c r="Q16" i="2"/>
  <c r="P16" i="2"/>
  <c r="P10" i="2"/>
  <c r="L10" i="6" s="1"/>
  <c r="F10" i="1"/>
  <c r="N19" i="2"/>
  <c r="Q19" i="2" s="1"/>
  <c r="P14" i="2"/>
  <c r="L15" i="6" s="1"/>
  <c r="Q14" i="2"/>
  <c r="M15" i="6" s="1"/>
  <c r="G11" i="2"/>
  <c r="P8" i="2"/>
  <c r="L7" i="6" s="1"/>
  <c r="Q8" i="2"/>
  <c r="M7" i="6" s="1"/>
  <c r="G15" i="2"/>
  <c r="G19" i="2"/>
  <c r="Q6" i="2"/>
  <c r="P6" i="2"/>
  <c r="L17" i="6"/>
  <c r="G17" i="2"/>
  <c r="P12" i="2"/>
  <c r="L13" i="6" s="1"/>
  <c r="I13" i="2"/>
  <c r="L12" i="6" s="1"/>
  <c r="J12" i="6"/>
  <c r="I9" i="2"/>
  <c r="L6" i="6" s="1"/>
  <c r="J6" i="6"/>
  <c r="H80" i="6"/>
  <c r="H71" i="6"/>
  <c r="H59" i="6"/>
  <c r="H26" i="6"/>
  <c r="H53" i="6"/>
  <c r="H44" i="6"/>
  <c r="H41" i="6"/>
  <c r="H35" i="6"/>
  <c r="H29" i="6"/>
  <c r="J13" i="1" l="1"/>
  <c r="I13" i="1"/>
  <c r="H16" i="1"/>
  <c r="J7" i="1"/>
  <c r="I6" i="1"/>
  <c r="J7" i="2"/>
  <c r="M3" i="6" s="1"/>
  <c r="G10" i="1"/>
  <c r="I10" i="1" s="1"/>
  <c r="I7" i="2"/>
  <c r="L3" i="6" s="1"/>
  <c r="J9" i="6"/>
  <c r="J11" i="2"/>
  <c r="M9" i="6" s="1"/>
  <c r="I11" i="2"/>
  <c r="L9" i="6" s="1"/>
  <c r="P19" i="2"/>
  <c r="H47" i="6"/>
  <c r="H23" i="6"/>
  <c r="H68" i="6"/>
  <c r="H65" i="6"/>
  <c r="I17" i="2"/>
  <c r="L18" i="6" s="1"/>
  <c r="J17" i="2"/>
  <c r="M18" i="6" s="1"/>
  <c r="J18" i="6"/>
  <c r="H34" i="6"/>
  <c r="K14" i="3"/>
  <c r="G14" i="3"/>
  <c r="H52" i="6"/>
  <c r="G26" i="3"/>
  <c r="K26" i="3"/>
  <c r="H37" i="6"/>
  <c r="G16" i="3"/>
  <c r="K16" i="3"/>
  <c r="H31" i="6"/>
  <c r="K12" i="3"/>
  <c r="G12" i="3"/>
  <c r="H61" i="6"/>
  <c r="K34" i="3"/>
  <c r="G34" i="3"/>
  <c r="H73" i="6"/>
  <c r="K42" i="3"/>
  <c r="G42" i="3"/>
  <c r="H76" i="6"/>
  <c r="K44" i="3"/>
  <c r="G44" i="3"/>
  <c r="H58" i="6"/>
  <c r="K32" i="3"/>
  <c r="G32" i="3"/>
  <c r="H79" i="6"/>
  <c r="K46" i="3"/>
  <c r="G46" i="3"/>
  <c r="H55" i="6"/>
  <c r="K30" i="3"/>
  <c r="G30" i="3"/>
  <c r="H38" i="6"/>
  <c r="H74" i="6"/>
  <c r="H56" i="6"/>
  <c r="H32" i="6"/>
  <c r="H62" i="6"/>
  <c r="H77" i="6"/>
  <c r="H28" i="6"/>
  <c r="K10" i="3"/>
  <c r="G10" i="3"/>
  <c r="H40" i="6"/>
  <c r="K18" i="3"/>
  <c r="G18" i="3"/>
  <c r="H43" i="6"/>
  <c r="K20" i="3"/>
  <c r="G20" i="3"/>
  <c r="H25" i="6"/>
  <c r="K8" i="3"/>
  <c r="G8" i="3"/>
  <c r="H46" i="6"/>
  <c r="G22" i="3"/>
  <c r="K22" i="3"/>
  <c r="H22" i="6"/>
  <c r="K6" i="3"/>
  <c r="G6" i="3"/>
  <c r="H67" i="6"/>
  <c r="K38" i="3"/>
  <c r="G38" i="3"/>
  <c r="H70" i="6"/>
  <c r="K40" i="3"/>
  <c r="G40" i="3"/>
  <c r="H64" i="6"/>
  <c r="G36" i="3"/>
  <c r="K36" i="3"/>
  <c r="J21" i="6"/>
  <c r="J19" i="2"/>
  <c r="M21" i="6" s="1"/>
  <c r="I19" i="2"/>
  <c r="L21" i="6" s="1"/>
  <c r="J14" i="6"/>
  <c r="J15" i="2"/>
  <c r="M14" i="6" s="1"/>
  <c r="I15" i="2"/>
  <c r="L14" i="6" s="1"/>
  <c r="E12" i="1" l="1"/>
  <c r="G12" i="1" s="1"/>
  <c r="E11" i="1"/>
  <c r="G11" i="1" s="1"/>
  <c r="K54" i="3"/>
  <c r="M54" i="3" s="1"/>
  <c r="J10" i="1"/>
  <c r="H66" i="6"/>
  <c r="M36" i="3"/>
  <c r="M40" i="3"/>
  <c r="H72" i="6"/>
  <c r="J67" i="6"/>
  <c r="I38" i="3"/>
  <c r="J38" i="3"/>
  <c r="M67" i="6" s="1"/>
  <c r="J22" i="6"/>
  <c r="J6" i="3"/>
  <c r="M22" i="6" s="1"/>
  <c r="I6" i="3"/>
  <c r="J46" i="6"/>
  <c r="I22" i="3"/>
  <c r="J22" i="3"/>
  <c r="M46" i="6" s="1"/>
  <c r="J18" i="3"/>
  <c r="M40" i="6" s="1"/>
  <c r="J40" i="6"/>
  <c r="I18" i="3"/>
  <c r="H30" i="6"/>
  <c r="M10" i="3"/>
  <c r="J46" i="3"/>
  <c r="M79" i="6" s="1"/>
  <c r="J79" i="6"/>
  <c r="I46" i="3"/>
  <c r="M32" i="3"/>
  <c r="H60" i="6"/>
  <c r="J61" i="6"/>
  <c r="I34" i="3"/>
  <c r="J34" i="3"/>
  <c r="M61" i="6" s="1"/>
  <c r="M12" i="3"/>
  <c r="H33" i="6"/>
  <c r="J14" i="3"/>
  <c r="M34" i="6" s="1"/>
  <c r="J34" i="6"/>
  <c r="I14" i="3"/>
  <c r="H69" i="6"/>
  <c r="M38" i="3"/>
  <c r="H24" i="6"/>
  <c r="M6" i="3"/>
  <c r="J20" i="3"/>
  <c r="M43" i="6" s="1"/>
  <c r="J43" i="6"/>
  <c r="I20" i="3"/>
  <c r="H42" i="6"/>
  <c r="M18" i="3"/>
  <c r="J55" i="6"/>
  <c r="I30" i="3"/>
  <c r="J30" i="3"/>
  <c r="M55" i="6" s="1"/>
  <c r="M46" i="3"/>
  <c r="H81" i="6"/>
  <c r="J73" i="6"/>
  <c r="I42" i="3"/>
  <c r="J42" i="3"/>
  <c r="M73" i="6" s="1"/>
  <c r="H63" i="6"/>
  <c r="M34" i="3"/>
  <c r="H54" i="6"/>
  <c r="M26" i="3"/>
  <c r="M14" i="3"/>
  <c r="H36" i="6"/>
  <c r="J36" i="3"/>
  <c r="M64" i="6" s="1"/>
  <c r="J64" i="6"/>
  <c r="I36" i="3"/>
  <c r="I8" i="3"/>
  <c r="J25" i="6"/>
  <c r="J8" i="3"/>
  <c r="M25" i="6" s="1"/>
  <c r="M20" i="3"/>
  <c r="H45" i="6"/>
  <c r="M30" i="3"/>
  <c r="H57" i="6"/>
  <c r="J76" i="6"/>
  <c r="I44" i="3"/>
  <c r="J44" i="3"/>
  <c r="M76" i="6" s="1"/>
  <c r="M42" i="3"/>
  <c r="H75" i="6"/>
  <c r="M16" i="3"/>
  <c r="H39" i="6"/>
  <c r="J26" i="3"/>
  <c r="M52" i="6" s="1"/>
  <c r="J52" i="6"/>
  <c r="I26" i="3"/>
  <c r="J40" i="3"/>
  <c r="M70" i="6" s="1"/>
  <c r="J70" i="6"/>
  <c r="I40" i="3"/>
  <c r="H88" i="6"/>
  <c r="H48" i="6"/>
  <c r="M22" i="3"/>
  <c r="M8" i="3"/>
  <c r="H27" i="6"/>
  <c r="J10" i="3"/>
  <c r="M28" i="6" s="1"/>
  <c r="J28" i="6"/>
  <c r="I10" i="3"/>
  <c r="J32" i="3"/>
  <c r="M58" i="6" s="1"/>
  <c r="J58" i="6"/>
  <c r="I32" i="3"/>
  <c r="H78" i="6"/>
  <c r="M44" i="3"/>
  <c r="J31" i="6"/>
  <c r="I12" i="3"/>
  <c r="J12" i="3"/>
  <c r="M31" i="6" s="1"/>
  <c r="J37" i="6"/>
  <c r="I16" i="3"/>
  <c r="J16" i="3"/>
  <c r="M37" i="6" s="1"/>
  <c r="P54" i="3" l="1"/>
  <c r="O54" i="3"/>
  <c r="J12" i="1"/>
  <c r="I12" i="1"/>
  <c r="J11" i="1"/>
  <c r="I11" i="1"/>
  <c r="L31" i="6"/>
  <c r="G13" i="3"/>
  <c r="G27" i="3"/>
  <c r="L52" i="6"/>
  <c r="O16" i="3"/>
  <c r="L39" i="6" s="1"/>
  <c r="J39" i="6"/>
  <c r="P16" i="3"/>
  <c r="M39" i="6" s="1"/>
  <c r="L76" i="6"/>
  <c r="G45" i="3"/>
  <c r="O30" i="3"/>
  <c r="J57" i="6"/>
  <c r="P30" i="3"/>
  <c r="G9" i="3"/>
  <c r="L25" i="6"/>
  <c r="L73" i="6"/>
  <c r="G43" i="3"/>
  <c r="J24" i="6"/>
  <c r="O6" i="3"/>
  <c r="P6" i="3"/>
  <c r="O38" i="3"/>
  <c r="L69" i="6" s="1"/>
  <c r="J69" i="6"/>
  <c r="P38" i="3"/>
  <c r="M69" i="6" s="1"/>
  <c r="G19" i="3"/>
  <c r="L40" i="6"/>
  <c r="L46" i="6"/>
  <c r="G23" i="3"/>
  <c r="G33" i="3"/>
  <c r="L58" i="6"/>
  <c r="J88" i="6"/>
  <c r="L88" i="6"/>
  <c r="J54" i="3"/>
  <c r="M88" i="6" s="1"/>
  <c r="G41" i="3"/>
  <c r="L70" i="6"/>
  <c r="O20" i="3"/>
  <c r="L45" i="6" s="1"/>
  <c r="J45" i="6"/>
  <c r="P20" i="3"/>
  <c r="M45" i="6" s="1"/>
  <c r="O34" i="3"/>
  <c r="L63" i="6" s="1"/>
  <c r="J63" i="6"/>
  <c r="P34" i="3"/>
  <c r="M63" i="6" s="1"/>
  <c r="L55" i="6"/>
  <c r="G31" i="3"/>
  <c r="G21" i="3"/>
  <c r="L43" i="6"/>
  <c r="G15" i="3"/>
  <c r="L34" i="6"/>
  <c r="O12" i="3"/>
  <c r="L33" i="6" s="1"/>
  <c r="J33" i="6"/>
  <c r="P12" i="3"/>
  <c r="M33" i="6" s="1"/>
  <c r="O40" i="3"/>
  <c r="L72" i="6" s="1"/>
  <c r="J72" i="6"/>
  <c r="P40" i="3"/>
  <c r="M72" i="6" s="1"/>
  <c r="O8" i="3"/>
  <c r="L27" i="6" s="1"/>
  <c r="J27" i="6"/>
  <c r="P8" i="3"/>
  <c r="M27" i="6" s="1"/>
  <c r="O42" i="3"/>
  <c r="L75" i="6" s="1"/>
  <c r="J75" i="6"/>
  <c r="P42" i="3"/>
  <c r="M75" i="6" s="1"/>
  <c r="L64" i="6"/>
  <c r="G37" i="3"/>
  <c r="O14" i="3"/>
  <c r="L36" i="6" s="1"/>
  <c r="J36" i="6"/>
  <c r="P14" i="3"/>
  <c r="M36" i="6" s="1"/>
  <c r="O32" i="3"/>
  <c r="L60" i="6" s="1"/>
  <c r="J60" i="6"/>
  <c r="P32" i="3"/>
  <c r="M60" i="6" s="1"/>
  <c r="O10" i="3"/>
  <c r="L30" i="6" s="1"/>
  <c r="J30" i="6"/>
  <c r="P10" i="3"/>
  <c r="M30" i="6" s="1"/>
  <c r="L22" i="6"/>
  <c r="G7" i="3"/>
  <c r="L67" i="6"/>
  <c r="G39" i="3"/>
  <c r="J66" i="6"/>
  <c r="O36" i="3"/>
  <c r="L66" i="6" s="1"/>
  <c r="P36" i="3"/>
  <c r="M66" i="6" s="1"/>
  <c r="L37" i="6"/>
  <c r="G17" i="3"/>
  <c r="G11" i="3"/>
  <c r="L28" i="6"/>
  <c r="O44" i="3"/>
  <c r="L78" i="6" s="1"/>
  <c r="J78" i="6"/>
  <c r="P44" i="3"/>
  <c r="M78" i="6" s="1"/>
  <c r="O22" i="3"/>
  <c r="L48" i="6" s="1"/>
  <c r="J48" i="6"/>
  <c r="P22" i="3"/>
  <c r="M48" i="6" s="1"/>
  <c r="O26" i="3"/>
  <c r="L54" i="6" s="1"/>
  <c r="J54" i="6"/>
  <c r="P26" i="3"/>
  <c r="M54" i="6" s="1"/>
  <c r="O46" i="3"/>
  <c r="L81" i="6" s="1"/>
  <c r="J81" i="6"/>
  <c r="P46" i="3"/>
  <c r="M81" i="6" s="1"/>
  <c r="O18" i="3"/>
  <c r="L42" i="6" s="1"/>
  <c r="J42" i="6"/>
  <c r="P18" i="3"/>
  <c r="M42" i="6" s="1"/>
  <c r="L61" i="6"/>
  <c r="G35" i="3"/>
  <c r="G47" i="3"/>
  <c r="L79" i="6"/>
  <c r="G16" i="1" l="1"/>
  <c r="I35" i="3"/>
  <c r="L62" i="6" s="1"/>
  <c r="J62" i="6"/>
  <c r="J35" i="3"/>
  <c r="M62" i="6" s="1"/>
  <c r="J35" i="6"/>
  <c r="I15" i="3"/>
  <c r="L35" i="6" s="1"/>
  <c r="J15" i="3"/>
  <c r="M35" i="6" s="1"/>
  <c r="J44" i="6"/>
  <c r="I21" i="3"/>
  <c r="L44" i="6" s="1"/>
  <c r="J21" i="3"/>
  <c r="M44" i="6" s="1"/>
  <c r="J29" i="6"/>
  <c r="I11" i="3"/>
  <c r="L29" i="6" s="1"/>
  <c r="J11" i="3"/>
  <c r="M29" i="6" s="1"/>
  <c r="J23" i="6"/>
  <c r="I7" i="3"/>
  <c r="L23" i="6" s="1"/>
  <c r="J7" i="3"/>
  <c r="M23" i="6" s="1"/>
  <c r="I31" i="3"/>
  <c r="L56" i="6" s="1"/>
  <c r="J56" i="6"/>
  <c r="J31" i="3"/>
  <c r="M56" i="6" s="1"/>
  <c r="J71" i="6"/>
  <c r="J41" i="3"/>
  <c r="M71" i="6" s="1"/>
  <c r="I41" i="3"/>
  <c r="L71" i="6" s="1"/>
  <c r="J59" i="6"/>
  <c r="I33" i="3"/>
  <c r="L59" i="6" s="1"/>
  <c r="J33" i="3"/>
  <c r="M59" i="6" s="1"/>
  <c r="J41" i="6"/>
  <c r="I19" i="3"/>
  <c r="L41" i="6" s="1"/>
  <c r="J19" i="3"/>
  <c r="M41" i="6" s="1"/>
  <c r="M24" i="6"/>
  <c r="I43" i="3"/>
  <c r="L74" i="6" s="1"/>
  <c r="J74" i="6"/>
  <c r="J43" i="3"/>
  <c r="M74" i="6" s="1"/>
  <c r="J53" i="6"/>
  <c r="I27" i="3"/>
  <c r="L53" i="6" s="1"/>
  <c r="J27" i="3"/>
  <c r="M53" i="6" s="1"/>
  <c r="I17" i="3"/>
  <c r="L38" i="6" s="1"/>
  <c r="J38" i="6"/>
  <c r="J17" i="3"/>
  <c r="M38" i="6" s="1"/>
  <c r="I23" i="3"/>
  <c r="L47" i="6" s="1"/>
  <c r="J47" i="6"/>
  <c r="J23" i="3"/>
  <c r="M47" i="6" s="1"/>
  <c r="L24" i="6"/>
  <c r="J26" i="6"/>
  <c r="I9" i="3"/>
  <c r="L26" i="6" s="1"/>
  <c r="J9" i="3"/>
  <c r="M26" i="6" s="1"/>
  <c r="L57" i="6"/>
  <c r="I13" i="3"/>
  <c r="L32" i="6" s="1"/>
  <c r="J32" i="6"/>
  <c r="J13" i="3"/>
  <c r="M32" i="6" s="1"/>
  <c r="J80" i="6"/>
  <c r="I47" i="3"/>
  <c r="L80" i="6" s="1"/>
  <c r="J47" i="3"/>
  <c r="M80" i="6" s="1"/>
  <c r="I39" i="3"/>
  <c r="L68" i="6" s="1"/>
  <c r="J68" i="6"/>
  <c r="J39" i="3"/>
  <c r="M68" i="6" s="1"/>
  <c r="J65" i="6"/>
  <c r="I37" i="3"/>
  <c r="L65" i="6" s="1"/>
  <c r="J37" i="3"/>
  <c r="M65" i="6" s="1"/>
  <c r="M57" i="6"/>
  <c r="I45" i="3"/>
  <c r="L77" i="6" s="1"/>
  <c r="J77" i="6"/>
  <c r="J45" i="3"/>
  <c r="M77" i="6" s="1"/>
  <c r="J16" i="1" l="1"/>
  <c r="I16" i="1"/>
  <c r="M191" i="6"/>
  <c r="J37" i="5"/>
  <c r="O37" i="5"/>
  <c r="K37" i="5"/>
  <c r="M125" i="6" s="1"/>
  <c r="K127" i="6" l="1"/>
  <c r="O93" i="5"/>
  <c r="P93" i="5" s="1"/>
  <c r="H38" i="5"/>
  <c r="K38" i="5" s="1"/>
  <c r="M126" i="6" s="1"/>
  <c r="L125" i="6"/>
  <c r="H25" i="1"/>
  <c r="Q37" i="5"/>
  <c r="M127" i="6" s="1"/>
  <c r="L191" i="6"/>
  <c r="P37" i="5"/>
  <c r="L127" i="6" s="1"/>
  <c r="K191" i="6"/>
  <c r="J38" i="5" l="1"/>
  <c r="L126" i="6" s="1"/>
  <c r="J126" i="6"/>
  <c r="J25" i="1"/>
  <c r="H29" i="1"/>
  <c r="J29" i="1" s="1"/>
  <c r="I25" i="1"/>
  <c r="Q93" i="5"/>
  <c r="I2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ARCE VERGARA,MARCELA MARGARITA</author>
    <author>HP</author>
  </authors>
  <commentList>
    <comment ref="F8" authorId="0" shapeId="0" xr:uid="{655A4F4D-0328-4614-AF85-1063420F521F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Res N°281/2025 Cede 59,079 a favor de Bracpesca S.A.
Res N°541/2026 Incrementa 70 ton desde Isla Tabon.</t>
        </r>
      </text>
    </comment>
    <comment ref="F14" authorId="1" shapeId="0" xr:uid="{F379714A-5061-4B22-A482-6115F2DB9D58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N°541/2026 Cede 70 toneladas a favor de Punta Talca.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ARCE VERGARA,MARCELA MARGARITA</author>
  </authors>
  <commentList>
    <comment ref="F6" authorId="0" shapeId="0" xr:uid="{18E851EE-0427-452B-BA65-6B6189A6AE3C}">
      <text>
        <r>
          <rPr>
            <sz val="11"/>
            <color theme="1"/>
            <rFont val="Calibri"/>
            <family val="2"/>
            <scheme val="minor"/>
          </rPr>
          <t>ARCE VERGARA,MARCELA MARGARITA:
 RESN°1683/2026 CEDE -9.726 HACIA EMBARCACION PUNTA TALCA.</t>
        </r>
      </text>
    </comment>
    <comment ref="F30" authorId="0" shapeId="0" xr:uid="{84A3D24B-091D-41E7-909E-3D7BC93F8555}">
      <text>
        <r>
          <rPr>
            <sz val="11"/>
            <color theme="1"/>
            <rFont val="Calibri"/>
            <family val="2"/>
            <scheme val="minor"/>
          </rPr>
          <t>ARCE VERGARA,MARCELA MARGARITA:
Res N°1683/2026
 Cede -110,274 toneladas a embarcación PUNTA TALCA.</t>
        </r>
      </text>
    </comment>
    <comment ref="F36" authorId="0" shapeId="0" xr:uid="{14EFB025-259B-44A4-8C15-1E0B31249E66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Res N°281/2026 Incrementa 59,079 toneladas desde embarcación Punta Talca.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ARCE VERGARA,MARCELA MARGARITA</author>
  </authors>
  <commentList>
    <comment ref="G23" authorId="0" shapeId="0" xr:uid="{F5DB4F9C-D27C-4C7B-BF6A-35B93733B5C4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N°521/2026 Incrementa 17,520 toneladas desde Guillermo Donoso.</t>
        </r>
      </text>
    </comment>
    <comment ref="G27" authorId="0" shapeId="0" xr:uid="{AA4D6B4E-536A-4C58-89F0-4BFC335CC2E0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 N°612 C de 26,514 toneladas a  Inversiones Nakal.</t>
        </r>
      </text>
    </comment>
    <comment ref="G35" authorId="0" shapeId="0" xr:uid="{999CA6DB-F893-408D-A093-A2F47FEC3BFC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N°612 incrementa 26,514 toneladas desde Juan Rubio Valenzuela.</t>
        </r>
      </text>
    </comment>
    <comment ref="G45" authorId="0" shapeId="0" xr:uid="{1B5BFB42-3189-43CB-B3ED-235FA0249B19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N°521/2026 Cede 17,520 toneladas hacia Isla Damas.</t>
        </r>
      </text>
    </comment>
    <comment ref="G63" authorId="0" shapeId="0" xr:uid="{7794794C-9BBD-40C2-AE19-23F8FD813EAE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N°521/2026 Incrementa 21,420 toneladas desde Guillermo Donoso.</t>
        </r>
      </text>
    </comment>
    <comment ref="G67" authorId="0" shapeId="0" xr:uid="{68729118-21B6-422D-B934-993DE53470AD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N°612 Cede 32,416 toneladas a favor de Inversiones Nakal.</t>
        </r>
      </text>
    </comment>
    <comment ref="G75" authorId="0" shapeId="0" xr:uid="{B842DC76-FAEE-4B3C-8807-5AEA1B560C1D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 Certificado N°612  Incrementa 32,416 toneladas desde Juan Rubio Valenzuela.</t>
        </r>
      </text>
    </comment>
    <comment ref="G85" authorId="0" shapeId="0" xr:uid="{A21EE1AB-DC61-4208-A847-92009B442A71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N°521/2026  Cede 21,420 toneladas hacia Isla Damas</t>
        </r>
      </text>
    </comment>
  </commentList>
</comments>
</file>

<file path=xl/sharedStrings.xml><?xml version="1.0" encoding="utf-8"?>
<sst xmlns="http://schemas.openxmlformats.org/spreadsheetml/2006/main" count="1605" uniqueCount="203">
  <si>
    <t>CONTROL CUOTA GLOBAL LANGOSTINO AMARILLO III-IV AÑO 2026</t>
  </si>
  <si>
    <t>UNIDAD DE PESQUERIA</t>
  </si>
  <si>
    <t>SECTOR</t>
  </si>
  <si>
    <t>FRACCIONAMIENTO</t>
  </si>
  <si>
    <t>CUOTA ASIGNADA (TON)</t>
  </si>
  <si>
    <t>MOVIMIENTO (TON)</t>
  </si>
  <si>
    <t>CUOTA EFECTIVA (TON)</t>
  </si>
  <si>
    <t>CAPTURA (TON)</t>
  </si>
  <si>
    <t>SALDO (TON)</t>
  </si>
  <si>
    <t>% CONSUMIDO</t>
  </si>
  <si>
    <t>LANGOSTINO AMARILLO III-IV</t>
  </si>
  <si>
    <t>ARTESANAL</t>
  </si>
  <si>
    <t>ARTESANAL III</t>
  </si>
  <si>
    <t>ARTESANAL IV</t>
  </si>
  <si>
    <t>FAUNA ACOMPAÑANTE</t>
  </si>
  <si>
    <t>LEY N°21.752</t>
  </si>
  <si>
    <t>FRACCION ARTESANAL</t>
  </si>
  <si>
    <t>INDUSTRIAL</t>
  </si>
  <si>
    <t>INDUSTRIAL LTP III</t>
  </si>
  <si>
    <t>INDUSTRIAL LTP IV</t>
  </si>
  <si>
    <t xml:space="preserve">INDUSTRIAL LTP </t>
  </si>
  <si>
    <t>INVESTIGACIÓN III-IV</t>
  </si>
  <si>
    <t>CESIONES INDIVIDUALES</t>
  </si>
  <si>
    <t>TOTALES</t>
  </si>
  <si>
    <t xml:space="preserve">Folio DEXE </t>
  </si>
  <si>
    <t>N°259/2025</t>
  </si>
  <si>
    <t>CONTROL CUOTA GLOBAL LANGOSTINO AMARILLO PEP V-VIII AÑO 2025</t>
  </si>
  <si>
    <t>LANGOSTINO AMARILLO PEP  V-VIII</t>
  </si>
  <si>
    <t>ARTESANAL-INDUSTRIAL</t>
  </si>
  <si>
    <t>LICITADA PEP V-VI</t>
  </si>
  <si>
    <t>LICITADA PEP VII-VIII</t>
  </si>
  <si>
    <t>FAUNA ACOMPAÑANTE V-VIII</t>
  </si>
  <si>
    <t>INVESTIGACIÓN V-VIII</t>
  </si>
  <si>
    <t>253/2025</t>
  </si>
  <si>
    <t>FUERA UNIDAD DE PESQUERIA</t>
  </si>
  <si>
    <t>% CONSUMO</t>
  </si>
  <si>
    <t>FUERA UNIDAD DE PESQUERIA (XV-I-IX-XIV-X)</t>
  </si>
  <si>
    <t>FAUNA ACOMPAÑANTE CAMARON NAILON (XV-I-IX-XIV-X)</t>
  </si>
  <si>
    <t>FAUNA ACOMPAÑANTE L.COLORADO (XV-I-IX-XIV-X)</t>
  </si>
  <si>
    <t>FAUNA ACOMPAÑANTE GAMBA (XV-I-IX-XIV-X)</t>
  </si>
  <si>
    <t>FAUNA ACOMPAÑANTE OTRAS PESQUERIA(XV-I-IX-XIV-X)</t>
  </si>
  <si>
    <t>CONTROL CUOTA LANGOSTINO AMARILLO FRACCION ARTESANAL AÑO 2026</t>
  </si>
  <si>
    <t>REGIÓN</t>
  </si>
  <si>
    <t>ASIGNATARIO</t>
  </si>
  <si>
    <t>PERIODO</t>
  </si>
  <si>
    <t>FECHA CIERRE</t>
  </si>
  <si>
    <t>III REGION DE ATACAMA</t>
  </si>
  <si>
    <t>MAR-AGO</t>
  </si>
  <si>
    <t>-</t>
  </si>
  <si>
    <t>OCT-DIC</t>
  </si>
  <si>
    <t>IV REGION DE COQUIMBO</t>
  </si>
  <si>
    <t>PUNTA TALCA</t>
  </si>
  <si>
    <t>TRAUWUN I</t>
  </si>
  <si>
    <t>CHAFIC I</t>
  </si>
  <si>
    <t>ISLA TABON</t>
  </si>
  <si>
    <t>RESIDUAL</t>
  </si>
  <si>
    <t>REGIONES III-IV</t>
  </si>
  <si>
    <t>ENE-DIC</t>
  </si>
  <si>
    <t>CESIONES CUOTAS INDIVIDUALES</t>
  </si>
  <si>
    <t>N° Resolución</t>
  </si>
  <si>
    <t>RPA</t>
  </si>
  <si>
    <t>Embarcación</t>
  </si>
  <si>
    <t>Cuota</t>
  </si>
  <si>
    <t>Captura</t>
  </si>
  <si>
    <t>Saldo</t>
  </si>
  <si>
    <t>Consumo</t>
  </si>
  <si>
    <t>Punta Talca</t>
  </si>
  <si>
    <t>TOTAL</t>
  </si>
  <si>
    <t>CONTROL CUOTA LANGOSTINO AMARILLO FRACCION INDUSTRIAL AÑO 2026</t>
  </si>
  <si>
    <t>TITULAR DE CUOTA LTP</t>
  </si>
  <si>
    <t>LANGOSTINO AMARILLO XV-  III</t>
  </si>
  <si>
    <t>ANTARTIC SEAFOOD S.A.</t>
  </si>
  <si>
    <t>QUINTERO S.A. PESQ.</t>
  </si>
  <si>
    <t>BAYCIC BAYCIC MARIA</t>
  </si>
  <si>
    <t>BRACPESCA S.A.</t>
  </si>
  <si>
    <t>GRIMAR S.A. PESQ.</t>
  </si>
  <si>
    <t>ISLADAMAS S.A. PESQ.</t>
  </si>
  <si>
    <t>MOROZIN BAYCIC MARIA ANA</t>
  </si>
  <si>
    <t>MOROZIN YURECIC MARIO</t>
  </si>
  <si>
    <t>NAKAL SPA INV.</t>
  </si>
  <si>
    <t xml:space="preserve">NORDIOMAR SPA SOC. PESQ. </t>
  </si>
  <si>
    <t>ENFERMAR LTDA. SOC. PESQ.</t>
  </si>
  <si>
    <t>CADUCADOS</t>
  </si>
  <si>
    <t>LANGOSTINO AMARILLO IV</t>
  </si>
  <si>
    <t>NORDIOMAR SPA SOC. PESQ.</t>
  </si>
  <si>
    <t>III</t>
  </si>
  <si>
    <t>VALOR DECRETO</t>
  </si>
  <si>
    <t>IV</t>
  </si>
  <si>
    <t>A</t>
  </si>
  <si>
    <t>B</t>
  </si>
  <si>
    <t>TOTAL CUOTA</t>
  </si>
  <si>
    <t>Lotes deciertos  III</t>
  </si>
  <si>
    <t>ENE-FEB</t>
  </si>
  <si>
    <t>LTP A</t>
  </si>
  <si>
    <t xml:space="preserve">LTP A X COEFICIENTE </t>
  </si>
  <si>
    <t>LTP A (COEFICIENTE)</t>
  </si>
  <si>
    <t>LTP B</t>
  </si>
  <si>
    <t>LTP B x COEFICIENTE</t>
  </si>
  <si>
    <t>LTP B (COEFICIENTE)</t>
  </si>
  <si>
    <t>MAR-DIC</t>
  </si>
  <si>
    <t>TOTAL LOTES DECIERTOS</t>
  </si>
  <si>
    <t>ZUÑIGA ROMERO GONZALO</t>
  </si>
  <si>
    <t>NAKAL INV. SpA</t>
  </si>
  <si>
    <t xml:space="preserve">SOCIEDAD PESQUERA NORDIOMAR </t>
  </si>
  <si>
    <t>RUBIO Y MAUAD SPA</t>
  </si>
  <si>
    <t>TOTAL LTP ASIGNADAS</t>
  </si>
  <si>
    <t xml:space="preserve">TOTAL </t>
  </si>
  <si>
    <t>TOTAL LTP A+B</t>
  </si>
  <si>
    <t xml:space="preserve">LTP (A+B)  X COEFICIENTE </t>
  </si>
  <si>
    <t>TOTAL LTP A+B (COEFICIENTE)</t>
  </si>
  <si>
    <t>Lotes deciertos IV</t>
  </si>
  <si>
    <t>Decreto N°253/2025</t>
  </si>
  <si>
    <t>V-VI</t>
  </si>
  <si>
    <t>VII-VIII</t>
  </si>
  <si>
    <t>CONTROL CUOTA LANGOSTINO AMARILLO PEP AÑO 2026</t>
  </si>
  <si>
    <t>TITULAR DE CUOTA PEP</t>
  </si>
  <si>
    <t>%</t>
  </si>
  <si>
    <t xml:space="preserve"> LANGOSTINO AMARILLO PEP V-VI</t>
  </si>
  <si>
    <t>ANTONIO CRUZ CORDOVA NAKOUZI E.I.R.L.</t>
  </si>
  <si>
    <t>LANDES S.A. PESQ.</t>
  </si>
  <si>
    <t>JUAN RUBIO VALENZUELA</t>
  </si>
  <si>
    <t>PACIFICBLU SPA.</t>
  </si>
  <si>
    <t>ERIC ARAVENA ARAVENA</t>
  </si>
  <si>
    <t>ENFEMAR LTDA. SOC. PESQ.</t>
  </si>
  <si>
    <t>INVERSIONES NAKAL SPA.</t>
  </si>
  <si>
    <t>SOC. PESQ. NORDIOMAR SPA.</t>
  </si>
  <si>
    <t>PESQUERA SUR AUSTRAL</t>
  </si>
  <si>
    <t>COMERCIALIZADORA SIMON SEAFOOD LTDA.</t>
  </si>
  <si>
    <t>WILLIAMS MAUAD MEZA</t>
  </si>
  <si>
    <t xml:space="preserve">GUILLEROMO DONOSO TOBAR </t>
  </si>
  <si>
    <t>MJF LTDA</t>
  </si>
  <si>
    <t>CONSTANTINO SPA.</t>
  </si>
  <si>
    <t>CRUSTACEOS SUR S.A.</t>
  </si>
  <si>
    <t>LANGOSTINO AMARILLO PEP VII-VIII</t>
  </si>
  <si>
    <t xml:space="preserve"> </t>
  </si>
  <si>
    <t>XV ARICA PARINACOTA</t>
  </si>
  <si>
    <t>I TARAPACÁ</t>
  </si>
  <si>
    <t>II ANTOFAGASTA</t>
  </si>
  <si>
    <t>RES N°160/2026</t>
  </si>
  <si>
    <t>CONTROL PESCA DE INVESTIGACION</t>
  </si>
  <si>
    <t>N° RESOLUCION</t>
  </si>
  <si>
    <t>EMBARCACION TITULAR</t>
  </si>
  <si>
    <t>CUOTA</t>
  </si>
  <si>
    <t>CAPTURA</t>
  </si>
  <si>
    <t>CAPTURA TOTAL</t>
  </si>
  <si>
    <t>SALDO</t>
  </si>
  <si>
    <t>CONSUMO</t>
  </si>
  <si>
    <t>LTPA</t>
  </si>
  <si>
    <t>LTPB</t>
  </si>
  <si>
    <t>A+B</t>
  </si>
  <si>
    <t>TON</t>
  </si>
  <si>
    <t>LTP</t>
  </si>
  <si>
    <t>LANGOSTINO AMARILLO III</t>
  </si>
  <si>
    <t>EMPRESAS</t>
  </si>
  <si>
    <t>XV-III</t>
  </si>
  <si>
    <t>CAMANCHACA PESCA SUR</t>
  </si>
  <si>
    <t>QUINTERO</t>
  </si>
  <si>
    <t>BRACPESCA</t>
  </si>
  <si>
    <t>ISLADAMAS</t>
  </si>
  <si>
    <t>Coeficiente</t>
  </si>
  <si>
    <t>Total</t>
  </si>
  <si>
    <t>ANTARTIC SEAFOOD</t>
  </si>
  <si>
    <t>GRIMAR S.A.</t>
  </si>
  <si>
    <t>Detalle Negocios Langostino Amarillo</t>
  </si>
  <si>
    <t>PESQ. ANTONIO CRUZ CORDOVA</t>
  </si>
  <si>
    <t>N° doc</t>
  </si>
  <si>
    <t>Fecha</t>
  </si>
  <si>
    <t>DE -</t>
  </si>
  <si>
    <t>A+</t>
  </si>
  <si>
    <t xml:space="preserve"> VII-VIII</t>
  </si>
  <si>
    <t>RUBIO Y MAUAD LTDA.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</si>
  <si>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</si>
  <si>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</si>
  <si>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</si>
  <si>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</si>
  <si>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</si>
  <si>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</si>
  <si>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</si>
  <si>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</si>
  <si>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</si>
  <si>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</si>
  <si>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</si>
  <si>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</si>
  <si>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consumo_porcentaje</t>
  </si>
  <si>
    <t>cierre</t>
  </si>
  <si>
    <t>preliminar</t>
  </si>
  <si>
    <t>año</t>
  </si>
  <si>
    <t>mensaje</t>
  </si>
  <si>
    <t>LANGOSTINO AMARILLO</t>
  </si>
  <si>
    <t>REGION</t>
  </si>
  <si>
    <t>total region III</t>
  </si>
  <si>
    <t>EMBARCACIÓN</t>
  </si>
  <si>
    <t>III-IV</t>
  </si>
  <si>
    <t>TOTAL ARTESANAL</t>
  </si>
  <si>
    <t>TOTAL ASIGNATARIO ARTESANAL</t>
  </si>
  <si>
    <t>TITULAR LTP</t>
  </si>
  <si>
    <t>TOTAL LTP</t>
  </si>
  <si>
    <t>TOTAL ASIGNATARIOS LTP</t>
  </si>
  <si>
    <t>LANGOSTINO AMARILLO V-VIII</t>
  </si>
  <si>
    <t>TITULAR PEP</t>
  </si>
  <si>
    <t>V-VIII</t>
  </si>
  <si>
    <t>TOTAL PEP</t>
  </si>
  <si>
    <t>TOTAL ASIGNATARIO PEP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</si>
</sst>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"/>
    <numFmt numFmtId="165" formatCode="0.000%"/>
    <numFmt numFmtId="166" formatCode="yyyy/mm/dd;@"/>
    <numFmt numFmtId="167" formatCode="0.00000"/>
    <numFmt numFmtId="168" formatCode="[$-F800]dddd\,\ mmmm\ dd\,\ yyyy"/>
    <numFmt numFmtId="169" formatCode="0.0000000"/>
    <numFmt numFmtId="170" formatCode="0.000000"/>
    <numFmt numFmtId="171" formatCode="0.0000"/>
    <numFmt numFmtId="172" formatCode="0.0000000000"/>
    <numFmt numFmtId="173" formatCode="0.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9"/>
      <color theme="1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rgb="FFFF0000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9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0099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CCA7C"/>
        <bgColor indexed="64"/>
      </patternFill>
    </fill>
    <fill>
      <patternFill patternType="solid">
        <fgColor rgb="FFA2CD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4CC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6" fillId="0" borderId="0" xfId="1" applyNumberFormat="1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44" xfId="0" applyNumberFormat="1" applyFont="1" applyBorder="1" applyAlignment="1">
      <alignment horizontal="center" vertical="center"/>
    </xf>
    <xf numFmtId="164" fontId="3" fillId="5" borderId="26" xfId="0" applyNumberFormat="1" applyFont="1" applyFill="1" applyBorder="1" applyAlignment="1">
      <alignment horizontal="center" vertical="center"/>
    </xf>
    <xf numFmtId="164" fontId="3" fillId="5" borderId="27" xfId="0" applyNumberFormat="1" applyFont="1" applyFill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0" fontId="3" fillId="8" borderId="41" xfId="0" applyFont="1" applyFill="1" applyBorder="1" applyAlignment="1">
      <alignment horizontal="left" vertical="center"/>
    </xf>
    <xf numFmtId="0" fontId="3" fillId="8" borderId="42" xfId="0" applyFont="1" applyFill="1" applyBorder="1" applyAlignment="1">
      <alignment horizontal="left" vertical="center"/>
    </xf>
    <xf numFmtId="0" fontId="3" fillId="8" borderId="45" xfId="0" applyFont="1" applyFill="1" applyBorder="1" applyAlignment="1">
      <alignment horizontal="left" vertical="center"/>
    </xf>
    <xf numFmtId="0" fontId="3" fillId="9" borderId="42" xfId="0" applyFont="1" applyFill="1" applyBorder="1" applyAlignment="1">
      <alignment horizontal="left" vertical="center"/>
    </xf>
    <xf numFmtId="0" fontId="3" fillId="9" borderId="43" xfId="0" applyFont="1" applyFill="1" applyBorder="1" applyAlignment="1">
      <alignment horizontal="left" vertical="center"/>
    </xf>
    <xf numFmtId="164" fontId="2" fillId="9" borderId="31" xfId="0" applyNumberFormat="1" applyFont="1" applyFill="1" applyBorder="1" applyAlignment="1">
      <alignment horizontal="center" vertical="center"/>
    </xf>
    <xf numFmtId="164" fontId="2" fillId="9" borderId="32" xfId="0" applyNumberFormat="1" applyFont="1" applyFill="1" applyBorder="1" applyAlignment="1">
      <alignment horizontal="center" vertical="center"/>
    </xf>
    <xf numFmtId="164" fontId="2" fillId="8" borderId="32" xfId="0" applyNumberFormat="1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2" fillId="8" borderId="40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/>
    </xf>
    <xf numFmtId="0" fontId="2" fillId="8" borderId="31" xfId="0" applyFont="1" applyFill="1" applyBorder="1" applyAlignment="1">
      <alignment horizontal="center" vertical="center"/>
    </xf>
    <xf numFmtId="0" fontId="2" fillId="8" borderId="32" xfId="0" applyFont="1" applyFill="1" applyBorder="1" applyAlignment="1">
      <alignment horizontal="center" vertical="center"/>
    </xf>
    <xf numFmtId="9" fontId="2" fillId="8" borderId="32" xfId="1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3" fillId="8" borderId="36" xfId="0" applyFont="1" applyFill="1" applyBorder="1" applyAlignment="1">
      <alignment horizontal="center" vertical="center"/>
    </xf>
    <xf numFmtId="164" fontId="2" fillId="8" borderId="1" xfId="0" applyNumberFormat="1" applyFont="1" applyFill="1" applyBorder="1" applyAlignment="1">
      <alignment horizontal="center" vertical="center"/>
    </xf>
    <xf numFmtId="14" fontId="2" fillId="8" borderId="1" xfId="0" applyNumberFormat="1" applyFont="1" applyFill="1" applyBorder="1" applyAlignment="1">
      <alignment horizontal="center" vertical="center"/>
    </xf>
    <xf numFmtId="164" fontId="3" fillId="10" borderId="1" xfId="0" applyNumberFormat="1" applyFont="1" applyFill="1" applyBorder="1" applyAlignment="1">
      <alignment horizontal="center" vertical="center"/>
    </xf>
    <xf numFmtId="14" fontId="2" fillId="10" borderId="1" xfId="0" applyNumberFormat="1" applyFont="1" applyFill="1" applyBorder="1" applyAlignment="1">
      <alignment horizontal="center" vertical="center"/>
    </xf>
    <xf numFmtId="164" fontId="3" fillId="11" borderId="1" xfId="0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9" fontId="2" fillId="12" borderId="32" xfId="1" applyFont="1" applyFill="1" applyBorder="1" applyAlignment="1">
      <alignment horizontal="center" vertical="center"/>
    </xf>
    <xf numFmtId="0" fontId="2" fillId="12" borderId="33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9" borderId="48" xfId="0" applyFont="1" applyFill="1" applyBorder="1" applyAlignment="1">
      <alignment horizontal="center" vertical="center"/>
    </xf>
    <xf numFmtId="164" fontId="2" fillId="12" borderId="32" xfId="0" applyNumberFormat="1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/>
    </xf>
    <xf numFmtId="0" fontId="2" fillId="14" borderId="40" xfId="0" applyFont="1" applyFill="1" applyBorder="1" applyAlignment="1">
      <alignment horizontal="center" vertical="center"/>
    </xf>
    <xf numFmtId="0" fontId="2" fillId="14" borderId="32" xfId="0" applyFont="1" applyFill="1" applyBorder="1" applyAlignment="1">
      <alignment horizontal="center" vertical="center"/>
    </xf>
    <xf numFmtId="9" fontId="2" fillId="14" borderId="32" xfId="1" applyFont="1" applyFill="1" applyBorder="1" applyAlignment="1">
      <alignment horizontal="center" vertical="center"/>
    </xf>
    <xf numFmtId="0" fontId="2" fillId="14" borderId="33" xfId="0" applyFont="1" applyFill="1" applyBorder="1" applyAlignment="1">
      <alignment horizontal="center" vertical="center"/>
    </xf>
    <xf numFmtId="0" fontId="7" fillId="15" borderId="1" xfId="0" applyFont="1" applyFill="1" applyBorder="1"/>
    <xf numFmtId="0" fontId="7" fillId="16" borderId="1" xfId="0" applyFont="1" applyFill="1" applyBorder="1"/>
    <xf numFmtId="0" fontId="8" fillId="15" borderId="1" xfId="0" applyFont="1" applyFill="1" applyBorder="1"/>
    <xf numFmtId="2" fontId="8" fillId="16" borderId="1" xfId="0" applyNumberFormat="1" applyFont="1" applyFill="1" applyBorder="1"/>
    <xf numFmtId="167" fontId="8" fillId="16" borderId="1" xfId="0" applyNumberFormat="1" applyFont="1" applyFill="1" applyBorder="1"/>
    <xf numFmtId="2" fontId="9" fillId="16" borderId="1" xfId="0" applyNumberFormat="1" applyFont="1" applyFill="1" applyBorder="1" applyAlignment="1">
      <alignment horizontal="center"/>
    </xf>
    <xf numFmtId="0" fontId="10" fillId="13" borderId="23" xfId="0" applyFont="1" applyFill="1" applyBorder="1"/>
    <xf numFmtId="0" fontId="10" fillId="13" borderId="47" xfId="0" applyFont="1" applyFill="1" applyBorder="1"/>
    <xf numFmtId="0" fontId="3" fillId="9" borderId="49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13" borderId="49" xfId="0" applyFont="1" applyFill="1" applyBorder="1" applyAlignment="1">
      <alignment horizontal="center" vertical="center"/>
    </xf>
    <xf numFmtId="0" fontId="3" fillId="13" borderId="50" xfId="0" applyFont="1" applyFill="1" applyBorder="1" applyAlignment="1">
      <alignment horizontal="center" vertical="center"/>
    </xf>
    <xf numFmtId="0" fontId="3" fillId="13" borderId="48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4" fillId="20" borderId="13" xfId="0" applyFont="1" applyFill="1" applyBorder="1" applyAlignment="1">
      <alignment horizontal="center" vertical="center"/>
    </xf>
    <xf numFmtId="0" fontId="12" fillId="22" borderId="30" xfId="0" applyFont="1" applyFill="1" applyBorder="1" applyAlignment="1">
      <alignment horizontal="center" vertical="center"/>
    </xf>
    <xf numFmtId="0" fontId="12" fillId="22" borderId="34" xfId="0" applyFont="1" applyFill="1" applyBorder="1" applyAlignment="1">
      <alignment horizontal="center" vertical="center"/>
    </xf>
    <xf numFmtId="0" fontId="12" fillId="16" borderId="34" xfId="0" applyFont="1" applyFill="1" applyBorder="1" applyAlignment="1">
      <alignment horizontal="center" vertical="center"/>
    </xf>
    <xf numFmtId="0" fontId="12" fillId="16" borderId="14" xfId="0" applyFont="1" applyFill="1" applyBorder="1" applyAlignment="1">
      <alignment horizontal="center" vertical="center"/>
    </xf>
    <xf numFmtId="0" fontId="12" fillId="0" borderId="56" xfId="0" applyFont="1" applyBorder="1"/>
    <xf numFmtId="0" fontId="12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1" fillId="0" borderId="56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22" borderId="21" xfId="0" applyFont="1" applyFill="1" applyBorder="1" applyAlignment="1">
      <alignment horizontal="center" vertical="center"/>
    </xf>
    <xf numFmtId="0" fontId="12" fillId="22" borderId="22" xfId="0" applyFont="1" applyFill="1" applyBorder="1" applyAlignment="1">
      <alignment horizontal="center" vertical="center" wrapText="1"/>
    </xf>
    <xf numFmtId="0" fontId="12" fillId="16" borderId="22" xfId="0" applyFont="1" applyFill="1" applyBorder="1" applyAlignment="1">
      <alignment horizontal="center" vertical="center" wrapText="1"/>
    </xf>
    <xf numFmtId="0" fontId="12" fillId="16" borderId="23" xfId="0" applyFont="1" applyFill="1" applyBorder="1" applyAlignment="1">
      <alignment horizontal="center" vertical="center" wrapText="1"/>
    </xf>
    <xf numFmtId="0" fontId="12" fillId="22" borderId="21" xfId="0" applyFont="1" applyFill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169" fontId="12" fillId="0" borderId="1" xfId="0" applyNumberFormat="1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wrapText="1"/>
    </xf>
    <xf numFmtId="0" fontId="11" fillId="0" borderId="46" xfId="0" applyFont="1" applyBorder="1" applyAlignment="1">
      <alignment horizontal="center" vertical="center" wrapText="1"/>
    </xf>
    <xf numFmtId="172" fontId="12" fillId="0" borderId="1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172" fontId="11" fillId="0" borderId="30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171" fontId="11" fillId="0" borderId="13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67" fontId="12" fillId="0" borderId="4" xfId="0" applyNumberFormat="1" applyFont="1" applyBorder="1" applyAlignment="1">
      <alignment horizontal="center" vertical="center" wrapText="1"/>
    </xf>
    <xf numFmtId="167" fontId="12" fillId="0" borderId="4" xfId="0" applyNumberFormat="1" applyFont="1" applyBorder="1" applyAlignment="1">
      <alignment horizontal="center" vertical="center"/>
    </xf>
    <xf numFmtId="167" fontId="12" fillId="0" borderId="1" xfId="0" applyNumberFormat="1" applyFont="1" applyBorder="1" applyAlignment="1">
      <alignment horizontal="center" vertical="center"/>
    </xf>
    <xf numFmtId="0" fontId="12" fillId="22" borderId="14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16" borderId="30" xfId="0" applyFont="1" applyFill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24" borderId="47" xfId="0" applyFont="1" applyFill="1" applyBorder="1" applyAlignment="1">
      <alignment horizontal="center" vertical="center"/>
    </xf>
    <xf numFmtId="0" fontId="12" fillId="24" borderId="61" xfId="0" applyFont="1" applyFill="1" applyBorder="1" applyAlignment="1">
      <alignment horizontal="center" vertical="center"/>
    </xf>
    <xf numFmtId="0" fontId="12" fillId="24" borderId="51" xfId="0" applyFont="1" applyFill="1" applyBorder="1" applyAlignment="1">
      <alignment horizontal="center" vertical="center"/>
    </xf>
    <xf numFmtId="170" fontId="3" fillId="13" borderId="4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13" borderId="21" xfId="0" applyFont="1" applyFill="1" applyBorder="1" applyAlignment="1">
      <alignment horizontal="center" vertical="center"/>
    </xf>
    <xf numFmtId="0" fontId="10" fillId="13" borderId="22" xfId="0" applyFont="1" applyFill="1" applyBorder="1" applyAlignment="1">
      <alignment horizontal="center" vertical="center"/>
    </xf>
    <xf numFmtId="0" fontId="10" fillId="13" borderId="47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 vertical="center"/>
    </xf>
    <xf numFmtId="0" fontId="10" fillId="13" borderId="51" xfId="0" applyFont="1" applyFill="1" applyBorder="1" applyAlignment="1">
      <alignment horizontal="center" vertical="center"/>
    </xf>
    <xf numFmtId="0" fontId="10" fillId="13" borderId="27" xfId="0" applyFont="1" applyFill="1" applyBorder="1" applyAlignment="1">
      <alignment horizontal="center" vertical="center"/>
    </xf>
    <xf numFmtId="0" fontId="2" fillId="14" borderId="62" xfId="0" applyFont="1" applyFill="1" applyBorder="1" applyAlignment="1">
      <alignment horizontal="center" vertical="center"/>
    </xf>
    <xf numFmtId="0" fontId="2" fillId="14" borderId="31" xfId="0" applyFont="1" applyFill="1" applyBorder="1" applyAlignment="1">
      <alignment horizontal="center" vertical="center"/>
    </xf>
    <xf numFmtId="0" fontId="2" fillId="14" borderId="13" xfId="0" applyFont="1" applyFill="1" applyBorder="1" applyAlignment="1">
      <alignment horizontal="center" vertical="center"/>
    </xf>
    <xf numFmtId="164" fontId="2" fillId="14" borderId="32" xfId="0" applyNumberFormat="1" applyFont="1" applyFill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9" borderId="60" xfId="0" applyFont="1" applyFill="1" applyBorder="1" applyAlignment="1">
      <alignment horizontal="left" vertical="center"/>
    </xf>
    <xf numFmtId="0" fontId="12" fillId="16" borderId="11" xfId="0" applyFont="1" applyFill="1" applyBorder="1" applyAlignment="1">
      <alignment horizontal="center" vertical="center"/>
    </xf>
    <xf numFmtId="0" fontId="12" fillId="16" borderId="2" xfId="0" applyFont="1" applyFill="1" applyBorder="1" applyAlignment="1">
      <alignment horizontal="center" vertical="center"/>
    </xf>
    <xf numFmtId="167" fontId="11" fillId="0" borderId="13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/>
    </xf>
    <xf numFmtId="0" fontId="10" fillId="22" borderId="51" xfId="0" applyFont="1" applyFill="1" applyBorder="1"/>
    <xf numFmtId="0" fontId="2" fillId="12" borderId="32" xfId="0" applyFont="1" applyFill="1" applyBorder="1" applyAlignment="1">
      <alignment horizontal="center" vertical="center"/>
    </xf>
    <xf numFmtId="0" fontId="0" fillId="0" borderId="1" xfId="0" applyBorder="1"/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2" fillId="12" borderId="31" xfId="0" applyFont="1" applyFill="1" applyBorder="1" applyAlignment="1">
      <alignment horizontal="center" vertical="center"/>
    </xf>
    <xf numFmtId="164" fontId="2" fillId="12" borderId="31" xfId="0" applyNumberFormat="1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2" fillId="12" borderId="30" xfId="0" applyFont="1" applyFill="1" applyBorder="1" applyAlignment="1">
      <alignment horizontal="center" vertical="center"/>
    </xf>
    <xf numFmtId="0" fontId="3" fillId="13" borderId="36" xfId="0" applyFont="1" applyFill="1" applyBorder="1" applyAlignment="1">
      <alignment horizontal="center" vertical="center"/>
    </xf>
    <xf numFmtId="0" fontId="2" fillId="25" borderId="1" xfId="0" applyFont="1" applyFill="1" applyBorder="1" applyAlignment="1">
      <alignment horizontal="center" vertical="center"/>
    </xf>
    <xf numFmtId="0" fontId="10" fillId="13" borderId="24" xfId="0" applyFont="1" applyFill="1" applyBorder="1" applyAlignment="1">
      <alignment horizontal="center" vertical="center"/>
    </xf>
    <xf numFmtId="0" fontId="10" fillId="22" borderId="27" xfId="0" applyFont="1" applyFill="1" applyBorder="1" applyAlignment="1">
      <alignment horizontal="center" vertical="center"/>
    </xf>
    <xf numFmtId="0" fontId="10" fillId="22" borderId="28" xfId="0" applyFont="1" applyFill="1" applyBorder="1" applyAlignment="1">
      <alignment horizontal="center" vertical="center"/>
    </xf>
    <xf numFmtId="0" fontId="10" fillId="13" borderId="23" xfId="0" applyFont="1" applyFill="1" applyBorder="1" applyAlignment="1">
      <alignment horizontal="center" vertic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 vertical="center"/>
    </xf>
    <xf numFmtId="9" fontId="6" fillId="0" borderId="1" xfId="1" applyFont="1" applyBorder="1" applyAlignment="1">
      <alignment horizontal="center" vertical="center"/>
    </xf>
    <xf numFmtId="9" fontId="6" fillId="3" borderId="1" xfId="1" applyFont="1" applyFill="1" applyBorder="1" applyAlignment="1">
      <alignment horizontal="center" vertical="center"/>
    </xf>
    <xf numFmtId="9" fontId="3" fillId="0" borderId="24" xfId="1" applyFont="1" applyBorder="1" applyAlignment="1">
      <alignment horizontal="center" vertical="center"/>
    </xf>
    <xf numFmtId="9" fontId="2" fillId="14" borderId="33" xfId="1" applyFont="1" applyFill="1" applyBorder="1" applyAlignment="1">
      <alignment horizontal="center" vertical="center"/>
    </xf>
    <xf numFmtId="9" fontId="2" fillId="12" borderId="33" xfId="1" applyFont="1" applyFill="1" applyBorder="1" applyAlignment="1">
      <alignment horizontal="center" vertical="center"/>
    </xf>
    <xf numFmtId="9" fontId="3" fillId="11" borderId="1" xfId="0" applyNumberFormat="1" applyFont="1" applyFill="1" applyBorder="1" applyAlignment="1">
      <alignment horizontal="center" vertical="center"/>
    </xf>
    <xf numFmtId="9" fontId="2" fillId="8" borderId="1" xfId="1" applyFont="1" applyFill="1" applyBorder="1" applyAlignment="1">
      <alignment horizontal="center" vertical="center"/>
    </xf>
    <xf numFmtId="9" fontId="3" fillId="0" borderId="23" xfId="1" applyFont="1" applyFill="1" applyBorder="1" applyAlignment="1">
      <alignment horizontal="center" vertical="center"/>
    </xf>
    <xf numFmtId="9" fontId="3" fillId="0" borderId="24" xfId="1" applyFont="1" applyFill="1" applyBorder="1" applyAlignment="1">
      <alignment horizontal="center" vertical="center"/>
    </xf>
    <xf numFmtId="9" fontId="3" fillId="5" borderId="28" xfId="1" applyFont="1" applyFill="1" applyBorder="1" applyAlignment="1">
      <alignment horizontal="center" vertical="center"/>
    </xf>
    <xf numFmtId="9" fontId="3" fillId="0" borderId="39" xfId="1" applyFont="1" applyFill="1" applyBorder="1" applyAlignment="1">
      <alignment horizontal="center" vertical="center"/>
    </xf>
    <xf numFmtId="9" fontId="2" fillId="8" borderId="33" xfId="1" applyFont="1" applyFill="1" applyBorder="1" applyAlignment="1">
      <alignment horizontal="center" vertical="center"/>
    </xf>
    <xf numFmtId="9" fontId="3" fillId="0" borderId="39" xfId="1" applyFont="1" applyBorder="1" applyAlignment="1">
      <alignment horizontal="center" vertical="center"/>
    </xf>
    <xf numFmtId="9" fontId="3" fillId="0" borderId="29" xfId="1" applyFont="1" applyBorder="1" applyAlignment="1">
      <alignment horizontal="center" vertical="center"/>
    </xf>
    <xf numFmtId="9" fontId="2" fillId="9" borderId="33" xfId="1" applyFont="1" applyFill="1" applyBorder="1" applyAlignment="1">
      <alignment horizontal="center" vertical="center"/>
    </xf>
    <xf numFmtId="9" fontId="3" fillId="0" borderId="4" xfId="1" applyFont="1" applyBorder="1" applyAlignment="1">
      <alignment horizontal="center" vertical="center"/>
    </xf>
    <xf numFmtId="9" fontId="3" fillId="0" borderId="1" xfId="1" applyFont="1" applyBorder="1" applyAlignment="1">
      <alignment horizontal="center" vertical="center"/>
    </xf>
    <xf numFmtId="9" fontId="3" fillId="0" borderId="22" xfId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0" fillId="18" borderId="1" xfId="0" applyFont="1" applyFill="1" applyBorder="1" applyAlignment="1">
      <alignment horizontal="center" vertical="center"/>
    </xf>
    <xf numFmtId="0" fontId="10" fillId="13" borderId="24" xfId="0" applyFont="1" applyFill="1" applyBorder="1" applyAlignment="1">
      <alignment horizontal="center"/>
    </xf>
    <xf numFmtId="0" fontId="10" fillId="13" borderId="28" xfId="0" applyFont="1" applyFill="1" applyBorder="1" applyAlignment="1">
      <alignment horizontal="center"/>
    </xf>
    <xf numFmtId="9" fontId="3" fillId="0" borderId="1" xfId="1" applyFont="1" applyFill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/>
    </xf>
    <xf numFmtId="9" fontId="3" fillId="0" borderId="29" xfId="1" applyFont="1" applyFill="1" applyBorder="1" applyAlignment="1">
      <alignment horizontal="center" vertical="center"/>
    </xf>
    <xf numFmtId="0" fontId="2" fillId="8" borderId="35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8" borderId="68" xfId="0" applyFont="1" applyFill="1" applyBorder="1" applyAlignment="1">
      <alignment horizontal="center" vertical="center"/>
    </xf>
    <xf numFmtId="9" fontId="2" fillId="8" borderId="68" xfId="1" applyFont="1" applyFill="1" applyBorder="1" applyAlignment="1">
      <alignment horizontal="center" vertical="center"/>
    </xf>
    <xf numFmtId="0" fontId="3" fillId="25" borderId="43" xfId="0" applyFont="1" applyFill="1" applyBorder="1" applyAlignment="1">
      <alignment horizontal="left" vertical="center"/>
    </xf>
    <xf numFmtId="0" fontId="10" fillId="26" borderId="1" xfId="0" applyFont="1" applyFill="1" applyBorder="1" applyAlignment="1">
      <alignment horizontal="center" vertical="center"/>
    </xf>
    <xf numFmtId="0" fontId="16" fillId="0" borderId="0" xfId="0" applyFont="1"/>
    <xf numFmtId="0" fontId="11" fillId="0" borderId="0" xfId="0" applyFont="1" applyAlignment="1">
      <alignment horizontal="center" vertical="center"/>
    </xf>
    <xf numFmtId="0" fontId="11" fillId="28" borderId="1" xfId="0" applyFont="1" applyFill="1" applyBorder="1" applyAlignment="1">
      <alignment horizontal="center" vertical="center"/>
    </xf>
    <xf numFmtId="0" fontId="11" fillId="28" borderId="1" xfId="0" applyFont="1" applyFill="1" applyBorder="1" applyAlignment="1">
      <alignment horizontal="left" vertical="center"/>
    </xf>
    <xf numFmtId="164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9" fontId="12" fillId="0" borderId="1" xfId="1" applyFont="1" applyBorder="1" applyAlignment="1">
      <alignment horizontal="center" vertical="center"/>
    </xf>
    <xf numFmtId="164" fontId="11" fillId="28" borderId="1" xfId="0" applyNumberFormat="1" applyFont="1" applyFill="1" applyBorder="1" applyAlignment="1">
      <alignment horizontal="center" vertical="center"/>
    </xf>
    <xf numFmtId="9" fontId="11" fillId="28" borderId="1" xfId="1" applyFont="1" applyFill="1" applyBorder="1" applyAlignment="1">
      <alignment horizontal="center" vertical="center"/>
    </xf>
    <xf numFmtId="14" fontId="6" fillId="16" borderId="1" xfId="0" applyNumberFormat="1" applyFont="1" applyFill="1" applyBorder="1" applyAlignment="1">
      <alignment horizontal="center" vertical="center"/>
    </xf>
    <xf numFmtId="164" fontId="19" fillId="0" borderId="22" xfId="0" applyNumberFormat="1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14" fontId="6" fillId="29" borderId="1" xfId="0" applyNumberFormat="1" applyFont="1" applyFill="1" applyBorder="1" applyAlignment="1">
      <alignment horizontal="center" vertical="center"/>
    </xf>
    <xf numFmtId="0" fontId="6" fillId="29" borderId="1" xfId="0" applyFont="1" applyFill="1" applyBorder="1" applyAlignment="1">
      <alignment horizontal="center" vertical="center"/>
    </xf>
    <xf numFmtId="164" fontId="6" fillId="29" borderId="1" xfId="0" applyNumberFormat="1" applyFont="1" applyFill="1" applyBorder="1" applyAlignment="1">
      <alignment horizontal="center" vertical="center"/>
    </xf>
    <xf numFmtId="0" fontId="6" fillId="29" borderId="0" xfId="0" applyFont="1" applyFill="1" applyAlignment="1">
      <alignment horizontal="center"/>
    </xf>
    <xf numFmtId="9" fontId="6" fillId="0" borderId="1" xfId="1" applyFont="1" applyFill="1" applyBorder="1" applyAlignment="1">
      <alignment horizontal="center" vertical="center"/>
    </xf>
    <xf numFmtId="0" fontId="6" fillId="30" borderId="1" xfId="0" applyFont="1" applyFill="1" applyBorder="1" applyAlignment="1">
      <alignment horizontal="center" vertical="center"/>
    </xf>
    <xf numFmtId="14" fontId="6" fillId="30" borderId="1" xfId="0" applyNumberFormat="1" applyFont="1" applyFill="1" applyBorder="1" applyAlignment="1">
      <alignment horizontal="center" vertical="center"/>
    </xf>
    <xf numFmtId="164" fontId="6" fillId="30" borderId="1" xfId="0" applyNumberFormat="1" applyFont="1" applyFill="1" applyBorder="1" applyAlignment="1">
      <alignment horizontal="center" vertical="center"/>
    </xf>
    <xf numFmtId="9" fontId="6" fillId="30" borderId="1" xfId="1" applyFont="1" applyFill="1" applyBorder="1" applyAlignment="1">
      <alignment horizontal="center" vertical="center"/>
    </xf>
    <xf numFmtId="0" fontId="6" fillId="31" borderId="1" xfId="0" applyFont="1" applyFill="1" applyBorder="1" applyAlignment="1">
      <alignment horizontal="center" vertical="center"/>
    </xf>
    <xf numFmtId="9" fontId="3" fillId="16" borderId="1" xfId="1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73" fontId="25" fillId="0" borderId="1" xfId="0" applyNumberFormat="1" applyFont="1" applyBorder="1" applyAlignment="1">
      <alignment horizontal="center" vertical="center"/>
    </xf>
    <xf numFmtId="14" fontId="19" fillId="16" borderId="4" xfId="0" applyNumberFormat="1" applyFont="1" applyFill="1" applyBorder="1" applyAlignment="1">
      <alignment horizontal="center" vertical="center"/>
    </xf>
    <xf numFmtId="0" fontId="3" fillId="32" borderId="6" xfId="0" applyFont="1" applyFill="1" applyBorder="1" applyAlignment="1">
      <alignment horizontal="center" vertical="center"/>
    </xf>
    <xf numFmtId="164" fontId="3" fillId="32" borderId="1" xfId="0" applyNumberFormat="1" applyFont="1" applyFill="1" applyBorder="1" applyAlignment="1">
      <alignment horizontal="center" vertical="center"/>
    </xf>
    <xf numFmtId="164" fontId="3" fillId="16" borderId="22" xfId="0" applyNumberFormat="1" applyFont="1" applyFill="1" applyBorder="1" applyAlignment="1">
      <alignment horizontal="center" vertical="center"/>
    </xf>
    <xf numFmtId="164" fontId="3" fillId="16" borderId="1" xfId="0" applyNumberFormat="1" applyFont="1" applyFill="1" applyBorder="1" applyAlignment="1">
      <alignment horizontal="center" vertical="center"/>
    </xf>
    <xf numFmtId="0" fontId="3" fillId="16" borderId="0" xfId="0" applyFont="1" applyFill="1"/>
    <xf numFmtId="0" fontId="25" fillId="32" borderId="1" xfId="0" applyFont="1" applyFill="1" applyBorder="1" applyAlignment="1">
      <alignment horizontal="center" vertical="center"/>
    </xf>
    <xf numFmtId="14" fontId="19" fillId="30" borderId="4" xfId="0" applyNumberFormat="1" applyFont="1" applyFill="1" applyBorder="1" applyAlignment="1">
      <alignment horizontal="center" vertical="center"/>
    </xf>
    <xf numFmtId="9" fontId="3" fillId="22" borderId="22" xfId="1" applyFont="1" applyFill="1" applyBorder="1" applyAlignment="1">
      <alignment horizontal="center" vertical="center"/>
    </xf>
    <xf numFmtId="0" fontId="25" fillId="22" borderId="1" xfId="0" applyFont="1" applyFill="1" applyBorder="1" applyAlignment="1">
      <alignment horizontal="center" vertical="center"/>
    </xf>
    <xf numFmtId="0" fontId="3" fillId="33" borderId="48" xfId="0" applyFont="1" applyFill="1" applyBorder="1" applyAlignment="1">
      <alignment horizontal="center" vertical="center"/>
    </xf>
    <xf numFmtId="0" fontId="3" fillId="33" borderId="49" xfId="0" applyFont="1" applyFill="1" applyBorder="1" applyAlignment="1">
      <alignment horizontal="center" vertical="center"/>
    </xf>
    <xf numFmtId="0" fontId="19" fillId="33" borderId="49" xfId="0" applyFont="1" applyFill="1" applyBorder="1" applyAlignment="1">
      <alignment horizontal="center" vertical="center"/>
    </xf>
    <xf numFmtId="0" fontId="3" fillId="29" borderId="48" xfId="0" applyFont="1" applyFill="1" applyBorder="1" applyAlignment="1">
      <alignment horizontal="center" vertical="center"/>
    </xf>
    <xf numFmtId="0" fontId="3" fillId="29" borderId="49" xfId="0" applyFont="1" applyFill="1" applyBorder="1" applyAlignment="1">
      <alignment horizontal="center" vertical="center"/>
    </xf>
    <xf numFmtId="0" fontId="19" fillId="29" borderId="49" xfId="0" applyFont="1" applyFill="1" applyBorder="1" applyAlignment="1">
      <alignment horizontal="center" vertical="center"/>
    </xf>
    <xf numFmtId="0" fontId="3" fillId="16" borderId="49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center"/>
    </xf>
    <xf numFmtId="9" fontId="3" fillId="0" borderId="27" xfId="1" applyFont="1" applyFill="1" applyBorder="1" applyAlignment="1">
      <alignment horizontal="center" vertical="center"/>
    </xf>
    <xf numFmtId="0" fontId="11" fillId="27" borderId="5" xfId="0" applyFont="1" applyFill="1" applyBorder="1" applyAlignment="1">
      <alignment horizontal="center" vertical="center"/>
    </xf>
    <xf numFmtId="0" fontId="11" fillId="27" borderId="55" xfId="0" applyFont="1" applyFill="1" applyBorder="1" applyAlignment="1">
      <alignment horizontal="center" vertical="center"/>
    </xf>
    <xf numFmtId="0" fontId="11" fillId="27" borderId="6" xfId="0" applyFont="1" applyFill="1" applyBorder="1" applyAlignment="1">
      <alignment horizontal="center" vertical="center"/>
    </xf>
    <xf numFmtId="0" fontId="11" fillId="28" borderId="1" xfId="0" applyFont="1" applyFill="1" applyBorder="1" applyAlignment="1">
      <alignment horizontal="center" vertical="center"/>
    </xf>
    <xf numFmtId="0" fontId="11" fillId="28" borderId="5" xfId="0" applyFont="1" applyFill="1" applyBorder="1" applyAlignment="1">
      <alignment horizontal="center" vertical="center"/>
    </xf>
    <xf numFmtId="0" fontId="11" fillId="28" borderId="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68" fontId="2" fillId="2" borderId="18" xfId="0" applyNumberFormat="1" applyFont="1" applyFill="1" applyBorder="1" applyAlignment="1">
      <alignment horizontal="center" vertical="center"/>
    </xf>
    <xf numFmtId="168" fontId="2" fillId="2" borderId="19" xfId="0" applyNumberFormat="1" applyFont="1" applyFill="1" applyBorder="1" applyAlignment="1">
      <alignment horizontal="center" vertical="center"/>
    </xf>
    <xf numFmtId="168" fontId="2" fillId="2" borderId="20" xfId="0" applyNumberFormat="1" applyFont="1" applyFill="1" applyBorder="1" applyAlignment="1">
      <alignment horizontal="center" vertical="center"/>
    </xf>
    <xf numFmtId="0" fontId="3" fillId="6" borderId="37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/>
    </xf>
    <xf numFmtId="0" fontId="3" fillId="7" borderId="37" xfId="0" applyFont="1" applyFill="1" applyBorder="1" applyAlignment="1">
      <alignment horizontal="center" vertical="center"/>
    </xf>
    <xf numFmtId="0" fontId="3" fillId="7" borderId="38" xfId="0" applyFont="1" applyFill="1" applyBorder="1" applyAlignment="1">
      <alignment horizontal="center" vertical="center"/>
    </xf>
    <xf numFmtId="0" fontId="2" fillId="9" borderId="30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/>
    </xf>
    <xf numFmtId="0" fontId="3" fillId="8" borderId="36" xfId="0" applyFont="1" applyFill="1" applyBorder="1" applyAlignment="1">
      <alignment horizontal="center" vertical="center"/>
    </xf>
    <xf numFmtId="0" fontId="3" fillId="8" borderId="37" xfId="0" applyFont="1" applyFill="1" applyBorder="1" applyAlignment="1">
      <alignment horizontal="center" vertical="center"/>
    </xf>
    <xf numFmtId="0" fontId="3" fillId="8" borderId="38" xfId="0" applyFont="1" applyFill="1" applyBorder="1" applyAlignment="1">
      <alignment horizontal="center" vertical="center"/>
    </xf>
    <xf numFmtId="0" fontId="3" fillId="9" borderId="37" xfId="0" applyFont="1" applyFill="1" applyBorder="1" applyAlignment="1">
      <alignment horizontal="center" vertical="center"/>
    </xf>
    <xf numFmtId="0" fontId="2" fillId="8" borderId="30" xfId="0" applyFont="1" applyFill="1" applyBorder="1" applyAlignment="1">
      <alignment horizontal="center" vertical="center"/>
    </xf>
    <xf numFmtId="0" fontId="2" fillId="8" borderId="31" xfId="0" applyFont="1" applyFill="1" applyBorder="1" applyAlignment="1">
      <alignment horizontal="center" vertical="center"/>
    </xf>
    <xf numFmtId="0" fontId="3" fillId="8" borderId="25" xfId="0" applyFont="1" applyFill="1" applyBorder="1" applyAlignment="1">
      <alignment horizontal="center" vertical="center"/>
    </xf>
    <xf numFmtId="0" fontId="3" fillId="8" borderId="46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9" fontId="3" fillId="11" borderId="2" xfId="1" applyFont="1" applyFill="1" applyBorder="1" applyAlignment="1">
      <alignment horizontal="center" vertical="center"/>
    </xf>
    <xf numFmtId="9" fontId="3" fillId="11" borderId="4" xfId="1" applyFont="1" applyFill="1" applyBorder="1" applyAlignment="1">
      <alignment horizontal="center" vertical="center"/>
    </xf>
    <xf numFmtId="164" fontId="3" fillId="11" borderId="2" xfId="0" applyNumberFormat="1" applyFont="1" applyFill="1" applyBorder="1" applyAlignment="1">
      <alignment horizontal="center" vertical="center"/>
    </xf>
    <xf numFmtId="164" fontId="3" fillId="11" borderId="4" xfId="0" applyNumberFormat="1" applyFont="1" applyFill="1" applyBorder="1" applyAlignment="1">
      <alignment horizontal="center" vertical="center"/>
    </xf>
    <xf numFmtId="164" fontId="3" fillId="11" borderId="3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168" fontId="2" fillId="8" borderId="7" xfId="0" applyNumberFormat="1" applyFont="1" applyFill="1" applyBorder="1" applyAlignment="1">
      <alignment horizontal="center" vertical="center"/>
    </xf>
    <xf numFmtId="168" fontId="2" fillId="8" borderId="12" xfId="0" applyNumberFormat="1" applyFont="1" applyFill="1" applyBorder="1" applyAlignment="1">
      <alignment horizontal="center" vertical="center"/>
    </xf>
    <xf numFmtId="168" fontId="2" fillId="8" borderId="8" xfId="0" applyNumberFormat="1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9" fontId="3" fillId="11" borderId="3" xfId="1" applyFont="1" applyFill="1" applyBorder="1" applyAlignment="1">
      <alignment horizontal="center" vertical="center"/>
    </xf>
    <xf numFmtId="0" fontId="3" fillId="9" borderId="49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9" fontId="3" fillId="0" borderId="24" xfId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9" fontId="3" fillId="0" borderId="23" xfId="1" applyFont="1" applyBorder="1" applyAlignment="1">
      <alignment horizontal="center" vertical="center"/>
    </xf>
    <xf numFmtId="0" fontId="3" fillId="13" borderId="49" xfId="0" applyFont="1" applyFill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center" vertical="center"/>
    </xf>
    <xf numFmtId="0" fontId="2" fillId="12" borderId="16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168" fontId="2" fillId="12" borderId="18" xfId="0" applyNumberFormat="1" applyFont="1" applyFill="1" applyBorder="1" applyAlignment="1">
      <alignment horizontal="center" vertical="center"/>
    </xf>
    <xf numFmtId="168" fontId="2" fillId="12" borderId="19" xfId="0" applyNumberFormat="1" applyFont="1" applyFill="1" applyBorder="1" applyAlignment="1">
      <alignment horizontal="center" vertical="center"/>
    </xf>
    <xf numFmtId="168" fontId="2" fillId="12" borderId="20" xfId="0" applyNumberFormat="1" applyFont="1" applyFill="1" applyBorder="1" applyAlignment="1">
      <alignment horizontal="center" vertical="center"/>
    </xf>
    <xf numFmtId="0" fontId="3" fillId="9" borderId="48" xfId="0" applyFont="1" applyFill="1" applyBorder="1" applyAlignment="1">
      <alignment horizontal="center" vertical="center" wrapText="1"/>
    </xf>
    <xf numFmtId="0" fontId="3" fillId="13" borderId="48" xfId="0" applyFont="1" applyFill="1" applyBorder="1" applyAlignment="1">
      <alignment horizontal="center" vertical="center" wrapText="1"/>
    </xf>
    <xf numFmtId="0" fontId="3" fillId="13" borderId="52" xfId="0" applyFont="1" applyFill="1" applyBorder="1" applyAlignment="1">
      <alignment horizontal="center" vertical="center" wrapText="1"/>
    </xf>
    <xf numFmtId="0" fontId="13" fillId="19" borderId="15" xfId="0" applyFont="1" applyFill="1" applyBorder="1" applyAlignment="1">
      <alignment horizontal="center" vertical="center" wrapText="1"/>
    </xf>
    <xf numFmtId="0" fontId="13" fillId="19" borderId="16" xfId="0" applyFont="1" applyFill="1" applyBorder="1" applyAlignment="1">
      <alignment horizontal="center" vertical="center" wrapText="1"/>
    </xf>
    <xf numFmtId="0" fontId="13" fillId="19" borderId="56" xfId="0" applyFont="1" applyFill="1" applyBorder="1" applyAlignment="1">
      <alignment horizontal="center" vertical="center" wrapText="1"/>
    </xf>
    <xf numFmtId="0" fontId="13" fillId="19" borderId="0" xfId="0" applyFont="1" applyFill="1" applyAlignment="1">
      <alignment horizontal="center" vertical="center" wrapText="1"/>
    </xf>
    <xf numFmtId="0" fontId="13" fillId="19" borderId="18" xfId="0" applyFont="1" applyFill="1" applyBorder="1" applyAlignment="1">
      <alignment horizontal="center" vertical="center" wrapText="1"/>
    </xf>
    <xf numFmtId="0" fontId="13" fillId="19" borderId="19" xfId="0" applyFont="1" applyFill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21" borderId="15" xfId="0" applyFont="1" applyFill="1" applyBorder="1" applyAlignment="1">
      <alignment horizontal="center" vertical="center" wrapText="1"/>
    </xf>
    <xf numFmtId="0" fontId="13" fillId="21" borderId="17" xfId="0" applyFont="1" applyFill="1" applyBorder="1" applyAlignment="1">
      <alignment horizontal="center" vertical="center" wrapText="1"/>
    </xf>
    <xf numFmtId="0" fontId="13" fillId="21" borderId="56" xfId="0" applyFont="1" applyFill="1" applyBorder="1" applyAlignment="1">
      <alignment horizontal="center" vertical="center" wrapText="1"/>
    </xf>
    <xf numFmtId="0" fontId="13" fillId="21" borderId="57" xfId="0" applyFont="1" applyFill="1" applyBorder="1" applyAlignment="1">
      <alignment horizontal="center" vertical="center" wrapText="1"/>
    </xf>
    <xf numFmtId="0" fontId="13" fillId="21" borderId="18" xfId="0" applyFont="1" applyFill="1" applyBorder="1" applyAlignment="1">
      <alignment horizontal="center" vertical="center" wrapText="1"/>
    </xf>
    <xf numFmtId="0" fontId="13" fillId="21" borderId="20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5" fillId="21" borderId="36" xfId="0" applyFont="1" applyFill="1" applyBorder="1" applyAlignment="1">
      <alignment horizontal="center" vertical="center" wrapText="1"/>
    </xf>
    <xf numFmtId="0" fontId="15" fillId="21" borderId="38" xfId="0" applyFont="1" applyFill="1" applyBorder="1" applyAlignment="1">
      <alignment horizontal="center" vertical="center" wrapText="1"/>
    </xf>
    <xf numFmtId="172" fontId="11" fillId="0" borderId="36" xfId="0" applyNumberFormat="1" applyFont="1" applyBorder="1" applyAlignment="1">
      <alignment horizontal="center" vertical="center"/>
    </xf>
    <xf numFmtId="172" fontId="11" fillId="0" borderId="38" xfId="0" applyNumberFormat="1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167" fontId="12" fillId="0" borderId="16" xfId="0" applyNumberFormat="1" applyFont="1" applyBorder="1" applyAlignment="1">
      <alignment horizontal="center" vertical="center"/>
    </xf>
    <xf numFmtId="167" fontId="12" fillId="0" borderId="17" xfId="0" applyNumberFormat="1" applyFont="1" applyBorder="1" applyAlignment="1">
      <alignment horizontal="center" vertical="center"/>
    </xf>
    <xf numFmtId="167" fontId="12" fillId="0" borderId="19" xfId="0" applyNumberFormat="1" applyFont="1" applyBorder="1" applyAlignment="1">
      <alignment horizontal="center" vertical="center"/>
    </xf>
    <xf numFmtId="167" fontId="12" fillId="0" borderId="20" xfId="0" applyNumberFormat="1" applyFont="1" applyBorder="1" applyAlignment="1">
      <alignment horizontal="center" vertical="center"/>
    </xf>
    <xf numFmtId="0" fontId="12" fillId="24" borderId="10" xfId="0" applyFont="1" applyFill="1" applyBorder="1" applyAlignment="1">
      <alignment horizontal="center" vertical="center"/>
    </xf>
    <xf numFmtId="0" fontId="12" fillId="24" borderId="11" xfId="0" applyFont="1" applyFill="1" applyBorder="1" applyAlignment="1">
      <alignment horizontal="center" vertical="center"/>
    </xf>
    <xf numFmtId="0" fontId="11" fillId="23" borderId="36" xfId="0" applyFont="1" applyFill="1" applyBorder="1" applyAlignment="1">
      <alignment horizontal="center" vertical="center" wrapText="1"/>
    </xf>
    <xf numFmtId="0" fontId="11" fillId="23" borderId="37" xfId="0" applyFont="1" applyFill="1" applyBorder="1" applyAlignment="1">
      <alignment horizontal="center" vertical="center" wrapText="1"/>
    </xf>
    <xf numFmtId="0" fontId="11" fillId="23" borderId="38" xfId="0" applyFont="1" applyFill="1" applyBorder="1" applyAlignment="1">
      <alignment horizontal="center" vertical="center" wrapText="1"/>
    </xf>
    <xf numFmtId="0" fontId="12" fillId="24" borderId="55" xfId="0" applyFont="1" applyFill="1" applyBorder="1" applyAlignment="1">
      <alignment horizontal="center" vertical="center"/>
    </xf>
    <xf numFmtId="0" fontId="12" fillId="24" borderId="6" xfId="0" applyFont="1" applyFill="1" applyBorder="1" applyAlignment="1">
      <alignment horizontal="center" vertical="center"/>
    </xf>
    <xf numFmtId="0" fontId="3" fillId="13" borderId="53" xfId="0" applyFont="1" applyFill="1" applyBorder="1" applyAlignment="1">
      <alignment horizontal="center" vertical="center" wrapText="1"/>
    </xf>
    <xf numFmtId="0" fontId="3" fillId="13" borderId="50" xfId="0" applyFont="1" applyFill="1" applyBorder="1" applyAlignment="1">
      <alignment horizontal="center" vertical="center" wrapText="1"/>
    </xf>
    <xf numFmtId="0" fontId="11" fillId="19" borderId="36" xfId="0" applyFont="1" applyFill="1" applyBorder="1" applyAlignment="1">
      <alignment horizontal="center" vertical="center" wrapText="1"/>
    </xf>
    <xf numFmtId="0" fontId="11" fillId="19" borderId="38" xfId="0" applyFont="1" applyFill="1" applyBorder="1" applyAlignment="1">
      <alignment horizontal="center" vertical="center" wrapText="1"/>
    </xf>
    <xf numFmtId="0" fontId="15" fillId="19" borderId="36" xfId="0" applyFont="1" applyFill="1" applyBorder="1" applyAlignment="1">
      <alignment horizontal="center" vertical="center" wrapText="1"/>
    </xf>
    <xf numFmtId="0" fontId="15" fillId="19" borderId="38" xfId="0" applyFont="1" applyFill="1" applyBorder="1" applyAlignment="1">
      <alignment horizontal="center" vertical="center" wrapText="1"/>
    </xf>
    <xf numFmtId="0" fontId="11" fillId="21" borderId="36" xfId="0" applyFont="1" applyFill="1" applyBorder="1" applyAlignment="1">
      <alignment horizontal="center" vertical="center" wrapText="1"/>
    </xf>
    <xf numFmtId="0" fontId="11" fillId="21" borderId="38" xfId="0" applyFont="1" applyFill="1" applyBorder="1" applyAlignment="1">
      <alignment horizontal="center" vertical="center" wrapText="1"/>
    </xf>
    <xf numFmtId="167" fontId="11" fillId="0" borderId="36" xfId="0" applyNumberFormat="1" applyFont="1" applyBorder="1" applyAlignment="1">
      <alignment horizontal="center" vertical="center"/>
    </xf>
    <xf numFmtId="167" fontId="11" fillId="0" borderId="38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3" fillId="13" borderId="38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 textRotation="90"/>
    </xf>
    <xf numFmtId="0" fontId="3" fillId="13" borderId="56" xfId="0" applyFont="1" applyFill="1" applyBorder="1" applyAlignment="1">
      <alignment horizontal="center" vertical="center" textRotation="90"/>
    </xf>
    <xf numFmtId="0" fontId="3" fillId="13" borderId="37" xfId="0" applyFont="1" applyFill="1" applyBorder="1" applyAlignment="1">
      <alignment horizontal="center" vertical="center" textRotation="90"/>
    </xf>
    <xf numFmtId="0" fontId="3" fillId="13" borderId="38" xfId="0" applyFont="1" applyFill="1" applyBorder="1" applyAlignment="1">
      <alignment horizontal="center" vertical="center" textRotation="90"/>
    </xf>
    <xf numFmtId="0" fontId="3" fillId="9" borderId="36" xfId="0" applyFont="1" applyFill="1" applyBorder="1" applyAlignment="1">
      <alignment horizontal="center" vertical="center" textRotation="90"/>
    </xf>
    <xf numFmtId="0" fontId="3" fillId="9" borderId="37" xfId="0" applyFont="1" applyFill="1" applyBorder="1" applyAlignment="1">
      <alignment horizontal="center" vertical="center" textRotation="90"/>
    </xf>
    <xf numFmtId="0" fontId="3" fillId="9" borderId="38" xfId="0" applyFont="1" applyFill="1" applyBorder="1" applyAlignment="1">
      <alignment horizontal="center" vertical="center" textRotation="90"/>
    </xf>
    <xf numFmtId="0" fontId="3" fillId="9" borderId="52" xfId="0" applyFont="1" applyFill="1" applyBorder="1" applyAlignment="1">
      <alignment horizontal="center" vertical="center" wrapText="1"/>
    </xf>
    <xf numFmtId="0" fontId="3" fillId="9" borderId="38" xfId="0" applyFont="1" applyFill="1" applyBorder="1" applyAlignment="1">
      <alignment horizontal="center" vertical="center" wrapText="1"/>
    </xf>
    <xf numFmtId="0" fontId="2" fillId="12" borderId="30" xfId="0" applyFont="1" applyFill="1" applyBorder="1" applyAlignment="1">
      <alignment horizontal="center" vertical="center"/>
    </xf>
    <xf numFmtId="0" fontId="2" fillId="12" borderId="34" xfId="0" applyFont="1" applyFill="1" applyBorder="1" applyAlignment="1">
      <alignment horizontal="center" vertical="center"/>
    </xf>
    <xf numFmtId="0" fontId="2" fillId="12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0" fontId="3" fillId="33" borderId="61" xfId="0" applyNumberFormat="1" applyFont="1" applyFill="1" applyBorder="1" applyAlignment="1">
      <alignment horizontal="center" vertical="center"/>
    </xf>
    <xf numFmtId="170" fontId="3" fillId="33" borderId="59" xfId="0" applyNumberFormat="1" applyFont="1" applyFill="1" applyBorder="1" applyAlignment="1">
      <alignment horizontal="center" vertical="center"/>
    </xf>
    <xf numFmtId="0" fontId="3" fillId="33" borderId="52" xfId="0" applyFont="1" applyFill="1" applyBorder="1" applyAlignment="1">
      <alignment horizontal="center" vertical="center"/>
    </xf>
    <xf numFmtId="0" fontId="3" fillId="33" borderId="53" xfId="0" applyFont="1" applyFill="1" applyBorder="1" applyAlignment="1">
      <alignment horizontal="center" vertical="center"/>
    </xf>
    <xf numFmtId="0" fontId="3" fillId="29" borderId="52" xfId="0" applyFont="1" applyFill="1" applyBorder="1" applyAlignment="1">
      <alignment horizontal="center" vertical="center"/>
    </xf>
    <xf numFmtId="0" fontId="3" fillId="29" borderId="53" xfId="0" applyFont="1" applyFill="1" applyBorder="1" applyAlignment="1">
      <alignment horizontal="center" vertical="center"/>
    </xf>
    <xf numFmtId="170" fontId="3" fillId="34" borderId="61" xfId="0" applyNumberFormat="1" applyFont="1" applyFill="1" applyBorder="1" applyAlignment="1">
      <alignment horizontal="center" vertical="center"/>
    </xf>
    <xf numFmtId="170" fontId="3" fillId="34" borderId="59" xfId="0" applyNumberFormat="1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9" fontId="3" fillId="0" borderId="24" xfId="1" applyFont="1" applyFill="1" applyBorder="1" applyAlignment="1">
      <alignment horizontal="center" vertical="center"/>
    </xf>
    <xf numFmtId="9" fontId="3" fillId="0" borderId="28" xfId="1" applyFont="1" applyFill="1" applyBorder="1" applyAlignment="1">
      <alignment horizontal="center" vertical="center"/>
    </xf>
    <xf numFmtId="170" fontId="3" fillId="34" borderId="6" xfId="0" applyNumberFormat="1" applyFont="1" applyFill="1" applyBorder="1" applyAlignment="1">
      <alignment horizontal="center" vertical="center"/>
    </xf>
    <xf numFmtId="0" fontId="2" fillId="33" borderId="36" xfId="0" applyFont="1" applyFill="1" applyBorder="1" applyAlignment="1">
      <alignment horizontal="center" vertical="center" textRotation="90"/>
    </xf>
    <xf numFmtId="0" fontId="2" fillId="33" borderId="37" xfId="0" applyFont="1" applyFill="1" applyBorder="1" applyAlignment="1">
      <alignment horizontal="center" vertical="center" textRotation="90"/>
    </xf>
    <xf numFmtId="0" fontId="2" fillId="33" borderId="38" xfId="0" applyFont="1" applyFill="1" applyBorder="1" applyAlignment="1">
      <alignment horizontal="center" vertical="center" textRotation="90"/>
    </xf>
    <xf numFmtId="0" fontId="2" fillId="29" borderId="36" xfId="0" applyFont="1" applyFill="1" applyBorder="1" applyAlignment="1">
      <alignment horizontal="center" vertical="center" textRotation="90"/>
    </xf>
    <xf numFmtId="0" fontId="2" fillId="29" borderId="37" xfId="0" applyFont="1" applyFill="1" applyBorder="1" applyAlignment="1">
      <alignment horizontal="center" vertical="center" textRotation="90"/>
    </xf>
    <xf numFmtId="0" fontId="2" fillId="29" borderId="38" xfId="0" applyFont="1" applyFill="1" applyBorder="1" applyAlignment="1">
      <alignment horizontal="center" vertical="center" textRotation="90"/>
    </xf>
    <xf numFmtId="0" fontId="3" fillId="29" borderId="42" xfId="0" applyFont="1" applyFill="1" applyBorder="1" applyAlignment="1">
      <alignment horizontal="center" vertical="center"/>
    </xf>
    <xf numFmtId="0" fontId="3" fillId="16" borderId="42" xfId="0" applyFont="1" applyFill="1" applyBorder="1" applyAlignment="1">
      <alignment horizontal="center" vertical="center"/>
    </xf>
    <xf numFmtId="0" fontId="19" fillId="29" borderId="42" xfId="0" applyFont="1" applyFill="1" applyBorder="1" applyAlignment="1">
      <alignment horizontal="center" vertical="center"/>
    </xf>
    <xf numFmtId="2" fontId="3" fillId="16" borderId="35" xfId="0" applyNumberFormat="1" applyFont="1" applyFill="1" applyBorder="1" applyAlignment="1">
      <alignment horizontal="center" vertical="center"/>
    </xf>
    <xf numFmtId="2" fontId="3" fillId="16" borderId="59" xfId="0" applyNumberFormat="1" applyFont="1" applyFill="1" applyBorder="1" applyAlignment="1">
      <alignment horizontal="center" vertical="center"/>
    </xf>
    <xf numFmtId="164" fontId="3" fillId="16" borderId="1" xfId="0" applyNumberFormat="1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9" fontId="3" fillId="16" borderId="24" xfId="1" applyFont="1" applyFill="1" applyBorder="1" applyAlignment="1">
      <alignment horizontal="center" vertical="center"/>
    </xf>
    <xf numFmtId="170" fontId="3" fillId="33" borderId="6" xfId="0" applyNumberFormat="1" applyFont="1" applyFill="1" applyBorder="1" applyAlignment="1">
      <alignment horizontal="center" vertical="center"/>
    </xf>
    <xf numFmtId="0" fontId="3" fillId="33" borderId="42" xfId="0" applyFont="1" applyFill="1" applyBorder="1" applyAlignment="1">
      <alignment horizontal="center" vertical="center"/>
    </xf>
    <xf numFmtId="170" fontId="3" fillId="33" borderId="44" xfId="0" applyNumberFormat="1" applyFont="1" applyFill="1" applyBorder="1" applyAlignment="1">
      <alignment horizontal="left" vertical="center" indent="2"/>
    </xf>
    <xf numFmtId="170" fontId="3" fillId="33" borderId="6" xfId="0" applyNumberFormat="1" applyFont="1" applyFill="1" applyBorder="1" applyAlignment="1">
      <alignment horizontal="left" vertical="center" indent="2"/>
    </xf>
    <xf numFmtId="2" fontId="3" fillId="16" borderId="44" xfId="0" applyNumberFormat="1" applyFont="1" applyFill="1" applyBorder="1" applyAlignment="1">
      <alignment horizontal="center" vertical="center"/>
    </xf>
    <xf numFmtId="2" fontId="3" fillId="16" borderId="6" xfId="0" applyNumberFormat="1" applyFont="1" applyFill="1" applyBorder="1" applyAlignment="1">
      <alignment horizontal="center" vertical="center"/>
    </xf>
    <xf numFmtId="170" fontId="19" fillId="33" borderId="6" xfId="0" applyNumberFormat="1" applyFont="1" applyFill="1" applyBorder="1" applyAlignment="1">
      <alignment horizontal="center" vertical="center"/>
    </xf>
    <xf numFmtId="0" fontId="3" fillId="33" borderId="41" xfId="0" applyFont="1" applyFill="1" applyBorder="1" applyAlignment="1">
      <alignment horizontal="center" vertical="center"/>
    </xf>
    <xf numFmtId="0" fontId="19" fillId="33" borderId="42" xfId="0" applyFont="1" applyFill="1" applyBorder="1" applyAlignment="1">
      <alignment horizontal="center" vertical="center"/>
    </xf>
    <xf numFmtId="0" fontId="3" fillId="29" borderId="41" xfId="0" applyFont="1" applyFill="1" applyBorder="1" applyAlignment="1">
      <alignment horizontal="center" vertical="center"/>
    </xf>
    <xf numFmtId="0" fontId="2" fillId="14" borderId="9" xfId="0" applyFont="1" applyFill="1" applyBorder="1" applyAlignment="1">
      <alignment horizontal="center"/>
    </xf>
    <xf numFmtId="0" fontId="2" fillId="14" borderId="10" xfId="0" applyFont="1" applyFill="1" applyBorder="1" applyAlignment="1">
      <alignment horizontal="center"/>
    </xf>
    <xf numFmtId="0" fontId="2" fillId="14" borderId="11" xfId="0" applyFont="1" applyFill="1" applyBorder="1" applyAlignment="1">
      <alignment horizontal="center"/>
    </xf>
    <xf numFmtId="168" fontId="2" fillId="14" borderId="7" xfId="0" applyNumberFormat="1" applyFont="1" applyFill="1" applyBorder="1" applyAlignment="1">
      <alignment horizontal="center"/>
    </xf>
    <xf numFmtId="168" fontId="2" fillId="14" borderId="12" xfId="0" applyNumberFormat="1" applyFont="1" applyFill="1" applyBorder="1" applyAlignment="1">
      <alignment horizontal="center"/>
    </xf>
    <xf numFmtId="168" fontId="2" fillId="14" borderId="8" xfId="0" applyNumberFormat="1" applyFont="1" applyFill="1" applyBorder="1" applyAlignment="1">
      <alignment horizontal="center"/>
    </xf>
    <xf numFmtId="0" fontId="2" fillId="14" borderId="40" xfId="0" applyFont="1" applyFill="1" applyBorder="1" applyAlignment="1">
      <alignment horizontal="center"/>
    </xf>
    <xf numFmtId="0" fontId="2" fillId="14" borderId="32" xfId="0" applyFont="1" applyFill="1" applyBorder="1" applyAlignment="1">
      <alignment horizontal="center"/>
    </xf>
    <xf numFmtId="170" fontId="3" fillId="34" borderId="35" xfId="0" applyNumberFormat="1" applyFont="1" applyFill="1" applyBorder="1" applyAlignment="1">
      <alignment horizontal="left" vertical="center" indent="2"/>
    </xf>
    <xf numFmtId="170" fontId="3" fillId="34" borderId="25" xfId="0" applyNumberFormat="1" applyFont="1" applyFill="1" applyBorder="1" applyAlignment="1">
      <alignment horizontal="left" vertical="center" indent="2"/>
    </xf>
    <xf numFmtId="170" fontId="19" fillId="34" borderId="61" xfId="0" applyNumberFormat="1" applyFont="1" applyFill="1" applyBorder="1" applyAlignment="1">
      <alignment horizontal="center" vertical="center"/>
    </xf>
    <xf numFmtId="170" fontId="19" fillId="34" borderId="59" xfId="0" applyNumberFormat="1" applyFont="1" applyFill="1" applyBorder="1" applyAlignment="1">
      <alignment horizontal="center" vertical="center"/>
    </xf>
    <xf numFmtId="0" fontId="3" fillId="8" borderId="65" xfId="0" applyFont="1" applyFill="1" applyBorder="1" applyAlignment="1">
      <alignment horizontal="center" vertical="center"/>
    </xf>
    <xf numFmtId="0" fontId="3" fillId="8" borderId="66" xfId="0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  <xf numFmtId="0" fontId="2" fillId="8" borderId="51" xfId="0" applyFont="1" applyFill="1" applyBorder="1" applyAlignment="1">
      <alignment horizontal="center" vertical="center"/>
    </xf>
    <xf numFmtId="0" fontId="2" fillId="8" borderId="36" xfId="0" applyFont="1" applyFill="1" applyBorder="1" applyAlignment="1">
      <alignment horizontal="center" vertical="center"/>
    </xf>
    <xf numFmtId="0" fontId="2" fillId="8" borderId="38" xfId="0" applyFont="1" applyFill="1" applyBorder="1" applyAlignment="1">
      <alignment horizontal="center" vertical="center"/>
    </xf>
    <xf numFmtId="14" fontId="2" fillId="4" borderId="7" xfId="0" applyNumberFormat="1" applyFont="1" applyFill="1" applyBorder="1" applyAlignment="1">
      <alignment horizontal="center" vertical="center"/>
    </xf>
    <xf numFmtId="14" fontId="2" fillId="4" borderId="12" xfId="0" applyNumberFormat="1" applyFont="1" applyFill="1" applyBorder="1" applyAlignment="1">
      <alignment horizontal="center" vertical="center"/>
    </xf>
    <xf numFmtId="14" fontId="2" fillId="4" borderId="8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25" borderId="5" xfId="0" applyFont="1" applyFill="1" applyBorder="1" applyAlignment="1">
      <alignment horizontal="center" vertical="center"/>
    </xf>
    <xf numFmtId="0" fontId="2" fillId="25" borderId="55" xfId="0" applyFont="1" applyFill="1" applyBorder="1" applyAlignment="1">
      <alignment horizontal="center" vertical="center"/>
    </xf>
    <xf numFmtId="0" fontId="2" fillId="25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9" fontId="0" fillId="0" borderId="3" xfId="1" applyFont="1" applyBorder="1" applyAlignment="1">
      <alignment horizontal="center" vertical="center"/>
    </xf>
    <xf numFmtId="9" fontId="0" fillId="0" borderId="4" xfId="1" applyFont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horizontal="center"/>
    </xf>
    <xf numFmtId="0" fontId="3" fillId="13" borderId="48" xfId="0" applyFont="1" applyFill="1" applyBorder="1" applyAlignment="1">
      <alignment horizontal="center" vertical="center" textRotation="90"/>
    </xf>
    <xf numFmtId="0" fontId="3" fillId="13" borderId="49" xfId="0" applyFont="1" applyFill="1" applyBorder="1" applyAlignment="1">
      <alignment horizontal="center" vertical="center" textRotation="90"/>
    </xf>
    <xf numFmtId="0" fontId="3" fillId="13" borderId="48" xfId="0" applyFont="1" applyFill="1" applyBorder="1" applyAlignment="1">
      <alignment horizontal="center" vertical="center"/>
    </xf>
    <xf numFmtId="0" fontId="3" fillId="13" borderId="49" xfId="0" applyFont="1" applyFill="1" applyBorder="1" applyAlignment="1">
      <alignment horizontal="center" vertical="center"/>
    </xf>
    <xf numFmtId="0" fontId="3" fillId="13" borderId="50" xfId="0" applyFont="1" applyFill="1" applyBorder="1" applyAlignment="1">
      <alignment horizontal="center" vertical="center" textRotation="90"/>
    </xf>
    <xf numFmtId="0" fontId="3" fillId="13" borderId="50" xfId="0" applyFont="1" applyFill="1" applyBorder="1" applyAlignment="1">
      <alignment horizontal="center" vertical="center"/>
    </xf>
    <xf numFmtId="170" fontId="3" fillId="13" borderId="48" xfId="0" applyNumberFormat="1" applyFont="1" applyFill="1" applyBorder="1" applyAlignment="1">
      <alignment horizontal="center" vertical="center"/>
    </xf>
    <xf numFmtId="170" fontId="3" fillId="13" borderId="49" xfId="0" applyNumberFormat="1" applyFont="1" applyFill="1" applyBorder="1" applyAlignment="1">
      <alignment horizontal="center" vertical="center"/>
    </xf>
    <xf numFmtId="169" fontId="3" fillId="13" borderId="48" xfId="0" applyNumberFormat="1" applyFont="1" applyFill="1" applyBorder="1" applyAlignment="1">
      <alignment horizontal="center" vertical="center"/>
    </xf>
    <xf numFmtId="169" fontId="3" fillId="13" borderId="49" xfId="0" applyNumberFormat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7"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E4CC"/>
      <color rgb="FF339933"/>
      <color rgb="FF339966"/>
      <color rgb="FF99CC00"/>
      <color rgb="FF008080"/>
      <color rgb="FF00CC66"/>
      <color rgb="FF33CCCC"/>
      <color rgb="FF0099CC"/>
      <color rgb="FF33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1</xdr:row>
      <xdr:rowOff>0</xdr:rowOff>
    </xdr:from>
    <xdr:to>
      <xdr:col>1</xdr:col>
      <xdr:colOff>1323974</xdr:colOff>
      <xdr:row>3</xdr:row>
      <xdr:rowOff>17942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1999" y="161925"/>
          <a:ext cx="1323975" cy="4084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0</xdr:rowOff>
    </xdr:from>
    <xdr:to>
      <xdr:col>2</xdr:col>
      <xdr:colOff>190499</xdr:colOff>
      <xdr:row>3</xdr:row>
      <xdr:rowOff>8417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6774" y="152400"/>
          <a:ext cx="1438275" cy="4084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0</xdr:row>
      <xdr:rowOff>142876</xdr:rowOff>
    </xdr:from>
    <xdr:to>
      <xdr:col>1</xdr:col>
      <xdr:colOff>1195494</xdr:colOff>
      <xdr:row>2</xdr:row>
      <xdr:rowOff>241780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8188" y="142876"/>
          <a:ext cx="1219306" cy="4084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8</xdr:row>
      <xdr:rowOff>0</xdr:rowOff>
    </xdr:from>
    <xdr:to>
      <xdr:col>2</xdr:col>
      <xdr:colOff>9110</xdr:colOff>
      <xdr:row>10</xdr:row>
      <xdr:rowOff>3125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1999" y="609600"/>
          <a:ext cx="1343025" cy="4084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0</xdr:rowOff>
    </xdr:from>
    <xdr:to>
      <xdr:col>2</xdr:col>
      <xdr:colOff>190499</xdr:colOff>
      <xdr:row>3</xdr:row>
      <xdr:rowOff>27467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F03635-A2E3-4B0E-9A3C-4C4E3242F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6774" y="152400"/>
          <a:ext cx="1438275" cy="408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showGridLines="0" tabSelected="1" topLeftCell="B1" zoomScale="115" zoomScaleNormal="115" workbookViewId="0">
      <selection activeCell="B4" sqref="B4"/>
    </sheetView>
  </sheetViews>
  <sheetFormatPr baseColWidth="10" defaultColWidth="11.42578125" defaultRowHeight="12" x14ac:dyDescent="0.25"/>
  <cols>
    <col min="1" max="1" width="11.42578125" style="3"/>
    <col min="2" max="2" width="42.42578125" style="3" customWidth="1"/>
    <col min="3" max="3" width="19.140625" style="3" bestFit="1" customWidth="1"/>
    <col min="4" max="4" width="22.85546875" style="3" bestFit="1" customWidth="1"/>
    <col min="5" max="5" width="19" style="3" bestFit="1" customWidth="1"/>
    <col min="6" max="6" width="15.5703125" style="3" bestFit="1" customWidth="1"/>
    <col min="7" max="7" width="18" style="3" bestFit="1" customWidth="1"/>
    <col min="8" max="8" width="12.42578125" style="3" bestFit="1" customWidth="1"/>
    <col min="9" max="9" width="10.5703125" style="3" bestFit="1" customWidth="1"/>
    <col min="10" max="10" width="12" style="3" bestFit="1" customWidth="1"/>
    <col min="11" max="16384" width="11.42578125" style="3"/>
  </cols>
  <sheetData>
    <row r="1" spans="2:10" ht="12.75" thickBot="1" x14ac:dyDescent="0.3"/>
    <row r="2" spans="2:10" ht="15" customHeight="1" x14ac:dyDescent="0.25">
      <c r="B2" s="282" t="s">
        <v>0</v>
      </c>
      <c r="C2" s="283"/>
      <c r="D2" s="283"/>
      <c r="E2" s="283"/>
      <c r="F2" s="283"/>
      <c r="G2" s="283"/>
      <c r="H2" s="283"/>
      <c r="I2" s="283"/>
      <c r="J2" s="284"/>
    </row>
    <row r="3" spans="2:10" ht="15.75" customHeight="1" thickBot="1" x14ac:dyDescent="0.3">
      <c r="B3" s="285">
        <v>46324</v>
      </c>
      <c r="C3" s="286"/>
      <c r="D3" s="286"/>
      <c r="E3" s="286"/>
      <c r="F3" s="286"/>
      <c r="G3" s="286"/>
      <c r="H3" s="286"/>
      <c r="I3" s="286"/>
      <c r="J3" s="287"/>
    </row>
    <row r="4" spans="2:10" ht="12.75" thickBot="1" x14ac:dyDescent="0.3"/>
    <row r="5" spans="2:10" ht="12.75" thickBot="1" x14ac:dyDescent="0.3">
      <c r="B5" s="29" t="s">
        <v>1</v>
      </c>
      <c r="C5" s="30" t="s">
        <v>2</v>
      </c>
      <c r="D5" s="30" t="s">
        <v>3</v>
      </c>
      <c r="E5" s="30" t="s">
        <v>4</v>
      </c>
      <c r="F5" s="30" t="s">
        <v>5</v>
      </c>
      <c r="G5" s="30" t="s">
        <v>6</v>
      </c>
      <c r="H5" s="30" t="s">
        <v>7</v>
      </c>
      <c r="I5" s="30" t="s">
        <v>8</v>
      </c>
      <c r="J5" s="164" t="s">
        <v>9</v>
      </c>
    </row>
    <row r="6" spans="2:10" x14ac:dyDescent="0.25">
      <c r="B6" s="290" t="s">
        <v>10</v>
      </c>
      <c r="C6" s="294" t="s">
        <v>11</v>
      </c>
      <c r="D6" s="37" t="s">
        <v>12</v>
      </c>
      <c r="E6" s="33">
        <f>'CUOTA ARTESANAL'!L6</f>
        <v>9</v>
      </c>
      <c r="F6" s="36">
        <f>'CUOTA ARTESANAL'!M6</f>
        <v>0</v>
      </c>
      <c r="G6" s="36">
        <f>E6+F6</f>
        <v>9</v>
      </c>
      <c r="H6" s="36">
        <f>'CUOTA ARTESANAL'!O6</f>
        <v>0</v>
      </c>
      <c r="I6" s="36">
        <f>G6-H6</f>
        <v>9</v>
      </c>
      <c r="J6" s="199">
        <f>H6/G6</f>
        <v>0</v>
      </c>
    </row>
    <row r="7" spans="2:10" x14ac:dyDescent="0.25">
      <c r="B7" s="290"/>
      <c r="C7" s="295"/>
      <c r="D7" s="38" t="s">
        <v>13</v>
      </c>
      <c r="E7" s="31">
        <f>SUM('CUOTA ARTESANAL'!L8:L17)</f>
        <v>419</v>
      </c>
      <c r="F7" s="11">
        <f>SUM('CUOTA ARTESANAL'!M8:M17)</f>
        <v>-129.07900000000001</v>
      </c>
      <c r="G7" s="11">
        <f t="shared" ref="G7:G14" si="0">E7+F7</f>
        <v>289.92099999999999</v>
      </c>
      <c r="H7" s="11">
        <f>SUM('CUOTA ARTESANAL'!O8:O17)</f>
        <v>253.08299999999997</v>
      </c>
      <c r="I7" s="11">
        <f t="shared" ref="I7:I14" si="1">G7-H7</f>
        <v>36.838000000000022</v>
      </c>
      <c r="J7" s="200">
        <f>H7/G7</f>
        <v>0.87293780029732226</v>
      </c>
    </row>
    <row r="8" spans="2:10" x14ac:dyDescent="0.25">
      <c r="B8" s="290"/>
      <c r="C8" s="295"/>
      <c r="D8" s="38" t="s">
        <v>14</v>
      </c>
      <c r="E8" s="31">
        <v>15</v>
      </c>
      <c r="F8" s="11">
        <f>'CUOTA ARTESANAL'!M18</f>
        <v>0</v>
      </c>
      <c r="G8" s="11">
        <f t="shared" si="0"/>
        <v>15</v>
      </c>
      <c r="H8" s="11">
        <f>'CUOTA ARTESANAL'!O18</f>
        <v>0</v>
      </c>
      <c r="I8" s="11">
        <f t="shared" si="1"/>
        <v>15</v>
      </c>
      <c r="J8" s="200">
        <f t="shared" ref="J8" si="2">H8/G8</f>
        <v>0</v>
      </c>
    </row>
    <row r="9" spans="2:10" x14ac:dyDescent="0.25">
      <c r="B9" s="290"/>
      <c r="C9" s="295"/>
      <c r="D9" s="227" t="s">
        <v>15</v>
      </c>
      <c r="E9" s="32">
        <f>'LEY 21.752 CRUC'!E16</f>
        <v>91</v>
      </c>
      <c r="F9" s="27"/>
      <c r="G9" s="27"/>
      <c r="H9" s="27"/>
      <c r="I9" s="27"/>
      <c r="J9" s="220"/>
    </row>
    <row r="10" spans="2:10" ht="12.75" thickBot="1" x14ac:dyDescent="0.3">
      <c r="B10" s="290"/>
      <c r="C10" s="296"/>
      <c r="D10" s="39" t="s">
        <v>16</v>
      </c>
      <c r="E10" s="34">
        <f>SUM(E6:E8)</f>
        <v>443</v>
      </c>
      <c r="F10" s="35">
        <f>SUM(F6:F8)</f>
        <v>-129.07900000000001</v>
      </c>
      <c r="G10" s="35">
        <f t="shared" si="0"/>
        <v>313.92099999999999</v>
      </c>
      <c r="H10" s="35">
        <f>SUM(H6:H8)</f>
        <v>253.08299999999997</v>
      </c>
      <c r="I10" s="35">
        <f t="shared" si="1"/>
        <v>60.838000000000022</v>
      </c>
      <c r="J10" s="201">
        <f t="shared" ref="J10:J14" si="3">H10/G10</f>
        <v>0.80619964895626595</v>
      </c>
    </row>
    <row r="11" spans="2:10" x14ac:dyDescent="0.25">
      <c r="B11" s="290"/>
      <c r="C11" s="294" t="s">
        <v>17</v>
      </c>
      <c r="D11" s="37" t="s">
        <v>18</v>
      </c>
      <c r="E11" s="33">
        <f>SUM('CUOTA LTP -INDUSTRIAL'!K6:K29)</f>
        <v>65.000010000000003</v>
      </c>
      <c r="F11" s="36">
        <f>SUM('CUOTA LTP -INDUSTRIAL'!L6:L29)</f>
        <v>-9.7260000000000009</v>
      </c>
      <c r="G11" s="36">
        <f t="shared" si="0"/>
        <v>55.274010000000004</v>
      </c>
      <c r="H11" s="36">
        <f>SUM('CUOTA LTP -INDUSTRIAL'!N6:N29)</f>
        <v>0</v>
      </c>
      <c r="I11" s="36">
        <f t="shared" si="1"/>
        <v>55.274010000000004</v>
      </c>
      <c r="J11" s="199">
        <f t="shared" si="3"/>
        <v>0</v>
      </c>
    </row>
    <row r="12" spans="2:10" x14ac:dyDescent="0.25">
      <c r="B12" s="290"/>
      <c r="C12" s="295"/>
      <c r="D12" s="38" t="s">
        <v>19</v>
      </c>
      <c r="E12" s="31">
        <f>SUM('CUOTA LTP -INDUSTRIAL'!K30:K53)</f>
        <v>736.99994000000004</v>
      </c>
      <c r="F12" s="11">
        <f>SUM('CUOTA LTP -INDUSTRIAL'!L30:L53)</f>
        <v>-51.195</v>
      </c>
      <c r="G12" s="11">
        <f t="shared" si="0"/>
        <v>685.80493999999999</v>
      </c>
      <c r="H12" s="11">
        <f>SUM('CUOTA LTP -INDUSTRIAL'!N30:N53)</f>
        <v>555.28099999999995</v>
      </c>
      <c r="I12" s="11">
        <f t="shared" si="1"/>
        <v>130.52394000000004</v>
      </c>
      <c r="J12" s="200">
        <f t="shared" si="3"/>
        <v>0.80967774889460542</v>
      </c>
    </row>
    <row r="13" spans="2:10" ht="12.75" thickBot="1" x14ac:dyDescent="0.3">
      <c r="B13" s="290"/>
      <c r="C13" s="296"/>
      <c r="D13" s="38" t="s">
        <v>20</v>
      </c>
      <c r="E13" s="35">
        <f>SUM('CUOTA LTP -INDUSTRIAL'!K6:K53)</f>
        <v>801.99995000000001</v>
      </c>
      <c r="F13" s="35">
        <f>SUM(F11:F12)</f>
        <v>-60.920999999999999</v>
      </c>
      <c r="G13" s="35">
        <f t="shared" si="0"/>
        <v>741.07894999999996</v>
      </c>
      <c r="H13" s="35">
        <f>SUM(H11:H12)</f>
        <v>555.28099999999995</v>
      </c>
      <c r="I13" s="35">
        <f t="shared" si="1"/>
        <v>185.79795000000001</v>
      </c>
      <c r="J13" s="201">
        <f>H13/G13</f>
        <v>0.74928723855940038</v>
      </c>
    </row>
    <row r="14" spans="2:10" ht="14.45" customHeight="1" thickBot="1" x14ac:dyDescent="0.3">
      <c r="B14" s="290"/>
      <c r="C14" s="300" t="s">
        <v>21</v>
      </c>
      <c r="D14" s="301"/>
      <c r="E14" s="163">
        <v>23</v>
      </c>
      <c r="F14" s="28">
        <v>0</v>
      </c>
      <c r="G14" s="28">
        <f t="shared" si="0"/>
        <v>23</v>
      </c>
      <c r="H14" s="28">
        <f>SUM('PESCA DE INVESTIGACION'!F9:F11)</f>
        <v>0</v>
      </c>
      <c r="I14" s="28">
        <f t="shared" si="1"/>
        <v>23</v>
      </c>
      <c r="J14" s="202">
        <f t="shared" si="3"/>
        <v>0</v>
      </c>
    </row>
    <row r="15" spans="2:10" ht="14.45" customHeight="1" thickBot="1" x14ac:dyDescent="0.3">
      <c r="B15" s="290"/>
      <c r="C15" s="302" t="s">
        <v>22</v>
      </c>
      <c r="D15" s="303"/>
      <c r="E15" s="171">
        <v>0</v>
      </c>
      <c r="F15" s="169">
        <f>'CUOTA ARTESANAL'!G27</f>
        <v>190</v>
      </c>
      <c r="G15" s="169">
        <f>E15+F15</f>
        <v>190</v>
      </c>
      <c r="H15" s="169">
        <f>'CUOTA ARTESANAL'!H27</f>
        <v>166.09899999999999</v>
      </c>
      <c r="I15" s="11">
        <f>G15-H15</f>
        <v>23.90100000000001</v>
      </c>
      <c r="J15" s="200">
        <f>H15/G15</f>
        <v>0.87420526315789471</v>
      </c>
    </row>
    <row r="16" spans="2:10" ht="12.75" thickBot="1" x14ac:dyDescent="0.3">
      <c r="B16" s="291"/>
      <c r="C16" s="298" t="s">
        <v>23</v>
      </c>
      <c r="D16" s="299"/>
      <c r="E16" s="44">
        <f>SUM(E10+E13+E14+E15+E9)</f>
        <v>1358.9999499999999</v>
      </c>
      <c r="F16" s="44">
        <f>SUM(F10+F13+F14+F15)</f>
        <v>0</v>
      </c>
      <c r="G16" s="44">
        <f>E16+F16</f>
        <v>1358.9999499999999</v>
      </c>
      <c r="H16" s="44">
        <f>SUM(H10+H13+H14+H15)</f>
        <v>974.46299999999997</v>
      </c>
      <c r="I16" s="44">
        <f>G16-H16</f>
        <v>384.53694999999993</v>
      </c>
      <c r="J16" s="203">
        <f>H16/G16</f>
        <v>0.71704417649169161</v>
      </c>
    </row>
    <row r="17" spans="2:10" ht="12.75" thickBot="1" x14ac:dyDescent="0.3"/>
    <row r="18" spans="2:10" ht="12.75" thickBot="1" x14ac:dyDescent="0.3">
      <c r="B18" s="23" t="s">
        <v>24</v>
      </c>
      <c r="C18" s="22" t="s">
        <v>25</v>
      </c>
    </row>
    <row r="21" spans="2:10" ht="15" customHeight="1" x14ac:dyDescent="0.25">
      <c r="B21" s="282" t="s">
        <v>26</v>
      </c>
      <c r="C21" s="283"/>
      <c r="D21" s="283"/>
      <c r="E21" s="283"/>
      <c r="F21" s="283"/>
      <c r="G21" s="283"/>
      <c r="H21" s="283"/>
      <c r="I21" s="283"/>
      <c r="J21" s="284"/>
    </row>
    <row r="22" spans="2:10" ht="15.75" customHeight="1" thickBot="1" x14ac:dyDescent="0.3">
      <c r="B22" s="285">
        <f>B3</f>
        <v>46324</v>
      </c>
      <c r="C22" s="286"/>
      <c r="D22" s="286"/>
      <c r="E22" s="286"/>
      <c r="F22" s="286"/>
      <c r="G22" s="286"/>
      <c r="H22" s="286"/>
      <c r="I22" s="286"/>
      <c r="J22" s="287"/>
    </row>
    <row r="23" spans="2:10" ht="12.75" thickBot="1" x14ac:dyDescent="0.3"/>
    <row r="24" spans="2:10" ht="12.75" thickBot="1" x14ac:dyDescent="0.3">
      <c r="B24" s="29" t="s">
        <v>1</v>
      </c>
      <c r="C24" s="30" t="s">
        <v>2</v>
      </c>
      <c r="D24" s="30" t="s">
        <v>3</v>
      </c>
      <c r="E24" s="30" t="s">
        <v>4</v>
      </c>
      <c r="F24" s="30" t="s">
        <v>5</v>
      </c>
      <c r="G24" s="30" t="s">
        <v>6</v>
      </c>
      <c r="H24" s="30" t="s">
        <v>7</v>
      </c>
      <c r="I24" s="30" t="s">
        <v>8</v>
      </c>
      <c r="J24" s="164" t="s">
        <v>9</v>
      </c>
    </row>
    <row r="25" spans="2:10" x14ac:dyDescent="0.25">
      <c r="B25" s="288" t="s">
        <v>27</v>
      </c>
      <c r="C25" s="297" t="s">
        <v>28</v>
      </c>
      <c r="D25" s="165" t="s">
        <v>29</v>
      </c>
      <c r="E25" s="163">
        <f>SUM('CUOTA LICITADA PEP'!F13:F52)</f>
        <v>1094.3049734239999</v>
      </c>
      <c r="F25" s="28">
        <f>SUM('CUOTA LICITADA PEP'!$G$13:$G$52)</f>
        <v>0</v>
      </c>
      <c r="G25" s="28">
        <f>E25+F25</f>
        <v>1094.3049734239999</v>
      </c>
      <c r="H25" s="28">
        <f>SUM('CUOTA LICITADA PEP'!O13:O42)</f>
        <v>684.7829999999999</v>
      </c>
      <c r="I25" s="28">
        <f>G25-H25</f>
        <v>409.52197342399995</v>
      </c>
      <c r="J25" s="204">
        <f>H25/G25</f>
        <v>0.6257697960170685</v>
      </c>
    </row>
    <row r="26" spans="2:10" x14ac:dyDescent="0.25">
      <c r="B26" s="288"/>
      <c r="C26" s="297"/>
      <c r="D26" s="40" t="s">
        <v>30</v>
      </c>
      <c r="E26" s="31">
        <f>SUM('CUOTA LICITADA PEP'!F53:F92)</f>
        <v>1337.9002586040001</v>
      </c>
      <c r="F26" s="31">
        <f>SUM('CUOTA LICITADA PEP'!$G$53:$G$92)</f>
        <v>0</v>
      </c>
      <c r="G26" s="11">
        <f>E26+F26</f>
        <v>1337.9002586040001</v>
      </c>
      <c r="H26" s="11">
        <f>SUM('CUOTA LICITADA PEP'!O53:O82)</f>
        <v>271.91099999999994</v>
      </c>
      <c r="I26" s="11">
        <f>G26-H26</f>
        <v>1065.989258604</v>
      </c>
      <c r="J26" s="194">
        <f>H26/G26</f>
        <v>0.20323712343378941</v>
      </c>
    </row>
    <row r="27" spans="2:10" x14ac:dyDescent="0.25">
      <c r="B27" s="288"/>
      <c r="C27" s="297"/>
      <c r="D27" s="40" t="s">
        <v>31</v>
      </c>
      <c r="E27" s="31">
        <v>25</v>
      </c>
      <c r="F27" s="11">
        <v>0</v>
      </c>
      <c r="G27" s="11">
        <f>E27+F27</f>
        <v>25</v>
      </c>
      <c r="H27" s="11">
        <v>0</v>
      </c>
      <c r="I27" s="11">
        <f t="shared" ref="I27:I29" si="4">G27-H27</f>
        <v>25</v>
      </c>
      <c r="J27" s="194">
        <f t="shared" ref="J27:J28" si="5">H27/G27</f>
        <v>0</v>
      </c>
    </row>
    <row r="28" spans="2:10" ht="12.75" thickBot="1" x14ac:dyDescent="0.3">
      <c r="B28" s="288"/>
      <c r="C28" s="297"/>
      <c r="D28" s="41" t="s">
        <v>32</v>
      </c>
      <c r="E28" s="32">
        <v>35</v>
      </c>
      <c r="F28" s="27">
        <v>0</v>
      </c>
      <c r="G28" s="27">
        <f t="shared" ref="G28:G29" si="6">E28+F28</f>
        <v>35</v>
      </c>
      <c r="H28" s="27">
        <v>0</v>
      </c>
      <c r="I28" s="27">
        <f t="shared" si="4"/>
        <v>35</v>
      </c>
      <c r="J28" s="205">
        <f t="shared" si="5"/>
        <v>0</v>
      </c>
    </row>
    <row r="29" spans="2:10" ht="12.75" thickBot="1" x14ac:dyDescent="0.3">
      <c r="B29" s="289"/>
      <c r="C29" s="292" t="s">
        <v>23</v>
      </c>
      <c r="D29" s="293"/>
      <c r="E29" s="42">
        <f>SUM(E25:E28)</f>
        <v>2492.205232028</v>
      </c>
      <c r="F29" s="43">
        <f>SUM(F25:F28)</f>
        <v>0</v>
      </c>
      <c r="G29" s="43">
        <f t="shared" si="6"/>
        <v>2492.205232028</v>
      </c>
      <c r="H29" s="43">
        <f>SUM(H25:H28)</f>
        <v>956.69399999999985</v>
      </c>
      <c r="I29" s="43">
        <f t="shared" si="4"/>
        <v>1535.511232028</v>
      </c>
      <c r="J29" s="206">
        <f>H29/G29</f>
        <v>0.38387448501642957</v>
      </c>
    </row>
    <row r="30" spans="2:10" ht="12.75" thickBot="1" x14ac:dyDescent="0.3"/>
    <row r="31" spans="2:10" ht="12.75" thickBot="1" x14ac:dyDescent="0.3">
      <c r="B31" s="23" t="s">
        <v>24</v>
      </c>
      <c r="C31" s="22" t="s">
        <v>33</v>
      </c>
    </row>
    <row r="38" spans="1:8" ht="12.75" x14ac:dyDescent="0.25">
      <c r="A38" s="276" t="s">
        <v>34</v>
      </c>
      <c r="B38" s="277"/>
      <c r="C38" s="277"/>
      <c r="D38" s="277"/>
      <c r="E38" s="277"/>
      <c r="F38" s="277"/>
      <c r="G38" s="277"/>
      <c r="H38" s="278"/>
    </row>
    <row r="39" spans="1:8" ht="12.75" x14ac:dyDescent="0.25">
      <c r="A39" s="230"/>
      <c r="B39" s="230"/>
      <c r="C39" s="230"/>
      <c r="D39" s="230"/>
      <c r="E39" s="230"/>
      <c r="F39" s="230"/>
      <c r="G39" s="230"/>
      <c r="H39" s="230"/>
    </row>
    <row r="40" spans="1:8" ht="12.75" x14ac:dyDescent="0.25">
      <c r="A40" s="231" t="s">
        <v>2</v>
      </c>
      <c r="B40" s="231" t="s">
        <v>3</v>
      </c>
      <c r="C40" s="231" t="s">
        <v>4</v>
      </c>
      <c r="D40" s="231" t="s">
        <v>5</v>
      </c>
      <c r="E40" s="231" t="s">
        <v>6</v>
      </c>
      <c r="F40" s="231" t="s">
        <v>7</v>
      </c>
      <c r="G40" s="231" t="s">
        <v>8</v>
      </c>
      <c r="H40" s="231" t="s">
        <v>35</v>
      </c>
    </row>
    <row r="41" spans="1:8" ht="12.75" x14ac:dyDescent="0.25">
      <c r="A41" s="279" t="s">
        <v>28</v>
      </c>
      <c r="B41" s="232" t="s">
        <v>36</v>
      </c>
      <c r="C41" s="99">
        <v>5</v>
      </c>
      <c r="D41" s="233"/>
      <c r="E41" s="234">
        <f>C41+D41</f>
        <v>5</v>
      </c>
      <c r="F41" s="234"/>
      <c r="G41" s="234">
        <f>E41-F41</f>
        <v>5</v>
      </c>
      <c r="H41" s="235">
        <f>F41/E41</f>
        <v>0</v>
      </c>
    </row>
    <row r="42" spans="1:8" ht="12.75" x14ac:dyDescent="0.25">
      <c r="A42" s="279"/>
      <c r="B42" s="232" t="s">
        <v>37</v>
      </c>
      <c r="C42" s="99">
        <v>2</v>
      </c>
      <c r="D42" s="233"/>
      <c r="E42" s="234">
        <f t="shared" ref="E42:E45" si="7">C42+D42</f>
        <v>2</v>
      </c>
      <c r="F42" s="234"/>
      <c r="G42" s="234">
        <f t="shared" ref="G42:G45" si="8">E42-F42</f>
        <v>2</v>
      </c>
      <c r="H42" s="235">
        <f t="shared" ref="H42:H46" si="9">F42/E42</f>
        <v>0</v>
      </c>
    </row>
    <row r="43" spans="1:8" ht="12.75" x14ac:dyDescent="0.25">
      <c r="A43" s="279"/>
      <c r="B43" s="232" t="s">
        <v>38</v>
      </c>
      <c r="C43" s="99">
        <v>2</v>
      </c>
      <c r="D43" s="99"/>
      <c r="E43" s="234">
        <f t="shared" si="7"/>
        <v>2</v>
      </c>
      <c r="F43" s="234"/>
      <c r="G43" s="234">
        <f t="shared" si="8"/>
        <v>2</v>
      </c>
      <c r="H43" s="235">
        <f t="shared" si="9"/>
        <v>0</v>
      </c>
    </row>
    <row r="44" spans="1:8" ht="12.75" x14ac:dyDescent="0.25">
      <c r="A44" s="279"/>
      <c r="B44" s="232" t="s">
        <v>39</v>
      </c>
      <c r="C44" s="99">
        <v>4</v>
      </c>
      <c r="D44" s="99"/>
      <c r="E44" s="234">
        <f t="shared" ref="E44" si="10">C44+D44</f>
        <v>4</v>
      </c>
      <c r="F44" s="234"/>
      <c r="G44" s="234">
        <f t="shared" ref="G44" si="11">E44-F44</f>
        <v>4</v>
      </c>
      <c r="H44" s="235">
        <f t="shared" ref="H44" si="12">F44/E44</f>
        <v>0</v>
      </c>
    </row>
    <row r="45" spans="1:8" ht="12.75" x14ac:dyDescent="0.25">
      <c r="A45" s="279"/>
      <c r="B45" s="232" t="s">
        <v>40</v>
      </c>
      <c r="C45" s="99">
        <v>7</v>
      </c>
      <c r="D45" s="99"/>
      <c r="E45" s="234">
        <f t="shared" si="7"/>
        <v>7</v>
      </c>
      <c r="F45" s="234"/>
      <c r="G45" s="234">
        <f t="shared" si="8"/>
        <v>7</v>
      </c>
      <c r="H45" s="235">
        <f t="shared" si="9"/>
        <v>0</v>
      </c>
    </row>
    <row r="46" spans="1:8" ht="12.75" x14ac:dyDescent="0.25">
      <c r="A46" s="280" t="s">
        <v>23</v>
      </c>
      <c r="B46" s="281"/>
      <c r="C46" s="231">
        <f>SUM(C41:C45)</f>
        <v>20</v>
      </c>
      <c r="D46" s="231">
        <f>SUM(D41:D45)</f>
        <v>0</v>
      </c>
      <c r="E46" s="236">
        <f>SUM(E41:E45)</f>
        <v>20</v>
      </c>
      <c r="F46" s="231">
        <f>SUM(F41:F45)</f>
        <v>0</v>
      </c>
      <c r="G46" s="231">
        <f>SUM(G41:G45)</f>
        <v>20</v>
      </c>
      <c r="H46" s="237">
        <f t="shared" si="9"/>
        <v>0</v>
      </c>
    </row>
  </sheetData>
  <mergeCells count="16">
    <mergeCell ref="A38:H38"/>
    <mergeCell ref="A41:A45"/>
    <mergeCell ref="A46:B46"/>
    <mergeCell ref="B2:J2"/>
    <mergeCell ref="B3:J3"/>
    <mergeCell ref="B21:J21"/>
    <mergeCell ref="B22:J22"/>
    <mergeCell ref="B25:B29"/>
    <mergeCell ref="B6:B16"/>
    <mergeCell ref="C29:D29"/>
    <mergeCell ref="C6:C10"/>
    <mergeCell ref="C25:C28"/>
    <mergeCell ref="C16:D16"/>
    <mergeCell ref="C11:C13"/>
    <mergeCell ref="C14:D14"/>
    <mergeCell ref="C15:D15"/>
  </mergeCells>
  <pageMargins left="0.7" right="0.7" top="0.75" bottom="0.75" header="0.3" footer="0.3"/>
  <pageSetup paperSize="9" orientation="portrait" r:id="rId1"/>
  <ignoredErrors>
    <ignoredError sqref="G10 G13 G16 G2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Q30"/>
  <sheetViews>
    <sheetView showGridLines="0" topLeftCell="A6" zoomScale="120" zoomScaleNormal="120" workbookViewId="0">
      <selection activeCell="H26" sqref="H26"/>
    </sheetView>
  </sheetViews>
  <sheetFormatPr baseColWidth="10" defaultColWidth="11.42578125" defaultRowHeight="12" x14ac:dyDescent="0.25"/>
  <cols>
    <col min="1" max="1" width="11.42578125" style="3"/>
    <col min="2" max="2" width="20.28515625" style="3" bestFit="1" customWidth="1"/>
    <col min="3" max="3" width="14.28515625" style="3" customWidth="1"/>
    <col min="4" max="4" width="13.28515625" style="3" customWidth="1"/>
    <col min="5" max="5" width="19" style="3" customWidth="1"/>
    <col min="6" max="6" width="15.5703125" style="3" customWidth="1"/>
    <col min="7" max="7" width="18" style="3" customWidth="1"/>
    <col min="8" max="8" width="12.42578125" style="3" customWidth="1"/>
    <col min="9" max="9" width="10.5703125" style="3" bestFit="1" customWidth="1"/>
    <col min="10" max="10" width="12" style="3" bestFit="1" customWidth="1"/>
    <col min="11" max="11" width="11.140625" style="3" bestFit="1" customWidth="1"/>
    <col min="12" max="12" width="19" style="3" bestFit="1" customWidth="1"/>
    <col min="13" max="13" width="15.5703125" style="3" bestFit="1" customWidth="1"/>
    <col min="14" max="14" width="18" style="3" bestFit="1" customWidth="1"/>
    <col min="15" max="15" width="12.42578125" style="3" bestFit="1" customWidth="1"/>
    <col min="16" max="16" width="10.5703125" style="3" bestFit="1" customWidth="1"/>
    <col min="17" max="17" width="10.42578125" style="3" bestFit="1" customWidth="1"/>
    <col min="18" max="16384" width="11.42578125" style="3"/>
  </cols>
  <sheetData>
    <row r="2" spans="2:17" ht="19.5" customHeight="1" x14ac:dyDescent="0.25">
      <c r="B2" s="311" t="s">
        <v>41</v>
      </c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3"/>
    </row>
    <row r="3" spans="2:17" x14ac:dyDescent="0.25">
      <c r="B3" s="314">
        <f>'RESUMEN '!B3</f>
        <v>46324</v>
      </c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6"/>
    </row>
    <row r="4" spans="2:17" ht="12.75" thickBot="1" x14ac:dyDescent="0.3"/>
    <row r="5" spans="2:17" ht="12.75" thickBot="1" x14ac:dyDescent="0.3">
      <c r="B5" s="49" t="s">
        <v>42</v>
      </c>
      <c r="C5" s="50" t="s">
        <v>43</v>
      </c>
      <c r="D5" s="51" t="s">
        <v>44</v>
      </c>
      <c r="E5" s="52" t="s">
        <v>4</v>
      </c>
      <c r="F5" s="52" t="s">
        <v>5</v>
      </c>
      <c r="G5" s="52" t="s">
        <v>6</v>
      </c>
      <c r="H5" s="52" t="s">
        <v>7</v>
      </c>
      <c r="I5" s="52" t="s">
        <v>8</v>
      </c>
      <c r="J5" s="53" t="s">
        <v>9</v>
      </c>
      <c r="K5" s="52" t="s">
        <v>45</v>
      </c>
      <c r="L5" s="52" t="s">
        <v>4</v>
      </c>
      <c r="M5" s="52" t="s">
        <v>5</v>
      </c>
      <c r="N5" s="52" t="s">
        <v>6</v>
      </c>
      <c r="O5" s="52" t="s">
        <v>7</v>
      </c>
      <c r="P5" s="52" t="s">
        <v>8</v>
      </c>
      <c r="Q5" s="50" t="s">
        <v>35</v>
      </c>
    </row>
    <row r="6" spans="2:17" x14ac:dyDescent="0.25">
      <c r="B6" s="294" t="s">
        <v>46</v>
      </c>
      <c r="C6" s="294" t="s">
        <v>42</v>
      </c>
      <c r="D6" s="47" t="s">
        <v>47</v>
      </c>
      <c r="E6" s="28">
        <v>8</v>
      </c>
      <c r="F6" s="28"/>
      <c r="G6" s="28">
        <f>E6+F6</f>
        <v>8</v>
      </c>
      <c r="H6" s="28"/>
      <c r="I6" s="28">
        <f>G6-H6</f>
        <v>8</v>
      </c>
      <c r="J6" s="207">
        <f>H6/G6</f>
        <v>0</v>
      </c>
      <c r="K6" s="48" t="s">
        <v>48</v>
      </c>
      <c r="L6" s="310">
        <f>E6+E7</f>
        <v>9</v>
      </c>
      <c r="M6" s="310">
        <f>F6+F7</f>
        <v>0</v>
      </c>
      <c r="N6" s="310">
        <f>L6+M6</f>
        <v>9</v>
      </c>
      <c r="O6" s="310">
        <f>H6+H7</f>
        <v>0</v>
      </c>
      <c r="P6" s="310">
        <f>N6-O6</f>
        <v>9</v>
      </c>
      <c r="Q6" s="318">
        <f>O6/N6</f>
        <v>0</v>
      </c>
    </row>
    <row r="7" spans="2:17" ht="12.75" thickBot="1" x14ac:dyDescent="0.3">
      <c r="B7" s="296"/>
      <c r="C7" s="296"/>
      <c r="D7" s="46" t="s">
        <v>49</v>
      </c>
      <c r="E7" s="11">
        <v>1</v>
      </c>
      <c r="F7" s="11"/>
      <c r="G7" s="11">
        <f>E7+F7+I6</f>
        <v>9</v>
      </c>
      <c r="H7" s="11"/>
      <c r="I7" s="11">
        <f>G7-H7</f>
        <v>9</v>
      </c>
      <c r="J7" s="208">
        <f>H7/G7</f>
        <v>0</v>
      </c>
      <c r="K7" s="48" t="s">
        <v>48</v>
      </c>
      <c r="L7" s="309"/>
      <c r="M7" s="309"/>
      <c r="N7" s="309"/>
      <c r="O7" s="309"/>
      <c r="P7" s="309"/>
      <c r="Q7" s="307"/>
    </row>
    <row r="8" spans="2:17" x14ac:dyDescent="0.25">
      <c r="B8" s="294" t="s">
        <v>50</v>
      </c>
      <c r="C8" s="294" t="s">
        <v>51</v>
      </c>
      <c r="D8" s="46" t="s">
        <v>47</v>
      </c>
      <c r="E8" s="11">
        <v>106.31399999999999</v>
      </c>
      <c r="F8" s="11">
        <f>-59.079</f>
        <v>-59.079000000000001</v>
      </c>
      <c r="G8" s="11">
        <f t="shared" ref="G8" si="0">E8+F8</f>
        <v>47.234999999999992</v>
      </c>
      <c r="H8" s="11">
        <v>46.289000000000001</v>
      </c>
      <c r="I8" s="11">
        <f t="shared" ref="I8:I17" si="1">G8-H8</f>
        <v>0.94599999999999085</v>
      </c>
      <c r="J8" s="251">
        <f>H8/G8</f>
        <v>0.97997247803535537</v>
      </c>
      <c r="K8" s="256">
        <v>46119</v>
      </c>
      <c r="L8" s="308">
        <f t="shared" ref="L8" si="2">E8+E9</f>
        <v>118.15799999999999</v>
      </c>
      <c r="M8" s="308">
        <f t="shared" ref="M8" si="3">F8+F9</f>
        <v>-59.079000000000001</v>
      </c>
      <c r="N8" s="308">
        <f t="shared" ref="N8" si="4">L8+M8</f>
        <v>59.078999999999986</v>
      </c>
      <c r="O8" s="308">
        <f t="shared" ref="O8" si="5">H8+H9</f>
        <v>58.087000000000003</v>
      </c>
      <c r="P8" s="308">
        <f t="shared" ref="P8" si="6">N8-O8</f>
        <v>0.99199999999998312</v>
      </c>
      <c r="Q8" s="306">
        <f t="shared" ref="Q8" si="7">O8/N8</f>
        <v>0.98320892364461177</v>
      </c>
    </row>
    <row r="9" spans="2:17" ht="12.75" thickBot="1" x14ac:dyDescent="0.3">
      <c r="B9" s="295"/>
      <c r="C9" s="296"/>
      <c r="D9" s="46" t="s">
        <v>49</v>
      </c>
      <c r="E9" s="11">
        <v>11.843999999999999</v>
      </c>
      <c r="F9" s="11"/>
      <c r="G9" s="11">
        <f t="shared" ref="G9" si="8">E9+F9+I8</f>
        <v>12.78999999999999</v>
      </c>
      <c r="H9" s="11">
        <v>11.798</v>
      </c>
      <c r="I9" s="11">
        <f t="shared" si="1"/>
        <v>0.99199999999999022</v>
      </c>
      <c r="J9" s="251">
        <f t="shared" ref="J9:J17" si="9">H9/G9</f>
        <v>0.92243940578577088</v>
      </c>
      <c r="K9" s="256">
        <v>46300</v>
      </c>
      <c r="L9" s="309"/>
      <c r="M9" s="309"/>
      <c r="N9" s="309"/>
      <c r="O9" s="309"/>
      <c r="P9" s="309"/>
      <c r="Q9" s="307"/>
    </row>
    <row r="10" spans="2:17" x14ac:dyDescent="0.25">
      <c r="B10" s="295"/>
      <c r="C10" s="294" t="s">
        <v>52</v>
      </c>
      <c r="D10" s="46" t="s">
        <v>47</v>
      </c>
      <c r="E10" s="11">
        <v>99.150999999999996</v>
      </c>
      <c r="F10" s="11"/>
      <c r="G10" s="11">
        <f t="shared" ref="G10" si="10">E10+F10</f>
        <v>99.150999999999996</v>
      </c>
      <c r="H10" s="11">
        <v>78.17</v>
      </c>
      <c r="I10" s="11">
        <f t="shared" si="1"/>
        <v>20.980999999999995</v>
      </c>
      <c r="J10" s="208">
        <f t="shared" si="9"/>
        <v>0.78839346047947079</v>
      </c>
      <c r="K10" s="48" t="s">
        <v>48</v>
      </c>
      <c r="L10" s="308">
        <f t="shared" ref="L10" si="11">E10+E11</f>
        <v>110.197</v>
      </c>
      <c r="M10" s="308">
        <f t="shared" ref="M10" si="12">F10+F11</f>
        <v>0</v>
      </c>
      <c r="N10" s="308">
        <f t="shared" ref="N10" si="13">L10+M10</f>
        <v>110.197</v>
      </c>
      <c r="O10" s="308">
        <f t="shared" ref="O10" si="14">H10+H11</f>
        <v>78.17</v>
      </c>
      <c r="P10" s="308">
        <f t="shared" ref="P10" si="15">N10-O10</f>
        <v>32.027000000000001</v>
      </c>
      <c r="Q10" s="306">
        <f t="shared" ref="Q10" si="16">O10/N10</f>
        <v>0.70936595370109889</v>
      </c>
    </row>
    <row r="11" spans="2:17" ht="12.75" thickBot="1" x14ac:dyDescent="0.3">
      <c r="B11" s="295"/>
      <c r="C11" s="296"/>
      <c r="D11" s="46" t="s">
        <v>49</v>
      </c>
      <c r="E11" s="11">
        <v>11.045999999999999</v>
      </c>
      <c r="F11" s="11"/>
      <c r="G11" s="11">
        <f t="shared" ref="G11" si="17">E11+F11+I10</f>
        <v>32.026999999999994</v>
      </c>
      <c r="H11" s="11">
        <v>0</v>
      </c>
      <c r="I11" s="11">
        <f t="shared" si="1"/>
        <v>32.026999999999994</v>
      </c>
      <c r="J11" s="208">
        <f>H11/G11</f>
        <v>0</v>
      </c>
      <c r="K11" s="48" t="s">
        <v>48</v>
      </c>
      <c r="L11" s="309"/>
      <c r="M11" s="309"/>
      <c r="N11" s="309"/>
      <c r="O11" s="309"/>
      <c r="P11" s="309"/>
      <c r="Q11" s="307"/>
    </row>
    <row r="12" spans="2:17" x14ac:dyDescent="0.25">
      <c r="B12" s="295"/>
      <c r="C12" s="294" t="s">
        <v>53</v>
      </c>
      <c r="D12" s="46" t="s">
        <v>47</v>
      </c>
      <c r="E12" s="11">
        <v>76.531000000000006</v>
      </c>
      <c r="F12" s="11"/>
      <c r="G12" s="11">
        <f t="shared" ref="G12" si="18">E12+F12</f>
        <v>76.531000000000006</v>
      </c>
      <c r="H12" s="11">
        <v>73.274000000000001</v>
      </c>
      <c r="I12" s="11">
        <f t="shared" si="1"/>
        <v>3.257000000000005</v>
      </c>
      <c r="J12" s="208">
        <f t="shared" si="9"/>
        <v>0.95744208229344963</v>
      </c>
      <c r="K12" s="48" t="s">
        <v>48</v>
      </c>
      <c r="L12" s="308">
        <f t="shared" ref="L12" si="19">E12+E13</f>
        <v>85.057000000000002</v>
      </c>
      <c r="M12" s="308">
        <f t="shared" ref="M12" si="20">F12+F13</f>
        <v>0</v>
      </c>
      <c r="N12" s="308">
        <f t="shared" ref="N12" si="21">L12+M12</f>
        <v>85.057000000000002</v>
      </c>
      <c r="O12" s="308">
        <f t="shared" ref="O12" si="22">H12+H13</f>
        <v>84.01</v>
      </c>
      <c r="P12" s="308">
        <f t="shared" ref="P12" si="23">N12-O12</f>
        <v>1.046999999999997</v>
      </c>
      <c r="Q12" s="306">
        <f t="shared" ref="Q12" si="24">O12/N12</f>
        <v>0.98769060747498738</v>
      </c>
    </row>
    <row r="13" spans="2:17" ht="12.75" thickBot="1" x14ac:dyDescent="0.3">
      <c r="B13" s="295"/>
      <c r="C13" s="296"/>
      <c r="D13" s="46" t="s">
        <v>49</v>
      </c>
      <c r="E13" s="11">
        <v>8.5259999999999998</v>
      </c>
      <c r="F13" s="11"/>
      <c r="G13" s="11">
        <f t="shared" ref="G13" si="25">E13+F13+I12</f>
        <v>11.783000000000005</v>
      </c>
      <c r="H13" s="11">
        <v>10.736000000000001</v>
      </c>
      <c r="I13" s="11">
        <f t="shared" si="1"/>
        <v>1.0470000000000041</v>
      </c>
      <c r="J13" s="208">
        <f t="shared" si="9"/>
        <v>0.91114317236696907</v>
      </c>
      <c r="K13" s="48" t="s">
        <v>48</v>
      </c>
      <c r="L13" s="309"/>
      <c r="M13" s="309"/>
      <c r="N13" s="309"/>
      <c r="O13" s="309"/>
      <c r="P13" s="309"/>
      <c r="Q13" s="307"/>
    </row>
    <row r="14" spans="2:17" x14ac:dyDescent="0.25">
      <c r="B14" s="295"/>
      <c r="C14" s="294" t="s">
        <v>54</v>
      </c>
      <c r="D14" s="46" t="s">
        <v>47</v>
      </c>
      <c r="E14" s="11">
        <v>72.384</v>
      </c>
      <c r="F14" s="11">
        <v>-70</v>
      </c>
      <c r="G14" s="11">
        <f t="shared" ref="G14" si="26">E14+F14</f>
        <v>2.3840000000000003</v>
      </c>
      <c r="H14" s="11">
        <v>10.151999999999999</v>
      </c>
      <c r="I14" s="11">
        <f t="shared" si="1"/>
        <v>-7.7679999999999989</v>
      </c>
      <c r="J14" s="208">
        <f>H14/G14</f>
        <v>4.2583892617449655</v>
      </c>
      <c r="K14" s="256">
        <v>46122</v>
      </c>
      <c r="L14" s="308">
        <f t="shared" ref="L14" si="27">E14+E15</f>
        <v>80.448000000000008</v>
      </c>
      <c r="M14" s="308">
        <f t="shared" ref="M14" si="28">F14+F15</f>
        <v>-70</v>
      </c>
      <c r="N14" s="308">
        <f t="shared" ref="N14" si="29">L14+M14</f>
        <v>10.448000000000008</v>
      </c>
      <c r="O14" s="308">
        <f t="shared" ref="O14" si="30">H14+H15</f>
        <v>10.151999999999999</v>
      </c>
      <c r="P14" s="308">
        <f t="shared" ref="P14" si="31">N14-O14</f>
        <v>0.29600000000000826</v>
      </c>
      <c r="Q14" s="306">
        <f t="shared" ref="Q14" si="32">O14/N14</f>
        <v>0.97166921898927949</v>
      </c>
    </row>
    <row r="15" spans="2:17" ht="12.75" thickBot="1" x14ac:dyDescent="0.3">
      <c r="B15" s="295"/>
      <c r="C15" s="296"/>
      <c r="D15" s="46" t="s">
        <v>49</v>
      </c>
      <c r="E15" s="11">
        <v>8.0640000000000001</v>
      </c>
      <c r="F15" s="11"/>
      <c r="G15" s="11">
        <f t="shared" ref="G15" si="33">E15+F15+I14</f>
        <v>0.29600000000000115</v>
      </c>
      <c r="H15" s="11">
        <v>0</v>
      </c>
      <c r="I15" s="11">
        <f t="shared" si="1"/>
        <v>0.29600000000000115</v>
      </c>
      <c r="J15" s="208">
        <f t="shared" si="9"/>
        <v>0</v>
      </c>
      <c r="K15" s="59" t="s">
        <v>48</v>
      </c>
      <c r="L15" s="309"/>
      <c r="M15" s="309"/>
      <c r="N15" s="309"/>
      <c r="O15" s="309"/>
      <c r="P15" s="309"/>
      <c r="Q15" s="307"/>
    </row>
    <row r="16" spans="2:17" x14ac:dyDescent="0.25">
      <c r="B16" s="295"/>
      <c r="C16" s="294" t="s">
        <v>55</v>
      </c>
      <c r="D16" s="46" t="s">
        <v>47</v>
      </c>
      <c r="E16" s="11">
        <v>22.62</v>
      </c>
      <c r="F16" s="11"/>
      <c r="G16" s="11">
        <f t="shared" ref="G16" si="34">E16+F16</f>
        <v>22.62</v>
      </c>
      <c r="H16" s="11">
        <v>22.664000000000001</v>
      </c>
      <c r="I16" s="11">
        <f t="shared" si="1"/>
        <v>-4.4000000000000483E-2</v>
      </c>
      <c r="J16" s="208">
        <f t="shared" si="9"/>
        <v>1.001945181255526</v>
      </c>
      <c r="K16" s="256">
        <v>46150</v>
      </c>
      <c r="L16" s="308">
        <f t="shared" ref="L16" si="35">E16+E17</f>
        <v>25.14</v>
      </c>
      <c r="M16" s="308">
        <f t="shared" ref="M16" si="36">F16+F17</f>
        <v>0</v>
      </c>
      <c r="N16" s="308">
        <f t="shared" ref="N16" si="37">L16+M16</f>
        <v>25.14</v>
      </c>
      <c r="O16" s="308">
        <f t="shared" ref="O16" si="38">H16+H17</f>
        <v>22.664000000000001</v>
      </c>
      <c r="P16" s="308">
        <f t="shared" ref="P16" si="39">N16-O16</f>
        <v>2.4759999999999991</v>
      </c>
      <c r="Q16" s="306">
        <f t="shared" ref="Q16" si="40">O16/N16</f>
        <v>0.90151153540175022</v>
      </c>
    </row>
    <row r="17" spans="2:17" ht="12.75" thickBot="1" x14ac:dyDescent="0.3">
      <c r="B17" s="296"/>
      <c r="C17" s="296"/>
      <c r="D17" s="46" t="s">
        <v>49</v>
      </c>
      <c r="E17" s="11">
        <v>2.52</v>
      </c>
      <c r="F17" s="11"/>
      <c r="G17" s="11">
        <f t="shared" ref="G17" si="41">E17+F17+I16</f>
        <v>2.4759999999999995</v>
      </c>
      <c r="H17" s="11">
        <v>0</v>
      </c>
      <c r="I17" s="11">
        <f t="shared" si="1"/>
        <v>2.4759999999999995</v>
      </c>
      <c r="J17" s="208">
        <f t="shared" si="9"/>
        <v>0</v>
      </c>
      <c r="K17" s="24" t="s">
        <v>48</v>
      </c>
      <c r="L17" s="309"/>
      <c r="M17" s="309"/>
      <c r="N17" s="309"/>
      <c r="O17" s="309"/>
      <c r="P17" s="309"/>
      <c r="Q17" s="307"/>
    </row>
    <row r="18" spans="2:17" ht="12.75" thickBot="1" x14ac:dyDescent="0.3">
      <c r="B18" s="55" t="s">
        <v>14</v>
      </c>
      <c r="C18" s="54" t="s">
        <v>56</v>
      </c>
      <c r="D18" s="46" t="s">
        <v>57</v>
      </c>
      <c r="E18" s="11">
        <v>15</v>
      </c>
      <c r="F18" s="11"/>
      <c r="G18" s="11">
        <f>E18+F18</f>
        <v>15</v>
      </c>
      <c r="H18" s="11"/>
      <c r="I18" s="11">
        <f>G18-H18</f>
        <v>15</v>
      </c>
      <c r="J18" s="208">
        <f>H18/G18</f>
        <v>0</v>
      </c>
      <c r="K18" s="24" t="s">
        <v>48</v>
      </c>
      <c r="L18" s="60">
        <f>E18</f>
        <v>15</v>
      </c>
      <c r="M18" s="60">
        <f t="shared" ref="M18:Q18" si="42">F18</f>
        <v>0</v>
      </c>
      <c r="N18" s="60">
        <f t="shared" si="42"/>
        <v>15</v>
      </c>
      <c r="O18" s="60">
        <f t="shared" si="42"/>
        <v>0</v>
      </c>
      <c r="P18" s="60">
        <f t="shared" si="42"/>
        <v>15</v>
      </c>
      <c r="Q18" s="197">
        <f t="shared" si="42"/>
        <v>0</v>
      </c>
    </row>
    <row r="19" spans="2:17" ht="12.75" thickBot="1" x14ac:dyDescent="0.3">
      <c r="B19" s="298" t="s">
        <v>23</v>
      </c>
      <c r="C19" s="317"/>
      <c r="D19" s="45" t="s">
        <v>57</v>
      </c>
      <c r="E19" s="56">
        <f>SUM(E6:E18)</f>
        <v>443</v>
      </c>
      <c r="F19" s="56">
        <f>SUM(F6:F18)</f>
        <v>-129.07900000000001</v>
      </c>
      <c r="G19" s="56">
        <f>E19+F19</f>
        <v>313.92099999999999</v>
      </c>
      <c r="H19" s="56">
        <f>SUM(H6:H18)</f>
        <v>253.08299999999997</v>
      </c>
      <c r="I19" s="56">
        <f>G19-H19</f>
        <v>60.838000000000022</v>
      </c>
      <c r="J19" s="198">
        <f>H19/G19</f>
        <v>0.80619964895626595</v>
      </c>
      <c r="K19" s="57" t="s">
        <v>48</v>
      </c>
      <c r="L19" s="56">
        <f>SUM(L6:L18)</f>
        <v>443</v>
      </c>
      <c r="M19" s="56">
        <f>SUM(M6:M18)</f>
        <v>-129.07900000000001</v>
      </c>
      <c r="N19" s="56">
        <f>L19+M19</f>
        <v>313.92099999999999</v>
      </c>
      <c r="O19" s="56">
        <f>SUM(O6:O18)</f>
        <v>253.08299999999997</v>
      </c>
      <c r="P19" s="56">
        <f>N19-O19</f>
        <v>60.838000000000022</v>
      </c>
      <c r="Q19" s="198">
        <f>O19/N19</f>
        <v>0.80619964895626595</v>
      </c>
    </row>
    <row r="20" spans="2:17" x14ac:dyDescent="0.25">
      <c r="J20" s="3">
        <v>16.402000000000001</v>
      </c>
    </row>
    <row r="22" spans="2:17" ht="15.75" x14ac:dyDescent="0.25">
      <c r="D22" s="304" t="s">
        <v>58</v>
      </c>
      <c r="E22" s="304"/>
      <c r="F22" s="304"/>
      <c r="G22" s="304"/>
      <c r="H22" s="304"/>
      <c r="I22" s="304"/>
      <c r="J22" s="304"/>
    </row>
    <row r="23" spans="2:17" ht="15" x14ac:dyDescent="0.25">
      <c r="D23" s="252" t="s">
        <v>59</v>
      </c>
      <c r="E23" s="252" t="s">
        <v>60</v>
      </c>
      <c r="F23" s="252" t="s">
        <v>61</v>
      </c>
      <c r="G23" s="252" t="s">
        <v>62</v>
      </c>
      <c r="H23" s="252" t="s">
        <v>63</v>
      </c>
      <c r="I23" s="252" t="s">
        <v>64</v>
      </c>
      <c r="J23" s="252" t="s">
        <v>65</v>
      </c>
    </row>
    <row r="24" spans="2:17" ht="15" x14ac:dyDescent="0.25">
      <c r="D24" s="262">
        <v>541</v>
      </c>
      <c r="E24" s="253">
        <v>913399</v>
      </c>
      <c r="F24" s="253" t="s">
        <v>66</v>
      </c>
      <c r="G24" s="254">
        <v>70</v>
      </c>
      <c r="H24" s="254">
        <v>69.989000000000004</v>
      </c>
      <c r="I24" s="254">
        <f>G24-H24</f>
        <v>1.099999999999568E-2</v>
      </c>
      <c r="J24" s="255">
        <f>H24/G24</f>
        <v>0.99984285714285726</v>
      </c>
    </row>
    <row r="25" spans="2:17" ht="15" x14ac:dyDescent="0.25">
      <c r="D25" s="265">
        <v>1683</v>
      </c>
      <c r="E25" s="253">
        <v>913399</v>
      </c>
      <c r="F25" s="253" t="s">
        <v>66</v>
      </c>
      <c r="G25" s="254">
        <v>120</v>
      </c>
      <c r="H25" s="254">
        <v>96.11</v>
      </c>
      <c r="I25" s="254">
        <f>G25-H25</f>
        <v>23.89</v>
      </c>
      <c r="J25" s="255">
        <f>H25/G25</f>
        <v>0.80091666666666661</v>
      </c>
    </row>
    <row r="26" spans="2:17" ht="15" x14ac:dyDescent="0.25">
      <c r="D26" s="253"/>
      <c r="E26" s="253"/>
      <c r="F26" s="253"/>
      <c r="G26" s="254"/>
      <c r="H26" s="254"/>
      <c r="I26" s="254"/>
      <c r="J26" s="255"/>
    </row>
    <row r="27" spans="2:17" ht="15" x14ac:dyDescent="0.25">
      <c r="D27" s="305" t="s">
        <v>67</v>
      </c>
      <c r="E27" s="305"/>
      <c r="F27" s="305"/>
      <c r="G27" s="254">
        <f>SUM(G24:G26)</f>
        <v>190</v>
      </c>
      <c r="H27" s="254">
        <f>SUM(H24:H26)</f>
        <v>166.09899999999999</v>
      </c>
      <c r="I27" s="254">
        <f>G27-H27</f>
        <v>23.90100000000001</v>
      </c>
      <c r="J27" s="255">
        <f>H27/G27</f>
        <v>0.87420526315789471</v>
      </c>
    </row>
    <row r="30" spans="2:17" x14ac:dyDescent="0.25">
      <c r="H30" s="81"/>
    </row>
  </sheetData>
  <mergeCells count="49">
    <mergeCell ref="B2:Q2"/>
    <mergeCell ref="B3:Q3"/>
    <mergeCell ref="B19:C19"/>
    <mergeCell ref="C14:C15"/>
    <mergeCell ref="C16:C17"/>
    <mergeCell ref="B6:B7"/>
    <mergeCell ref="B8:B17"/>
    <mergeCell ref="C6:C7"/>
    <mergeCell ref="C8:C9"/>
    <mergeCell ref="C10:C11"/>
    <mergeCell ref="C12:C13"/>
    <mergeCell ref="Q6:Q7"/>
    <mergeCell ref="L8:L9"/>
    <mergeCell ref="M8:M9"/>
    <mergeCell ref="N8:N9"/>
    <mergeCell ref="O8:O9"/>
    <mergeCell ref="P8:P9"/>
    <mergeCell ref="Q8:Q9"/>
    <mergeCell ref="L6:L7"/>
    <mergeCell ref="M6:M7"/>
    <mergeCell ref="N6:N7"/>
    <mergeCell ref="O6:O7"/>
    <mergeCell ref="P6:P7"/>
    <mergeCell ref="Q10:Q11"/>
    <mergeCell ref="L12:L13"/>
    <mergeCell ref="M12:M13"/>
    <mergeCell ref="N12:N13"/>
    <mergeCell ref="O12:O13"/>
    <mergeCell ref="P12:P13"/>
    <mergeCell ref="Q12:Q13"/>
    <mergeCell ref="L10:L11"/>
    <mergeCell ref="M10:M11"/>
    <mergeCell ref="N10:N11"/>
    <mergeCell ref="O10:O11"/>
    <mergeCell ref="P10:P11"/>
    <mergeCell ref="D22:J22"/>
    <mergeCell ref="D27:F27"/>
    <mergeCell ref="Q14:Q15"/>
    <mergeCell ref="L16:L17"/>
    <mergeCell ref="M16:M17"/>
    <mergeCell ref="N16:N17"/>
    <mergeCell ref="O16:O17"/>
    <mergeCell ref="P16:P17"/>
    <mergeCell ref="Q16:Q17"/>
    <mergeCell ref="L14:L15"/>
    <mergeCell ref="M14:M15"/>
    <mergeCell ref="N14:N15"/>
    <mergeCell ref="O14:O15"/>
    <mergeCell ref="P14:P15"/>
  </mergeCells>
  <conditionalFormatting sqref="J6:J18">
    <cfRule type="cellIs" dxfId="6" priority="1" operator="greaterThan">
      <formula>95%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M124"/>
  <sheetViews>
    <sheetView showGridLines="0" zoomScaleNormal="100" workbookViewId="0">
      <selection activeCell="H31" activeCellId="2" sqref="H41 H37 H31"/>
    </sheetView>
  </sheetViews>
  <sheetFormatPr baseColWidth="10" defaultColWidth="11.42578125" defaultRowHeight="12" x14ac:dyDescent="0.25"/>
  <cols>
    <col min="1" max="1" width="11.42578125" style="3"/>
    <col min="2" max="2" width="20.85546875" style="3" bestFit="1" customWidth="1"/>
    <col min="3" max="3" width="33" style="3" bestFit="1" customWidth="1"/>
    <col min="4" max="4" width="13.140625" style="3" customWidth="1"/>
    <col min="5" max="5" width="19" style="3" customWidth="1"/>
    <col min="6" max="6" width="15.5703125" style="3" customWidth="1"/>
    <col min="7" max="7" width="18" style="3" customWidth="1"/>
    <col min="8" max="8" width="16.7109375" style="3" customWidth="1"/>
    <col min="9" max="9" width="10.5703125" style="3" bestFit="1" customWidth="1"/>
    <col min="10" max="10" width="12" style="3" bestFit="1" customWidth="1"/>
    <col min="11" max="11" width="19" style="3" bestFit="1" customWidth="1"/>
    <col min="12" max="12" width="15.5703125" style="3" bestFit="1" customWidth="1"/>
    <col min="13" max="13" width="18" style="3" bestFit="1" customWidth="1"/>
    <col min="14" max="14" width="18.7109375" style="3" customWidth="1"/>
    <col min="15" max="15" width="10.5703125" style="3" bestFit="1" customWidth="1"/>
    <col min="16" max="16" width="18" style="3" customWidth="1"/>
    <col min="17" max="16384" width="11.42578125" style="3"/>
  </cols>
  <sheetData>
    <row r="1" spans="2:16" ht="12.75" thickBot="1" x14ac:dyDescent="0.3"/>
    <row r="2" spans="2:16" x14ac:dyDescent="0.25">
      <c r="B2" s="325" t="s">
        <v>68</v>
      </c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7"/>
    </row>
    <row r="3" spans="2:16" ht="19.5" customHeight="1" thickBot="1" x14ac:dyDescent="0.3">
      <c r="B3" s="328">
        <f>'RESUMEN '!B3</f>
        <v>46324</v>
      </c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30"/>
    </row>
    <row r="4" spans="2:16" ht="12.75" thickBot="1" x14ac:dyDescent="0.3"/>
    <row r="5" spans="2:16" ht="12.75" thickBot="1" x14ac:dyDescent="0.3">
      <c r="B5" s="183" t="s">
        <v>1</v>
      </c>
      <c r="C5" s="181" t="s">
        <v>69</v>
      </c>
      <c r="D5" s="181" t="s">
        <v>44</v>
      </c>
      <c r="E5" s="179" t="s">
        <v>4</v>
      </c>
      <c r="F5" s="173" t="s">
        <v>5</v>
      </c>
      <c r="G5" s="173" t="s">
        <v>6</v>
      </c>
      <c r="H5" s="173" t="s">
        <v>7</v>
      </c>
      <c r="I5" s="173" t="s">
        <v>8</v>
      </c>
      <c r="J5" s="62" t="s">
        <v>9</v>
      </c>
      <c r="K5" s="173" t="s">
        <v>4</v>
      </c>
      <c r="L5" s="173" t="s">
        <v>5</v>
      </c>
      <c r="M5" s="173" t="s">
        <v>6</v>
      </c>
      <c r="N5" s="173" t="s">
        <v>7</v>
      </c>
      <c r="O5" s="173" t="s">
        <v>8</v>
      </c>
      <c r="P5" s="63" t="s">
        <v>35</v>
      </c>
    </row>
    <row r="6" spans="2:16" ht="12" customHeight="1" x14ac:dyDescent="0.25">
      <c r="B6" s="403" t="s">
        <v>70</v>
      </c>
      <c r="C6" s="332" t="s">
        <v>71</v>
      </c>
      <c r="D6" s="184" t="s">
        <v>47</v>
      </c>
      <c r="E6" s="33">
        <v>21.72559</v>
      </c>
      <c r="F6" s="64">
        <v>-9.7260000000000009</v>
      </c>
      <c r="G6" s="36">
        <f>E6+F6</f>
        <v>11.99959</v>
      </c>
      <c r="H6" s="64"/>
      <c r="I6" s="36">
        <f>G6-H6</f>
        <v>11.99959</v>
      </c>
      <c r="J6" s="209">
        <f>H6/G6</f>
        <v>0</v>
      </c>
      <c r="K6" s="322">
        <f>E6+E7</f>
        <v>23.93497</v>
      </c>
      <c r="L6" s="322">
        <f>F6+F7</f>
        <v>-9.7260000000000009</v>
      </c>
      <c r="M6" s="322">
        <f>K6+L6</f>
        <v>14.208969999999999</v>
      </c>
      <c r="N6" s="322">
        <f>H6+H7</f>
        <v>0</v>
      </c>
      <c r="O6" s="322">
        <f>M6-N6</f>
        <v>14.208969999999999</v>
      </c>
      <c r="P6" s="323">
        <f>N6/M6</f>
        <v>0</v>
      </c>
    </row>
    <row r="7" spans="2:16" ht="15" customHeight="1" x14ac:dyDescent="0.25">
      <c r="B7" s="404"/>
      <c r="C7" s="333"/>
      <c r="D7" s="82" t="s">
        <v>49</v>
      </c>
      <c r="E7" s="31">
        <v>2.2093799999999999</v>
      </c>
      <c r="F7" s="4"/>
      <c r="G7" s="11">
        <f>E7+F7+I6</f>
        <v>14.208969999999999</v>
      </c>
      <c r="H7" s="4"/>
      <c r="I7" s="11">
        <f>G7-H7</f>
        <v>14.208969999999999</v>
      </c>
      <c r="J7" s="208">
        <f>H7/G7</f>
        <v>0</v>
      </c>
      <c r="K7" s="320"/>
      <c r="L7" s="320"/>
      <c r="M7" s="320"/>
      <c r="N7" s="320"/>
      <c r="O7" s="320"/>
      <c r="P7" s="321"/>
    </row>
    <row r="8" spans="2:16" ht="15" customHeight="1" x14ac:dyDescent="0.25">
      <c r="B8" s="405"/>
      <c r="C8" s="324" t="s">
        <v>72</v>
      </c>
      <c r="D8" s="82" t="s">
        <v>47</v>
      </c>
      <c r="E8" s="217">
        <v>1.9160299999999999</v>
      </c>
      <c r="F8" s="4"/>
      <c r="G8" s="11">
        <f t="shared" ref="G8" si="0">E8+F8</f>
        <v>1.9160299999999999</v>
      </c>
      <c r="H8" s="4"/>
      <c r="I8" s="11">
        <f t="shared" ref="I8:I47" si="1">G8-H8</f>
        <v>1.9160299999999999</v>
      </c>
      <c r="J8" s="208">
        <f t="shared" ref="J8:J47" si="2">H8/G8</f>
        <v>0</v>
      </c>
      <c r="K8" s="320">
        <f t="shared" ref="K8" si="3">E8+E9</f>
        <v>2.1108799999999999</v>
      </c>
      <c r="L8" s="320">
        <f t="shared" ref="L8" si="4">F8+F9</f>
        <v>0</v>
      </c>
      <c r="M8" s="320">
        <f t="shared" ref="M8" si="5">K8+L8</f>
        <v>2.1108799999999999</v>
      </c>
      <c r="N8" s="320">
        <f t="shared" ref="N8" si="6">H8+H9</f>
        <v>0</v>
      </c>
      <c r="O8" s="320">
        <f t="shared" ref="O8" si="7">M8-N8</f>
        <v>2.1108799999999999</v>
      </c>
      <c r="P8" s="321">
        <f t="shared" ref="P8" si="8">N8/M8</f>
        <v>0</v>
      </c>
    </row>
    <row r="9" spans="2:16" ht="15" customHeight="1" x14ac:dyDescent="0.25">
      <c r="B9" s="405"/>
      <c r="C9" s="324"/>
      <c r="D9" s="82" t="s">
        <v>49</v>
      </c>
      <c r="E9" s="218">
        <v>0.19485</v>
      </c>
      <c r="F9" s="4"/>
      <c r="G9" s="11">
        <f t="shared" ref="G9" si="9">E9+F9+I8</f>
        <v>2.1108799999999999</v>
      </c>
      <c r="H9" s="4"/>
      <c r="I9" s="11">
        <f t="shared" si="1"/>
        <v>2.1108799999999999</v>
      </c>
      <c r="J9" s="208">
        <f t="shared" si="2"/>
        <v>0</v>
      </c>
      <c r="K9" s="320"/>
      <c r="L9" s="320"/>
      <c r="M9" s="320"/>
      <c r="N9" s="320"/>
      <c r="O9" s="320"/>
      <c r="P9" s="321"/>
    </row>
    <row r="10" spans="2:16" ht="15" customHeight="1" x14ac:dyDescent="0.25">
      <c r="B10" s="405"/>
      <c r="C10" s="324" t="s">
        <v>73</v>
      </c>
      <c r="D10" s="82" t="s">
        <v>47</v>
      </c>
      <c r="E10" s="218">
        <v>1.7700000000000001E-3</v>
      </c>
      <c r="F10" s="4"/>
      <c r="G10" s="11">
        <f t="shared" ref="G10" si="10">E10+F10</f>
        <v>1.7700000000000001E-3</v>
      </c>
      <c r="H10" s="4"/>
      <c r="I10" s="11">
        <f t="shared" si="1"/>
        <v>1.7700000000000001E-3</v>
      </c>
      <c r="J10" s="208">
        <f t="shared" si="2"/>
        <v>0</v>
      </c>
      <c r="K10" s="320">
        <f t="shared" ref="K10" si="11">E10+E11</f>
        <v>1.9500000000000001E-3</v>
      </c>
      <c r="L10" s="320">
        <f t="shared" ref="L10" si="12">F10+F11</f>
        <v>0</v>
      </c>
      <c r="M10" s="320">
        <f t="shared" ref="M10" si="13">K10+L10</f>
        <v>1.9500000000000001E-3</v>
      </c>
      <c r="N10" s="320">
        <f t="shared" ref="N10" si="14">H10+H11</f>
        <v>0</v>
      </c>
      <c r="O10" s="320">
        <f t="shared" ref="O10" si="15">M10-N10</f>
        <v>1.9500000000000001E-3</v>
      </c>
      <c r="P10" s="321">
        <f t="shared" ref="P10" si="16">N10/M10</f>
        <v>0</v>
      </c>
    </row>
    <row r="11" spans="2:16" ht="15" customHeight="1" x14ac:dyDescent="0.25">
      <c r="B11" s="405"/>
      <c r="C11" s="324"/>
      <c r="D11" s="82" t="s">
        <v>49</v>
      </c>
      <c r="E11" s="218">
        <v>1.8000000000000001E-4</v>
      </c>
      <c r="F11" s="4"/>
      <c r="G11" s="11">
        <f t="shared" ref="G11" si="17">E11+F11+I10</f>
        <v>1.9500000000000001E-3</v>
      </c>
      <c r="H11" s="4"/>
      <c r="I11" s="11">
        <f t="shared" si="1"/>
        <v>1.9500000000000001E-3</v>
      </c>
      <c r="J11" s="208">
        <f t="shared" si="2"/>
        <v>0</v>
      </c>
      <c r="K11" s="320"/>
      <c r="L11" s="320"/>
      <c r="M11" s="320"/>
      <c r="N11" s="320"/>
      <c r="O11" s="320"/>
      <c r="P11" s="321"/>
    </row>
    <row r="12" spans="2:16" ht="15" customHeight="1" x14ac:dyDescent="0.25">
      <c r="B12" s="405"/>
      <c r="C12" s="324" t="s">
        <v>74</v>
      </c>
      <c r="D12" s="82" t="s">
        <v>47</v>
      </c>
      <c r="E12" s="218">
        <v>22.592649999999999</v>
      </c>
      <c r="F12" s="11"/>
      <c r="G12" s="11">
        <f t="shared" ref="G12" si="18">E12+F12</f>
        <v>22.592649999999999</v>
      </c>
      <c r="H12" s="4"/>
      <c r="I12" s="11">
        <f t="shared" si="1"/>
        <v>22.592649999999999</v>
      </c>
      <c r="J12" s="208">
        <f t="shared" si="2"/>
        <v>0</v>
      </c>
      <c r="K12" s="320">
        <f t="shared" ref="K12" si="19">E12+E13</f>
        <v>24.89021</v>
      </c>
      <c r="L12" s="320">
        <f t="shared" ref="L12" si="20">F12+F13</f>
        <v>0</v>
      </c>
      <c r="M12" s="320">
        <f t="shared" ref="M12" si="21">K12+L12</f>
        <v>24.89021</v>
      </c>
      <c r="N12" s="320">
        <f t="shared" ref="N12" si="22">H12+H13</f>
        <v>0</v>
      </c>
      <c r="O12" s="320">
        <f t="shared" ref="O12" si="23">M12-N12</f>
        <v>24.89021</v>
      </c>
      <c r="P12" s="321">
        <f t="shared" ref="P12" si="24">N12/M12</f>
        <v>0</v>
      </c>
    </row>
    <row r="13" spans="2:16" ht="15" customHeight="1" x14ac:dyDescent="0.25">
      <c r="B13" s="405"/>
      <c r="C13" s="324"/>
      <c r="D13" s="82" t="s">
        <v>49</v>
      </c>
      <c r="E13" s="218">
        <v>2.2975599999999998</v>
      </c>
      <c r="F13" s="4"/>
      <c r="G13" s="11">
        <f t="shared" ref="G13" si="25">E13+F13+I12</f>
        <v>24.89021</v>
      </c>
      <c r="H13" s="4"/>
      <c r="I13" s="11">
        <f t="shared" si="1"/>
        <v>24.89021</v>
      </c>
      <c r="J13" s="208">
        <f t="shared" si="2"/>
        <v>0</v>
      </c>
      <c r="K13" s="320"/>
      <c r="L13" s="320"/>
      <c r="M13" s="320"/>
      <c r="N13" s="320"/>
      <c r="O13" s="320"/>
      <c r="P13" s="321"/>
    </row>
    <row r="14" spans="2:16" ht="15" customHeight="1" x14ac:dyDescent="0.25">
      <c r="B14" s="405"/>
      <c r="C14" s="324" t="s">
        <v>75</v>
      </c>
      <c r="D14" s="82" t="s">
        <v>47</v>
      </c>
      <c r="E14" s="218">
        <v>1.021E-2</v>
      </c>
      <c r="F14" s="4"/>
      <c r="G14" s="11">
        <f t="shared" ref="G14" si="26">E14+F14</f>
        <v>1.021E-2</v>
      </c>
      <c r="H14" s="4"/>
      <c r="I14" s="11">
        <f t="shared" si="1"/>
        <v>1.021E-2</v>
      </c>
      <c r="J14" s="208">
        <f t="shared" si="2"/>
        <v>0</v>
      </c>
      <c r="K14" s="320">
        <f t="shared" ref="K14" si="27">E14+E15</f>
        <v>1.125E-2</v>
      </c>
      <c r="L14" s="320">
        <f t="shared" ref="L14" si="28">F14+F15</f>
        <v>0</v>
      </c>
      <c r="M14" s="320">
        <f t="shared" ref="M14" si="29">K14+L14</f>
        <v>1.125E-2</v>
      </c>
      <c r="N14" s="320">
        <f t="shared" ref="N14" si="30">H14+H15</f>
        <v>0</v>
      </c>
      <c r="O14" s="320">
        <f t="shared" ref="O14" si="31">M14-N14</f>
        <v>1.125E-2</v>
      </c>
      <c r="P14" s="321">
        <f t="shared" ref="P14" si="32">N14/M14</f>
        <v>0</v>
      </c>
    </row>
    <row r="15" spans="2:16" ht="15" customHeight="1" x14ac:dyDescent="0.25">
      <c r="B15" s="405"/>
      <c r="C15" s="324"/>
      <c r="D15" s="82" t="s">
        <v>49</v>
      </c>
      <c r="E15" s="218">
        <v>1.0399999999999999E-3</v>
      </c>
      <c r="F15" s="4"/>
      <c r="G15" s="11">
        <f t="shared" ref="G15" si="33">E15+F15+I14</f>
        <v>1.125E-2</v>
      </c>
      <c r="H15" s="4"/>
      <c r="I15" s="11">
        <f t="shared" si="1"/>
        <v>1.125E-2</v>
      </c>
      <c r="J15" s="208">
        <f t="shared" si="2"/>
        <v>0</v>
      </c>
      <c r="K15" s="320"/>
      <c r="L15" s="320"/>
      <c r="M15" s="320"/>
      <c r="N15" s="320"/>
      <c r="O15" s="320"/>
      <c r="P15" s="321"/>
    </row>
    <row r="16" spans="2:16" ht="15" customHeight="1" x14ac:dyDescent="0.25">
      <c r="B16" s="405"/>
      <c r="C16" s="324" t="s">
        <v>76</v>
      </c>
      <c r="D16" s="82" t="s">
        <v>47</v>
      </c>
      <c r="E16" s="218">
        <v>6.24411</v>
      </c>
      <c r="F16" s="4"/>
      <c r="G16" s="11">
        <f t="shared" ref="G16" si="34">E16+F16</f>
        <v>6.24411</v>
      </c>
      <c r="H16" s="4"/>
      <c r="I16" s="11">
        <f t="shared" si="1"/>
        <v>6.24411</v>
      </c>
      <c r="J16" s="208">
        <f t="shared" si="2"/>
        <v>0</v>
      </c>
      <c r="K16" s="320">
        <f t="shared" ref="K16" si="35">E16+E17</f>
        <v>6.8791000000000002</v>
      </c>
      <c r="L16" s="320">
        <f t="shared" ref="L16" si="36">F16+F17</f>
        <v>0</v>
      </c>
      <c r="M16" s="320">
        <f t="shared" ref="M16" si="37">K16+L16</f>
        <v>6.8791000000000002</v>
      </c>
      <c r="N16" s="320">
        <f t="shared" ref="N16" si="38">H16+H17</f>
        <v>0</v>
      </c>
      <c r="O16" s="320">
        <f t="shared" ref="O16" si="39">M16-N16</f>
        <v>6.8791000000000002</v>
      </c>
      <c r="P16" s="321">
        <f t="shared" ref="P16" si="40">N16/M16</f>
        <v>0</v>
      </c>
    </row>
    <row r="17" spans="2:16" ht="15" customHeight="1" x14ac:dyDescent="0.25">
      <c r="B17" s="405"/>
      <c r="C17" s="324"/>
      <c r="D17" s="82" t="s">
        <v>49</v>
      </c>
      <c r="E17" s="219">
        <v>0.63499000000000005</v>
      </c>
      <c r="F17" s="4"/>
      <c r="G17" s="11">
        <f t="shared" ref="G17" si="41">E17+F17+I16</f>
        <v>6.8791000000000002</v>
      </c>
      <c r="H17" s="4"/>
      <c r="I17" s="11">
        <f t="shared" si="1"/>
        <v>6.8791000000000002</v>
      </c>
      <c r="J17" s="208">
        <f t="shared" si="2"/>
        <v>0</v>
      </c>
      <c r="K17" s="320"/>
      <c r="L17" s="320"/>
      <c r="M17" s="320"/>
      <c r="N17" s="320"/>
      <c r="O17" s="320"/>
      <c r="P17" s="321"/>
    </row>
    <row r="18" spans="2:16" ht="15" customHeight="1" x14ac:dyDescent="0.25">
      <c r="B18" s="405"/>
      <c r="C18" s="324" t="s">
        <v>77</v>
      </c>
      <c r="D18" s="82" t="s">
        <v>47</v>
      </c>
      <c r="E18" s="219">
        <v>5.9100000000000003E-3</v>
      </c>
      <c r="F18" s="4"/>
      <c r="G18" s="11">
        <f t="shared" ref="G18" si="42">E18+F18</f>
        <v>5.9100000000000003E-3</v>
      </c>
      <c r="H18" s="4"/>
      <c r="I18" s="11">
        <f t="shared" si="1"/>
        <v>5.9100000000000003E-3</v>
      </c>
      <c r="J18" s="208">
        <f t="shared" si="2"/>
        <v>0</v>
      </c>
      <c r="K18" s="320">
        <f t="shared" ref="K18" si="43">E18+E19</f>
        <v>6.5100000000000002E-3</v>
      </c>
      <c r="L18" s="320">
        <f t="shared" ref="L18" si="44">F18+F19</f>
        <v>0</v>
      </c>
      <c r="M18" s="320">
        <f t="shared" ref="M18" si="45">K18+L18</f>
        <v>6.5100000000000002E-3</v>
      </c>
      <c r="N18" s="320">
        <f t="shared" ref="N18" si="46">H18+H19</f>
        <v>0</v>
      </c>
      <c r="O18" s="320">
        <f t="shared" ref="O18" si="47">M18-N18</f>
        <v>6.5100000000000002E-3</v>
      </c>
      <c r="P18" s="321">
        <f t="shared" ref="P18" si="48">N18/M18</f>
        <v>0</v>
      </c>
    </row>
    <row r="19" spans="2:16" ht="15" customHeight="1" x14ac:dyDescent="0.25">
      <c r="B19" s="405"/>
      <c r="C19" s="324"/>
      <c r="D19" s="82" t="s">
        <v>49</v>
      </c>
      <c r="E19" s="219">
        <v>5.9999999999999995E-4</v>
      </c>
      <c r="F19" s="4"/>
      <c r="G19" s="11">
        <f t="shared" ref="G19" si="49">E19+F19+I18</f>
        <v>6.5100000000000002E-3</v>
      </c>
      <c r="H19" s="4"/>
      <c r="I19" s="11">
        <f t="shared" si="1"/>
        <v>6.5100000000000002E-3</v>
      </c>
      <c r="J19" s="208">
        <f t="shared" si="2"/>
        <v>0</v>
      </c>
      <c r="K19" s="320"/>
      <c r="L19" s="320"/>
      <c r="M19" s="320"/>
      <c r="N19" s="320"/>
      <c r="O19" s="320"/>
      <c r="P19" s="321"/>
    </row>
    <row r="20" spans="2:16" ht="15" customHeight="1" x14ac:dyDescent="0.25">
      <c r="B20" s="405"/>
      <c r="C20" s="324" t="s">
        <v>78</v>
      </c>
      <c r="D20" s="82" t="s">
        <v>47</v>
      </c>
      <c r="E20" s="219">
        <v>1.1900000000000001E-3</v>
      </c>
      <c r="F20" s="4"/>
      <c r="G20" s="11">
        <f t="shared" ref="G20" si="50">E20+F20</f>
        <v>1.1900000000000001E-3</v>
      </c>
      <c r="H20" s="4"/>
      <c r="I20" s="11">
        <f t="shared" si="1"/>
        <v>1.1900000000000001E-3</v>
      </c>
      <c r="J20" s="208">
        <f t="shared" si="2"/>
        <v>0</v>
      </c>
      <c r="K20" s="320">
        <f t="shared" ref="K20" si="51">E20+E21</f>
        <v>1.3100000000000002E-3</v>
      </c>
      <c r="L20" s="320">
        <f t="shared" ref="L20" si="52">F20+F21</f>
        <v>0</v>
      </c>
      <c r="M20" s="320">
        <f t="shared" ref="M20" si="53">K20+L20</f>
        <v>1.3100000000000002E-3</v>
      </c>
      <c r="N20" s="320">
        <f t="shared" ref="N20" si="54">H20+H21</f>
        <v>0</v>
      </c>
      <c r="O20" s="320">
        <f t="shared" ref="O20" si="55">M20-N20</f>
        <v>1.3100000000000002E-3</v>
      </c>
      <c r="P20" s="321">
        <f t="shared" ref="P20" si="56">N20/M20</f>
        <v>0</v>
      </c>
    </row>
    <row r="21" spans="2:16" ht="15" customHeight="1" x14ac:dyDescent="0.25">
      <c r="B21" s="405"/>
      <c r="C21" s="324"/>
      <c r="D21" s="82" t="s">
        <v>49</v>
      </c>
      <c r="E21" s="219">
        <v>1.2E-4</v>
      </c>
      <c r="F21" s="4"/>
      <c r="G21" s="11">
        <f t="shared" ref="G21" si="57">E21+F21+I20</f>
        <v>1.3100000000000002E-3</v>
      </c>
      <c r="H21" s="4"/>
      <c r="I21" s="11">
        <f t="shared" si="1"/>
        <v>1.3100000000000002E-3</v>
      </c>
      <c r="J21" s="208">
        <f t="shared" si="2"/>
        <v>0</v>
      </c>
      <c r="K21" s="320"/>
      <c r="L21" s="320"/>
      <c r="M21" s="320"/>
      <c r="N21" s="320"/>
      <c r="O21" s="320"/>
      <c r="P21" s="321"/>
    </row>
    <row r="22" spans="2:16" ht="15" customHeight="1" x14ac:dyDescent="0.25">
      <c r="B22" s="405"/>
      <c r="C22" s="324" t="s">
        <v>79</v>
      </c>
      <c r="D22" s="82" t="s">
        <v>47</v>
      </c>
      <c r="E22" s="219">
        <v>4.4391999999999996</v>
      </c>
      <c r="F22" s="4"/>
      <c r="G22" s="11">
        <f t="shared" ref="G22" si="58">E22+F22</f>
        <v>4.4391999999999996</v>
      </c>
      <c r="H22" s="4"/>
      <c r="I22" s="11">
        <f t="shared" si="1"/>
        <v>4.4391999999999996</v>
      </c>
      <c r="J22" s="208">
        <f t="shared" si="2"/>
        <v>0</v>
      </c>
      <c r="K22" s="320">
        <f t="shared" ref="K22" si="59">E22+E23</f>
        <v>4.8906399999999994</v>
      </c>
      <c r="L22" s="320">
        <f t="shared" ref="L22" si="60">F22+F23</f>
        <v>0</v>
      </c>
      <c r="M22" s="320">
        <f t="shared" ref="M22" si="61">K22+L22</f>
        <v>4.8906399999999994</v>
      </c>
      <c r="N22" s="320">
        <f t="shared" ref="N22" si="62">H22+H23</f>
        <v>0</v>
      </c>
      <c r="O22" s="320">
        <f t="shared" ref="O22" si="63">M22-N22</f>
        <v>4.8906399999999994</v>
      </c>
      <c r="P22" s="321">
        <f t="shared" ref="P22" si="64">N22/M22</f>
        <v>0</v>
      </c>
    </row>
    <row r="23" spans="2:16" ht="15" customHeight="1" x14ac:dyDescent="0.25">
      <c r="B23" s="405"/>
      <c r="C23" s="324"/>
      <c r="D23" s="82" t="s">
        <v>49</v>
      </c>
      <c r="E23" s="219">
        <v>0.45144000000000001</v>
      </c>
      <c r="F23" s="4"/>
      <c r="G23" s="11">
        <f t="shared" ref="G23" si="65">E23+F23+I22</f>
        <v>4.8906399999999994</v>
      </c>
      <c r="H23" s="4"/>
      <c r="I23" s="11">
        <f t="shared" si="1"/>
        <v>4.8906399999999994</v>
      </c>
      <c r="J23" s="208">
        <f t="shared" si="2"/>
        <v>0</v>
      </c>
      <c r="K23" s="320"/>
      <c r="L23" s="320"/>
      <c r="M23" s="320"/>
      <c r="N23" s="320"/>
      <c r="O23" s="320"/>
      <c r="P23" s="321"/>
    </row>
    <row r="24" spans="2:16" ht="15" customHeight="1" x14ac:dyDescent="0.25">
      <c r="B24" s="405"/>
      <c r="C24" s="324" t="s">
        <v>80</v>
      </c>
      <c r="D24" s="82" t="s">
        <v>47</v>
      </c>
      <c r="E24" s="219">
        <v>2.3599999999999999E-2</v>
      </c>
      <c r="F24" s="4"/>
      <c r="G24" s="11">
        <f t="shared" ref="G24" si="66">E24+F24</f>
        <v>2.3599999999999999E-2</v>
      </c>
      <c r="H24" s="4"/>
      <c r="I24" s="11">
        <f t="shared" ref="I24:I25" si="67">G24-H24</f>
        <v>2.3599999999999999E-2</v>
      </c>
      <c r="J24" s="208">
        <f t="shared" ref="J24:J25" si="68">H24/G24</f>
        <v>0</v>
      </c>
      <c r="K24" s="320">
        <f t="shared" ref="K24" si="69">E24+E25</f>
        <v>2.5999999999999999E-2</v>
      </c>
      <c r="L24" s="320">
        <f t="shared" ref="L24" si="70">F24+F25</f>
        <v>0</v>
      </c>
      <c r="M24" s="320">
        <f t="shared" ref="M24" si="71">K24+L24</f>
        <v>2.5999999999999999E-2</v>
      </c>
      <c r="N24" s="320">
        <f t="shared" ref="N24" si="72">H24+H25</f>
        <v>0</v>
      </c>
      <c r="O24" s="320">
        <f t="shared" ref="O24" si="73">M24-N24</f>
        <v>2.5999999999999999E-2</v>
      </c>
      <c r="P24" s="321">
        <f>N24/M24</f>
        <v>0</v>
      </c>
    </row>
    <row r="25" spans="2:16" ht="15" customHeight="1" x14ac:dyDescent="0.25">
      <c r="B25" s="405"/>
      <c r="C25" s="324"/>
      <c r="D25" s="82" t="s">
        <v>49</v>
      </c>
      <c r="E25" s="219">
        <v>2.3999999999999998E-3</v>
      </c>
      <c r="F25" s="4"/>
      <c r="G25" s="11">
        <f t="shared" ref="G25" si="74">E25+F25+I24</f>
        <v>2.5999999999999999E-2</v>
      </c>
      <c r="H25" s="4"/>
      <c r="I25" s="11">
        <f t="shared" si="67"/>
        <v>2.5999999999999999E-2</v>
      </c>
      <c r="J25" s="208">
        <f t="shared" si="68"/>
        <v>0</v>
      </c>
      <c r="K25" s="320"/>
      <c r="L25" s="320"/>
      <c r="M25" s="320"/>
      <c r="N25" s="320"/>
      <c r="O25" s="320"/>
      <c r="P25" s="321"/>
    </row>
    <row r="26" spans="2:16" ht="15" customHeight="1" x14ac:dyDescent="0.25">
      <c r="B26" s="405"/>
      <c r="C26" s="324" t="s">
        <v>81</v>
      </c>
      <c r="D26" s="82" t="s">
        <v>47</v>
      </c>
      <c r="E26" s="218">
        <v>2.4199999999999999E-2</v>
      </c>
      <c r="F26" s="4"/>
      <c r="G26" s="11">
        <f t="shared" ref="G26" si="75">E26+F26</f>
        <v>2.4199999999999999E-2</v>
      </c>
      <c r="H26" s="4"/>
      <c r="I26" s="11">
        <f t="shared" si="1"/>
        <v>2.4199999999999999E-2</v>
      </c>
      <c r="J26" s="208">
        <f t="shared" si="2"/>
        <v>0</v>
      </c>
      <c r="K26" s="320">
        <f>E26+E27</f>
        <v>2.666E-2</v>
      </c>
      <c r="L26" s="320">
        <f>F26+F27</f>
        <v>0</v>
      </c>
      <c r="M26" s="320">
        <f t="shared" ref="M26" si="76">K26+L26</f>
        <v>2.666E-2</v>
      </c>
      <c r="N26" s="320">
        <f>H26+H27</f>
        <v>0</v>
      </c>
      <c r="O26" s="320">
        <f t="shared" ref="O26" si="77">M26-N26</f>
        <v>2.666E-2</v>
      </c>
      <c r="P26" s="321">
        <f t="shared" ref="P26" si="78">N26/M26</f>
        <v>0</v>
      </c>
    </row>
    <row r="27" spans="2:16" ht="15.75" customHeight="1" x14ac:dyDescent="0.25">
      <c r="B27" s="405"/>
      <c r="C27" s="324"/>
      <c r="D27" s="82" t="s">
        <v>49</v>
      </c>
      <c r="E27" s="218">
        <v>2.4599999999999999E-3</v>
      </c>
      <c r="F27" s="4"/>
      <c r="G27" s="11">
        <f>E27+F27+I26</f>
        <v>2.666E-2</v>
      </c>
      <c r="H27" s="4"/>
      <c r="I27" s="11">
        <f t="shared" si="1"/>
        <v>2.666E-2</v>
      </c>
      <c r="J27" s="208">
        <f t="shared" si="2"/>
        <v>0</v>
      </c>
      <c r="K27" s="320"/>
      <c r="L27" s="320"/>
      <c r="M27" s="320"/>
      <c r="N27" s="320"/>
      <c r="O27" s="320"/>
      <c r="P27" s="321"/>
    </row>
    <row r="28" spans="2:16" ht="15" customHeight="1" x14ac:dyDescent="0.25">
      <c r="B28" s="405"/>
      <c r="C28" s="333" t="s">
        <v>82</v>
      </c>
      <c r="D28" s="82" t="s">
        <v>47</v>
      </c>
      <c r="E28" s="219">
        <v>2.0155599999999998</v>
      </c>
      <c r="F28" s="4"/>
      <c r="G28" s="11">
        <f t="shared" ref="G28" si="79">E28+F28</f>
        <v>2.0155599999999998</v>
      </c>
      <c r="H28" s="4"/>
      <c r="I28" s="11">
        <f t="shared" ref="I28:I29" si="80">G28-H28</f>
        <v>2.0155599999999998</v>
      </c>
      <c r="J28" s="208">
        <f t="shared" ref="J28:J29" si="81">H28/G28</f>
        <v>0</v>
      </c>
      <c r="K28" s="320">
        <f>E28+E29</f>
        <v>2.2205299999999997</v>
      </c>
      <c r="L28" s="320">
        <f>F28+F29</f>
        <v>0</v>
      </c>
      <c r="M28" s="320">
        <f t="shared" ref="M28" si="82">K28+L28</f>
        <v>2.2205299999999997</v>
      </c>
      <c r="N28" s="320">
        <f>H28+H29</f>
        <v>0</v>
      </c>
      <c r="O28" s="320">
        <f t="shared" ref="O28" si="83">M28-N28</f>
        <v>2.2205299999999997</v>
      </c>
      <c r="P28" s="321">
        <f t="shared" ref="P28" si="84">N28/M28</f>
        <v>0</v>
      </c>
    </row>
    <row r="29" spans="2:16" ht="15.75" customHeight="1" thickBot="1" x14ac:dyDescent="0.3">
      <c r="B29" s="406"/>
      <c r="C29" s="398"/>
      <c r="D29" s="83" t="s">
        <v>49</v>
      </c>
      <c r="E29" s="219">
        <v>0.20497000000000001</v>
      </c>
      <c r="F29" s="182"/>
      <c r="G29" s="11">
        <f>E29+F29+I28</f>
        <v>2.2205299999999997</v>
      </c>
      <c r="H29" s="4"/>
      <c r="I29" s="11">
        <f t="shared" si="80"/>
        <v>2.2205299999999997</v>
      </c>
      <c r="J29" s="208">
        <f t="shared" si="81"/>
        <v>0</v>
      </c>
      <c r="K29" s="320"/>
      <c r="L29" s="320"/>
      <c r="M29" s="320"/>
      <c r="N29" s="320"/>
      <c r="O29" s="320"/>
      <c r="P29" s="321"/>
    </row>
    <row r="30" spans="2:16" ht="12" customHeight="1" x14ac:dyDescent="0.25">
      <c r="B30" s="407" t="s">
        <v>83</v>
      </c>
      <c r="C30" s="331" t="s">
        <v>71</v>
      </c>
      <c r="D30" s="65" t="s">
        <v>47</v>
      </c>
      <c r="E30" s="33">
        <v>244.50492</v>
      </c>
      <c r="F30" s="67">
        <v>-110.274</v>
      </c>
      <c r="G30" s="36">
        <f t="shared" ref="G30" si="85">E30+F30</f>
        <v>134.23092</v>
      </c>
      <c r="H30" s="64">
        <v>141.672</v>
      </c>
      <c r="I30" s="36">
        <f>G30-H30</f>
        <v>-7.4410799999999995</v>
      </c>
      <c r="J30" s="264">
        <f>H30/G30</f>
        <v>1.0554349176776856</v>
      </c>
      <c r="K30" s="322">
        <f t="shared" ref="K30" si="86">E30+E31</f>
        <v>271.38573000000002</v>
      </c>
      <c r="L30" s="322">
        <f t="shared" ref="L30" si="87">F30+F31</f>
        <v>-110.274</v>
      </c>
      <c r="M30" s="322">
        <f t="shared" ref="M30" si="88">K30+L30</f>
        <v>161.11173000000002</v>
      </c>
      <c r="N30" s="322">
        <f>H30+H31</f>
        <v>147.78100000000001</v>
      </c>
      <c r="O30" s="322">
        <f t="shared" ref="O30" si="89">M30-N30</f>
        <v>13.330730000000017</v>
      </c>
      <c r="P30" s="323">
        <f t="shared" ref="P30" si="90">N30/M30</f>
        <v>0.9172578557749953</v>
      </c>
    </row>
    <row r="31" spans="2:16" x14ac:dyDescent="0.25">
      <c r="B31" s="408"/>
      <c r="C31" s="319"/>
      <c r="D31" s="80" t="s">
        <v>49</v>
      </c>
      <c r="E31" s="32">
        <v>26.88081</v>
      </c>
      <c r="F31" s="4"/>
      <c r="G31" s="11">
        <f t="shared" ref="G31" si="91">E31+F31+I30</f>
        <v>19.439730000000001</v>
      </c>
      <c r="H31" s="4">
        <v>6.109</v>
      </c>
      <c r="I31" s="11">
        <f>G31-H31</f>
        <v>13.330730000000001</v>
      </c>
      <c r="J31" s="208">
        <f>H31/G31</f>
        <v>0.31425333582307985</v>
      </c>
      <c r="K31" s="320"/>
      <c r="L31" s="320"/>
      <c r="M31" s="320"/>
      <c r="N31" s="320"/>
      <c r="O31" s="320"/>
      <c r="P31" s="321"/>
    </row>
    <row r="32" spans="2:16" ht="12.75" x14ac:dyDescent="0.25">
      <c r="B32" s="408"/>
      <c r="C32" s="319" t="s">
        <v>72</v>
      </c>
      <c r="D32" s="80" t="s">
        <v>47</v>
      </c>
      <c r="E32" s="218">
        <v>25.846260000000001</v>
      </c>
      <c r="F32" s="61"/>
      <c r="G32" s="11">
        <f t="shared" ref="G32" si="92">E32+F32</f>
        <v>25.846260000000001</v>
      </c>
      <c r="H32" s="4"/>
      <c r="I32" s="11">
        <f t="shared" si="1"/>
        <v>25.846260000000001</v>
      </c>
      <c r="J32" s="208">
        <f t="shared" si="2"/>
        <v>0</v>
      </c>
      <c r="K32" s="320">
        <f t="shared" ref="K32" si="93">E32+E33</f>
        <v>28.68779</v>
      </c>
      <c r="L32" s="320">
        <f t="shared" ref="L32" si="94">F32+F33</f>
        <v>0</v>
      </c>
      <c r="M32" s="320">
        <f t="shared" ref="M32" si="95">K32+L32</f>
        <v>28.68779</v>
      </c>
      <c r="N32" s="320">
        <f t="shared" ref="N32" si="96">H32+H33</f>
        <v>0</v>
      </c>
      <c r="O32" s="320">
        <f t="shared" ref="O32" si="97">M32-N32</f>
        <v>28.68779</v>
      </c>
      <c r="P32" s="321">
        <f t="shared" ref="P32" si="98">N32/M32</f>
        <v>0</v>
      </c>
    </row>
    <row r="33" spans="2:16" ht="12.75" x14ac:dyDescent="0.25">
      <c r="B33" s="408"/>
      <c r="C33" s="319"/>
      <c r="D33" s="80" t="s">
        <v>49</v>
      </c>
      <c r="E33" s="218">
        <v>2.8415300000000001</v>
      </c>
      <c r="F33" s="61"/>
      <c r="G33" s="11">
        <f t="shared" ref="G33" si="99">E33+F33+I32</f>
        <v>28.68779</v>
      </c>
      <c r="H33" s="4"/>
      <c r="I33" s="11">
        <f t="shared" si="1"/>
        <v>28.68779</v>
      </c>
      <c r="J33" s="208">
        <f t="shared" si="2"/>
        <v>0</v>
      </c>
      <c r="K33" s="320"/>
      <c r="L33" s="320"/>
      <c r="M33" s="320"/>
      <c r="N33" s="320"/>
      <c r="O33" s="320"/>
      <c r="P33" s="321"/>
    </row>
    <row r="34" spans="2:16" ht="12.75" x14ac:dyDescent="0.25">
      <c r="B34" s="408"/>
      <c r="C34" s="319" t="s">
        <v>73</v>
      </c>
      <c r="D34" s="80" t="s">
        <v>47</v>
      </c>
      <c r="E34" s="218">
        <v>1.992E-2</v>
      </c>
      <c r="F34" s="61"/>
      <c r="G34" s="11">
        <f t="shared" ref="G34" si="100">E34+F34</f>
        <v>1.992E-2</v>
      </c>
      <c r="H34" s="4"/>
      <c r="I34" s="11">
        <f t="shared" si="1"/>
        <v>1.992E-2</v>
      </c>
      <c r="J34" s="208">
        <f t="shared" si="2"/>
        <v>0</v>
      </c>
      <c r="K34" s="320">
        <f t="shared" ref="K34" si="101">E34+E35</f>
        <v>2.2110000000000001E-2</v>
      </c>
      <c r="L34" s="320">
        <f t="shared" ref="L34" si="102">F34+F35</f>
        <v>0</v>
      </c>
      <c r="M34" s="320">
        <f t="shared" ref="M34" si="103">K34+L34</f>
        <v>2.2110000000000001E-2</v>
      </c>
      <c r="N34" s="320">
        <f t="shared" ref="N34" si="104">H34+H35</f>
        <v>0</v>
      </c>
      <c r="O34" s="320">
        <f t="shared" ref="O34" si="105">M34-N34</f>
        <v>2.2110000000000001E-2</v>
      </c>
      <c r="P34" s="321">
        <f t="shared" ref="P34" si="106">N34/M34</f>
        <v>0</v>
      </c>
    </row>
    <row r="35" spans="2:16" ht="12.75" x14ac:dyDescent="0.25">
      <c r="B35" s="408"/>
      <c r="C35" s="319"/>
      <c r="D35" s="80" t="s">
        <v>49</v>
      </c>
      <c r="E35" s="218">
        <v>2.1900000000000001E-3</v>
      </c>
      <c r="F35" s="61"/>
      <c r="G35" s="11">
        <f t="shared" ref="G35" si="107">E35+F35+I34</f>
        <v>2.2110000000000001E-2</v>
      </c>
      <c r="H35" s="4"/>
      <c r="I35" s="11">
        <f t="shared" si="1"/>
        <v>2.2110000000000001E-2</v>
      </c>
      <c r="J35" s="208">
        <f t="shared" si="2"/>
        <v>0</v>
      </c>
      <c r="K35" s="320"/>
      <c r="L35" s="320"/>
      <c r="M35" s="320"/>
      <c r="N35" s="320"/>
      <c r="O35" s="320"/>
      <c r="P35" s="321"/>
    </row>
    <row r="36" spans="2:16" ht="12.75" x14ac:dyDescent="0.25">
      <c r="B36" s="408"/>
      <c r="C36" s="319" t="s">
        <v>74</v>
      </c>
      <c r="D36" s="80" t="s">
        <v>47</v>
      </c>
      <c r="E36" s="218">
        <v>254.26300000000001</v>
      </c>
      <c r="F36" s="58">
        <f>59.079</f>
        <v>59.079000000000001</v>
      </c>
      <c r="G36" s="11">
        <f t="shared" ref="G36" si="108">E36+F36</f>
        <v>313.34199999999998</v>
      </c>
      <c r="H36" s="4">
        <v>316.35199999999998</v>
      </c>
      <c r="I36" s="11">
        <f t="shared" si="1"/>
        <v>-3.0099999999999909</v>
      </c>
      <c r="J36" s="208">
        <f t="shared" si="2"/>
        <v>1.0096061172776072</v>
      </c>
      <c r="K36" s="320">
        <f t="shared" ref="K36" si="109">E36+E37</f>
        <v>282.21661</v>
      </c>
      <c r="L36" s="320">
        <f t="shared" ref="L36" si="110">F36+F37</f>
        <v>59.079000000000001</v>
      </c>
      <c r="M36" s="320">
        <f t="shared" ref="M36" si="111">K36+L36</f>
        <v>341.29561000000001</v>
      </c>
      <c r="N36" s="320">
        <f t="shared" ref="N36" si="112">H36+H37</f>
        <v>333.23599999999999</v>
      </c>
      <c r="O36" s="320">
        <f t="shared" ref="O36" si="113">M36-N36</f>
        <v>8.0596100000000206</v>
      </c>
      <c r="P36" s="321">
        <f t="shared" ref="P36" si="114">N36/M36</f>
        <v>0.97638525148331079</v>
      </c>
    </row>
    <row r="37" spans="2:16" ht="12.75" x14ac:dyDescent="0.25">
      <c r="B37" s="408"/>
      <c r="C37" s="319"/>
      <c r="D37" s="80" t="s">
        <v>49</v>
      </c>
      <c r="E37" s="218">
        <v>27.953610000000001</v>
      </c>
      <c r="F37" s="61"/>
      <c r="G37" s="11">
        <f t="shared" ref="G37" si="115">E37+F37+I36</f>
        <v>24.94361000000001</v>
      </c>
      <c r="H37" s="4">
        <v>16.884</v>
      </c>
      <c r="I37" s="11">
        <f t="shared" si="1"/>
        <v>8.0596100000000099</v>
      </c>
      <c r="J37" s="208">
        <f t="shared" si="2"/>
        <v>0.6768867858341272</v>
      </c>
      <c r="K37" s="320"/>
      <c r="L37" s="320"/>
      <c r="M37" s="320"/>
      <c r="N37" s="320"/>
      <c r="O37" s="320"/>
      <c r="P37" s="321"/>
    </row>
    <row r="38" spans="2:16" ht="12.75" x14ac:dyDescent="0.25">
      <c r="B38" s="408"/>
      <c r="C38" s="319" t="s">
        <v>75</v>
      </c>
      <c r="D38" s="80" t="s">
        <v>47</v>
      </c>
      <c r="E38" s="218">
        <v>0.11494</v>
      </c>
      <c r="F38" s="61"/>
      <c r="G38" s="11">
        <f t="shared" ref="G38" si="116">E38+F38</f>
        <v>0.11494</v>
      </c>
      <c r="H38" s="4"/>
      <c r="I38" s="11">
        <f t="shared" si="1"/>
        <v>0.11494</v>
      </c>
      <c r="J38" s="208">
        <f t="shared" si="2"/>
        <v>0</v>
      </c>
      <c r="K38" s="320">
        <f t="shared" ref="K38" si="117">E38+E39</f>
        <v>0.12758</v>
      </c>
      <c r="L38" s="320">
        <f t="shared" ref="L38" si="118">F38+F39</f>
        <v>0</v>
      </c>
      <c r="M38" s="320">
        <f t="shared" ref="M38" si="119">K38+L38</f>
        <v>0.12758</v>
      </c>
      <c r="N38" s="320">
        <f t="shared" ref="N38" si="120">H38+H39</f>
        <v>0</v>
      </c>
      <c r="O38" s="320">
        <f t="shared" ref="O38" si="121">M38-N38</f>
        <v>0.12758</v>
      </c>
      <c r="P38" s="321">
        <f t="shared" ref="P38" si="122">N38/M38</f>
        <v>0</v>
      </c>
    </row>
    <row r="39" spans="2:16" ht="12.75" x14ac:dyDescent="0.25">
      <c r="B39" s="408"/>
      <c r="C39" s="319"/>
      <c r="D39" s="80" t="s">
        <v>49</v>
      </c>
      <c r="E39" s="218">
        <v>1.264E-2</v>
      </c>
      <c r="F39" s="61"/>
      <c r="G39" s="11">
        <f t="shared" ref="G39" si="123">E39+F39+I38</f>
        <v>0.12758</v>
      </c>
      <c r="H39" s="4"/>
      <c r="I39" s="11">
        <f t="shared" si="1"/>
        <v>0.12758</v>
      </c>
      <c r="J39" s="208">
        <f t="shared" si="2"/>
        <v>0</v>
      </c>
      <c r="K39" s="320"/>
      <c r="L39" s="320"/>
      <c r="M39" s="320"/>
      <c r="N39" s="320"/>
      <c r="O39" s="320"/>
      <c r="P39" s="321"/>
    </row>
    <row r="40" spans="2:16" ht="12.75" x14ac:dyDescent="0.25">
      <c r="B40" s="408"/>
      <c r="C40" s="319" t="s">
        <v>76</v>
      </c>
      <c r="D40" s="80" t="s">
        <v>47</v>
      </c>
      <c r="E40" s="218">
        <v>70.272649999999999</v>
      </c>
      <c r="F40" s="61"/>
      <c r="G40" s="11">
        <f t="shared" ref="G40" si="124">E40+F40</f>
        <v>70.272649999999999</v>
      </c>
      <c r="H40" s="4">
        <v>61.953000000000003</v>
      </c>
      <c r="I40" s="11">
        <f t="shared" si="1"/>
        <v>8.3196499999999958</v>
      </c>
      <c r="J40" s="208">
        <f t="shared" si="2"/>
        <v>0.88160899012631522</v>
      </c>
      <c r="K40" s="320">
        <f t="shared" ref="K40" si="125">E40+E41</f>
        <v>77.998400000000004</v>
      </c>
      <c r="L40" s="320">
        <f t="shared" ref="L40" si="126">F40+F41</f>
        <v>0</v>
      </c>
      <c r="M40" s="320">
        <f t="shared" ref="M40" si="127">K40+L40</f>
        <v>77.998400000000004</v>
      </c>
      <c r="N40" s="320">
        <f t="shared" ref="N40" si="128">H40+H41</f>
        <v>74.26400000000001</v>
      </c>
      <c r="O40" s="320">
        <f t="shared" ref="O40" si="129">M40-N40</f>
        <v>3.7343999999999937</v>
      </c>
      <c r="P40" s="321">
        <f t="shared" ref="P40" si="130">N40/M40</f>
        <v>0.95212209481220134</v>
      </c>
    </row>
    <row r="41" spans="2:16" ht="12.75" x14ac:dyDescent="0.25">
      <c r="B41" s="408"/>
      <c r="C41" s="319"/>
      <c r="D41" s="80" t="s">
        <v>49</v>
      </c>
      <c r="E41" s="219">
        <v>7.7257499999999997</v>
      </c>
      <c r="F41" s="61"/>
      <c r="G41" s="11">
        <f t="shared" ref="G41" si="131">E41+F41+I40</f>
        <v>16.045399999999994</v>
      </c>
      <c r="H41" s="4">
        <v>12.311</v>
      </c>
      <c r="I41" s="11">
        <f t="shared" si="1"/>
        <v>3.7343999999999937</v>
      </c>
      <c r="J41" s="208">
        <f t="shared" si="2"/>
        <v>0.76726039861891915</v>
      </c>
      <c r="K41" s="320"/>
      <c r="L41" s="320"/>
      <c r="M41" s="320"/>
      <c r="N41" s="320"/>
      <c r="O41" s="320"/>
      <c r="P41" s="321"/>
    </row>
    <row r="42" spans="2:16" ht="12.75" x14ac:dyDescent="0.25">
      <c r="B42" s="408"/>
      <c r="C42" s="319" t="s">
        <v>77</v>
      </c>
      <c r="D42" s="80" t="s">
        <v>47</v>
      </c>
      <c r="E42" s="219">
        <v>6.6470000000000001E-2</v>
      </c>
      <c r="F42" s="61"/>
      <c r="G42" s="11">
        <f t="shared" ref="G42" si="132">E42+F42</f>
        <v>6.6470000000000001E-2</v>
      </c>
      <c r="H42" s="4"/>
      <c r="I42" s="11">
        <f t="shared" si="1"/>
        <v>6.6470000000000001E-2</v>
      </c>
      <c r="J42" s="208">
        <f t="shared" si="2"/>
        <v>0</v>
      </c>
      <c r="K42" s="320">
        <f t="shared" ref="K42" si="133">E42+E43</f>
        <v>7.3779999999999998E-2</v>
      </c>
      <c r="L42" s="320">
        <f t="shared" ref="L42" si="134">F42+F43</f>
        <v>0</v>
      </c>
      <c r="M42" s="320">
        <f t="shared" ref="M42" si="135">K42+L42</f>
        <v>7.3779999999999998E-2</v>
      </c>
      <c r="N42" s="320">
        <f t="shared" ref="N42" si="136">H42+H43</f>
        <v>0</v>
      </c>
      <c r="O42" s="320">
        <f t="shared" ref="O42" si="137">M42-N42</f>
        <v>7.3779999999999998E-2</v>
      </c>
      <c r="P42" s="321">
        <f t="shared" ref="P42" si="138">N42/M42</f>
        <v>0</v>
      </c>
    </row>
    <row r="43" spans="2:16" ht="12.75" x14ac:dyDescent="0.25">
      <c r="B43" s="408"/>
      <c r="C43" s="319"/>
      <c r="D43" s="80" t="s">
        <v>49</v>
      </c>
      <c r="E43" s="219">
        <v>7.3099999999999997E-3</v>
      </c>
      <c r="F43" s="61"/>
      <c r="G43" s="11">
        <f t="shared" ref="G43" si="139">E43+F43+I42</f>
        <v>7.3779999999999998E-2</v>
      </c>
      <c r="H43" s="4"/>
      <c r="I43" s="11">
        <f t="shared" si="1"/>
        <v>7.3779999999999998E-2</v>
      </c>
      <c r="J43" s="208">
        <f t="shared" si="2"/>
        <v>0</v>
      </c>
      <c r="K43" s="320"/>
      <c r="L43" s="320"/>
      <c r="M43" s="320"/>
      <c r="N43" s="320"/>
      <c r="O43" s="320"/>
      <c r="P43" s="321"/>
    </row>
    <row r="44" spans="2:16" ht="12.75" x14ac:dyDescent="0.25">
      <c r="B44" s="408"/>
      <c r="C44" s="319" t="s">
        <v>78</v>
      </c>
      <c r="D44" s="80" t="s">
        <v>47</v>
      </c>
      <c r="E44" s="219">
        <v>1.3350000000000001E-2</v>
      </c>
      <c r="F44" s="61"/>
      <c r="G44" s="11">
        <f t="shared" ref="G44" si="140">E44+F44</f>
        <v>1.3350000000000001E-2</v>
      </c>
      <c r="H44" s="4"/>
      <c r="I44" s="11">
        <f t="shared" si="1"/>
        <v>1.3350000000000001E-2</v>
      </c>
      <c r="J44" s="208">
        <f t="shared" si="2"/>
        <v>0</v>
      </c>
      <c r="K44" s="320">
        <f t="shared" ref="K44" si="141">E44+E45</f>
        <v>1.482E-2</v>
      </c>
      <c r="L44" s="320">
        <f t="shared" ref="L44" si="142">F44+F45</f>
        <v>0</v>
      </c>
      <c r="M44" s="320">
        <f t="shared" ref="M44" si="143">K44+L44</f>
        <v>1.482E-2</v>
      </c>
      <c r="N44" s="320">
        <f t="shared" ref="N44" si="144">H44+H45</f>
        <v>0</v>
      </c>
      <c r="O44" s="320">
        <f t="shared" ref="O44" si="145">M44-N44</f>
        <v>1.482E-2</v>
      </c>
      <c r="P44" s="321">
        <f t="shared" ref="P44" si="146">N44/M44</f>
        <v>0</v>
      </c>
    </row>
    <row r="45" spans="2:16" ht="12.75" x14ac:dyDescent="0.25">
      <c r="B45" s="408"/>
      <c r="C45" s="319"/>
      <c r="D45" s="80" t="s">
        <v>49</v>
      </c>
      <c r="E45" s="219">
        <v>1.47E-3</v>
      </c>
      <c r="F45" s="61"/>
      <c r="G45" s="11">
        <f t="shared" ref="G45" si="147">E45+F45+I44</f>
        <v>1.482E-2</v>
      </c>
      <c r="H45" s="4"/>
      <c r="I45" s="11">
        <f t="shared" si="1"/>
        <v>1.482E-2</v>
      </c>
      <c r="J45" s="208">
        <f t="shared" si="2"/>
        <v>0</v>
      </c>
      <c r="K45" s="320"/>
      <c r="L45" s="320"/>
      <c r="M45" s="320"/>
      <c r="N45" s="320"/>
      <c r="O45" s="320"/>
      <c r="P45" s="321"/>
    </row>
    <row r="46" spans="2:16" ht="12.75" x14ac:dyDescent="0.25">
      <c r="B46" s="408"/>
      <c r="C46" s="319" t="s">
        <v>79</v>
      </c>
      <c r="D46" s="80" t="s">
        <v>47</v>
      </c>
      <c r="E46" s="219">
        <v>49.959760000000003</v>
      </c>
      <c r="F46" s="61"/>
      <c r="G46" s="11">
        <f t="shared" ref="G46" si="148">E46+F46</f>
        <v>49.959760000000003</v>
      </c>
      <c r="H46" s="4"/>
      <c r="I46" s="11">
        <f t="shared" si="1"/>
        <v>49.959760000000003</v>
      </c>
      <c r="J46" s="208">
        <f t="shared" si="2"/>
        <v>0</v>
      </c>
      <c r="K46" s="320">
        <f t="shared" ref="K46" si="149">E46+E47</f>
        <v>55.45232</v>
      </c>
      <c r="L46" s="320">
        <f t="shared" ref="L46" si="150">F46+F47</f>
        <v>0</v>
      </c>
      <c r="M46" s="320">
        <f t="shared" ref="M46" si="151">K46+L46</f>
        <v>55.45232</v>
      </c>
      <c r="N46" s="320">
        <f t="shared" ref="N46" si="152">H46+H47</f>
        <v>0</v>
      </c>
      <c r="O46" s="320">
        <f t="shared" ref="O46" si="153">M46-N46</f>
        <v>55.45232</v>
      </c>
      <c r="P46" s="321">
        <f t="shared" ref="P46" si="154">N46/M46</f>
        <v>0</v>
      </c>
    </row>
    <row r="47" spans="2:16" ht="12.75" x14ac:dyDescent="0.25">
      <c r="B47" s="408"/>
      <c r="C47" s="319"/>
      <c r="D47" s="80" t="s">
        <v>49</v>
      </c>
      <c r="E47" s="219">
        <v>5.4925600000000001</v>
      </c>
      <c r="F47" s="11"/>
      <c r="G47" s="11">
        <f t="shared" ref="G47" si="155">E47+F47+I46</f>
        <v>55.45232</v>
      </c>
      <c r="H47" s="4"/>
      <c r="I47" s="11">
        <f t="shared" si="1"/>
        <v>55.45232</v>
      </c>
      <c r="J47" s="208">
        <f t="shared" si="2"/>
        <v>0</v>
      </c>
      <c r="K47" s="320"/>
      <c r="L47" s="320"/>
      <c r="M47" s="320"/>
      <c r="N47" s="320"/>
      <c r="O47" s="320"/>
      <c r="P47" s="321"/>
    </row>
    <row r="48" spans="2:16" ht="12.75" x14ac:dyDescent="0.25">
      <c r="B48" s="408"/>
      <c r="C48" s="319" t="s">
        <v>84</v>
      </c>
      <c r="D48" s="80" t="s">
        <v>47</v>
      </c>
      <c r="E48" s="219">
        <v>0.2656</v>
      </c>
      <c r="F48" s="61"/>
      <c r="G48" s="11">
        <f t="shared" ref="G48" si="156">E48+F48</f>
        <v>0.2656</v>
      </c>
      <c r="H48" s="4"/>
      <c r="I48" s="11">
        <f t="shared" ref="I48:I49" si="157">G48-H48</f>
        <v>0.2656</v>
      </c>
      <c r="J48" s="208">
        <f t="shared" ref="J48:J51" si="158">H48/G48</f>
        <v>0</v>
      </c>
      <c r="K48" s="320">
        <f t="shared" ref="K48" si="159">E48+E49</f>
        <v>0.29480000000000001</v>
      </c>
      <c r="L48" s="320">
        <f t="shared" ref="L48" si="160">F48+F49</f>
        <v>0</v>
      </c>
      <c r="M48" s="320">
        <f t="shared" ref="M48" si="161">K48+L48</f>
        <v>0.29480000000000001</v>
      </c>
      <c r="N48" s="320">
        <f t="shared" ref="N48" si="162">H48+H49</f>
        <v>0</v>
      </c>
      <c r="O48" s="320">
        <f t="shared" ref="O48" si="163">M48-N48</f>
        <v>0.29480000000000001</v>
      </c>
      <c r="P48" s="321">
        <f t="shared" ref="P48" si="164">N48/M48</f>
        <v>0</v>
      </c>
    </row>
    <row r="49" spans="2:39" ht="12.75" x14ac:dyDescent="0.25">
      <c r="B49" s="408"/>
      <c r="C49" s="319"/>
      <c r="D49" s="80" t="s">
        <v>49</v>
      </c>
      <c r="E49" s="219">
        <v>2.92E-2</v>
      </c>
      <c r="F49" s="61"/>
      <c r="G49" s="11">
        <f t="shared" ref="G49" si="165">E49+F49+I48</f>
        <v>0.29480000000000001</v>
      </c>
      <c r="H49" s="4"/>
      <c r="I49" s="11">
        <f t="shared" si="157"/>
        <v>0.29480000000000001</v>
      </c>
      <c r="J49" s="208">
        <f t="shared" si="158"/>
        <v>0</v>
      </c>
      <c r="K49" s="320"/>
      <c r="L49" s="320"/>
      <c r="M49" s="320"/>
      <c r="N49" s="320"/>
      <c r="O49" s="320"/>
      <c r="P49" s="321"/>
    </row>
    <row r="50" spans="2:39" ht="12.75" x14ac:dyDescent="0.25">
      <c r="B50" s="408"/>
      <c r="C50" s="319" t="s">
        <v>81</v>
      </c>
      <c r="D50" s="80" t="s">
        <v>47</v>
      </c>
      <c r="E50" s="218">
        <v>0.27231</v>
      </c>
      <c r="F50" s="61"/>
      <c r="G50" s="11">
        <f t="shared" ref="G50" si="166">E50+F50</f>
        <v>0.27231</v>
      </c>
      <c r="H50" s="4"/>
      <c r="I50" s="11">
        <f t="shared" ref="I50:I51" si="167">G50-H50</f>
        <v>0.27231</v>
      </c>
      <c r="J50" s="208">
        <f t="shared" si="158"/>
        <v>0</v>
      </c>
      <c r="K50" s="320">
        <f t="shared" ref="K50" si="168">E50+E51</f>
        <v>0.30225000000000002</v>
      </c>
      <c r="L50" s="320">
        <f t="shared" ref="L50" si="169">F50+F51</f>
        <v>0</v>
      </c>
      <c r="M50" s="320">
        <f t="shared" ref="M50" si="170">K50+L50</f>
        <v>0.30225000000000002</v>
      </c>
      <c r="N50" s="320">
        <f t="shared" ref="N50" si="171">H50+H51</f>
        <v>0</v>
      </c>
      <c r="O50" s="320">
        <f t="shared" ref="O50" si="172">M50-N50</f>
        <v>0.30225000000000002</v>
      </c>
      <c r="P50" s="321">
        <f t="shared" ref="P50" si="173">N50/M50</f>
        <v>0</v>
      </c>
    </row>
    <row r="51" spans="2:39" ht="12.75" x14ac:dyDescent="0.25">
      <c r="B51" s="408"/>
      <c r="C51" s="319"/>
      <c r="D51" s="80" t="s">
        <v>49</v>
      </c>
      <c r="E51" s="218">
        <v>2.9940000000000001E-2</v>
      </c>
      <c r="F51" s="61"/>
      <c r="G51" s="11">
        <f t="shared" ref="G51" si="174">E51+F51+I50</f>
        <v>0.30225000000000002</v>
      </c>
      <c r="H51" s="4"/>
      <c r="I51" s="11">
        <f t="shared" si="167"/>
        <v>0.30225000000000002</v>
      </c>
      <c r="J51" s="208">
        <f t="shared" si="158"/>
        <v>0</v>
      </c>
      <c r="K51" s="320"/>
      <c r="L51" s="320"/>
      <c r="M51" s="320"/>
      <c r="N51" s="320"/>
      <c r="O51" s="320"/>
      <c r="P51" s="321"/>
    </row>
    <row r="52" spans="2:39" ht="12.75" x14ac:dyDescent="0.25">
      <c r="B52" s="408"/>
      <c r="C52" s="410" t="s">
        <v>82</v>
      </c>
      <c r="D52" s="80" t="s">
        <v>47</v>
      </c>
      <c r="E52" s="219">
        <v>18.400770000000001</v>
      </c>
      <c r="F52" s="61"/>
      <c r="G52" s="11">
        <f t="shared" ref="G52" si="175">E52+F52</f>
        <v>18.400770000000001</v>
      </c>
      <c r="H52" s="4"/>
      <c r="I52" s="11">
        <f t="shared" ref="I52:I53" si="176">G52-H52</f>
        <v>18.400770000000001</v>
      </c>
      <c r="J52" s="208">
        <f t="shared" ref="J52:J53" si="177">H52/G52</f>
        <v>0</v>
      </c>
      <c r="K52" s="320">
        <f t="shared" ref="K52" si="178">E52+E53</f>
        <v>20.423750000000002</v>
      </c>
      <c r="L52" s="320">
        <f t="shared" ref="L52" si="179">F52+F53</f>
        <v>0</v>
      </c>
      <c r="M52" s="320">
        <f t="shared" ref="M52" si="180">K52+L52</f>
        <v>20.423750000000002</v>
      </c>
      <c r="N52" s="320">
        <f t="shared" ref="N52" si="181">H52+H53</f>
        <v>0</v>
      </c>
      <c r="O52" s="320">
        <f t="shared" ref="O52" si="182">M52-N52</f>
        <v>20.423750000000002</v>
      </c>
      <c r="P52" s="321">
        <f t="shared" ref="P52" si="183">N52/M52</f>
        <v>0</v>
      </c>
    </row>
    <row r="53" spans="2:39" ht="15.75" customHeight="1" thickBot="1" x14ac:dyDescent="0.3">
      <c r="B53" s="409"/>
      <c r="C53" s="411"/>
      <c r="D53" s="80" t="s">
        <v>49</v>
      </c>
      <c r="E53" s="219">
        <v>2.02298</v>
      </c>
      <c r="F53" s="178"/>
      <c r="G53" s="11">
        <f t="shared" ref="G53" si="184">E53+F53+I52</f>
        <v>20.423750000000002</v>
      </c>
      <c r="H53" s="4"/>
      <c r="I53" s="11">
        <f t="shared" si="176"/>
        <v>20.423750000000002</v>
      </c>
      <c r="J53" s="208">
        <f t="shared" si="177"/>
        <v>0</v>
      </c>
      <c r="K53" s="320"/>
      <c r="L53" s="320"/>
      <c r="M53" s="320"/>
      <c r="N53" s="320"/>
      <c r="O53" s="320"/>
      <c r="P53" s="321"/>
    </row>
    <row r="54" spans="2:39" ht="15.75" customHeight="1" thickBot="1" x14ac:dyDescent="0.3">
      <c r="B54" s="412" t="s">
        <v>23</v>
      </c>
      <c r="C54" s="413"/>
      <c r="D54" s="414"/>
      <c r="E54" s="180">
        <f>SUM(E6:E53)</f>
        <v>801.99994999999967</v>
      </c>
      <c r="F54" s="66">
        <f>SUM(F6:F53)</f>
        <v>-60.920999999999999</v>
      </c>
      <c r="G54" s="66">
        <f>E54+F54</f>
        <v>741.07894999999962</v>
      </c>
      <c r="H54" s="66">
        <f>SUM(H6:H53)</f>
        <v>555.28100000000006</v>
      </c>
      <c r="I54" s="66">
        <f>G54-H54</f>
        <v>185.79794999999956</v>
      </c>
      <c r="J54" s="62">
        <f>H54/G54</f>
        <v>0.74928723855940094</v>
      </c>
      <c r="K54" s="66">
        <f>SUM(K6:K53)</f>
        <v>801.99995000000001</v>
      </c>
      <c r="L54" s="66">
        <f>SUM(L6:L53)</f>
        <v>-60.920999999999999</v>
      </c>
      <c r="M54" s="66">
        <f>K54+L54</f>
        <v>741.07894999999996</v>
      </c>
      <c r="N54" s="66">
        <f>SUM(N6:N53)</f>
        <v>555.28099999999995</v>
      </c>
      <c r="O54" s="66">
        <f>M54-N54</f>
        <v>185.79795000000001</v>
      </c>
      <c r="P54" s="196">
        <f>N54/M54</f>
        <v>0.74928723855940038</v>
      </c>
    </row>
    <row r="59" spans="2:39" x14ac:dyDescent="0.2"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2:39" x14ac:dyDescent="0.2"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2:39" ht="13.5" hidden="1" thickBot="1" x14ac:dyDescent="0.25"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85"/>
      <c r="Q61" s="86"/>
      <c r="R61" s="86"/>
      <c r="S61" s="86"/>
      <c r="T61" s="86"/>
      <c r="U61" s="86"/>
      <c r="V61" s="86"/>
      <c r="W61" s="86"/>
      <c r="X61" s="87"/>
      <c r="Y61" s="2"/>
      <c r="Z61" s="2"/>
      <c r="AA61" s="2"/>
      <c r="AB61" s="2"/>
      <c r="AC61" s="2"/>
    </row>
    <row r="62" spans="2:39" ht="16.5" hidden="1" thickBot="1" x14ac:dyDescent="0.25">
      <c r="B62" s="86"/>
      <c r="C62" s="334" t="s">
        <v>85</v>
      </c>
      <c r="D62" s="335"/>
      <c r="E62" s="88" t="s">
        <v>47</v>
      </c>
      <c r="F62" s="88" t="s">
        <v>49</v>
      </c>
      <c r="G62" s="340" t="s">
        <v>86</v>
      </c>
      <c r="H62" s="343">
        <v>48</v>
      </c>
      <c r="I62" s="346" t="s">
        <v>87</v>
      </c>
      <c r="J62" s="347"/>
      <c r="K62" s="88" t="s">
        <v>47</v>
      </c>
      <c r="L62" s="88" t="s">
        <v>49</v>
      </c>
      <c r="M62" s="340" t="s">
        <v>86</v>
      </c>
      <c r="N62" s="352">
        <v>903</v>
      </c>
      <c r="O62" s="86"/>
      <c r="P62" s="355" t="s">
        <v>85</v>
      </c>
      <c r="Q62" s="356"/>
      <c r="R62" s="89" t="s">
        <v>88</v>
      </c>
      <c r="S62" s="90" t="s">
        <v>88</v>
      </c>
      <c r="T62" s="137" t="s">
        <v>88</v>
      </c>
      <c r="U62" s="145" t="s">
        <v>89</v>
      </c>
      <c r="V62" s="91" t="s">
        <v>89</v>
      </c>
      <c r="W62" s="91" t="s">
        <v>89</v>
      </c>
      <c r="X62" s="91" t="s">
        <v>89</v>
      </c>
      <c r="Y62" s="91" t="s">
        <v>89</v>
      </c>
      <c r="Z62" s="91" t="s">
        <v>89</v>
      </c>
      <c r="AA62" s="91" t="s">
        <v>89</v>
      </c>
      <c r="AB62" s="91" t="s">
        <v>89</v>
      </c>
      <c r="AC62" s="91" t="s">
        <v>89</v>
      </c>
      <c r="AD62" s="91" t="s">
        <v>89</v>
      </c>
      <c r="AE62" s="91" t="s">
        <v>89</v>
      </c>
      <c r="AF62" s="92" t="s">
        <v>89</v>
      </c>
      <c r="AG62" s="357" t="s">
        <v>90</v>
      </c>
      <c r="AH62" s="358"/>
      <c r="AI62" s="86"/>
      <c r="AJ62" s="2"/>
      <c r="AK62" s="2"/>
      <c r="AL62" s="2"/>
      <c r="AM62" s="2"/>
    </row>
    <row r="63" spans="2:39" ht="13.5" hidden="1" customHeight="1" thickBot="1" x14ac:dyDescent="0.25">
      <c r="B63" s="86"/>
      <c r="C63" s="336"/>
      <c r="D63" s="337"/>
      <c r="E63" s="359">
        <v>43</v>
      </c>
      <c r="F63" s="359">
        <v>5</v>
      </c>
      <c r="G63" s="341"/>
      <c r="H63" s="344"/>
      <c r="I63" s="348"/>
      <c r="J63" s="349"/>
      <c r="K63" s="359">
        <v>813</v>
      </c>
      <c r="L63" s="359">
        <v>90</v>
      </c>
      <c r="M63" s="341"/>
      <c r="N63" s="353"/>
      <c r="O63" s="93"/>
      <c r="P63" s="332" t="s">
        <v>71</v>
      </c>
      <c r="Q63" s="84" t="s">
        <v>47</v>
      </c>
      <c r="R63" s="138">
        <v>14.29665</v>
      </c>
      <c r="S63" s="64"/>
      <c r="T63" s="139"/>
      <c r="U63" s="128">
        <v>0.41925000000000001</v>
      </c>
      <c r="V63" s="94">
        <v>0.41925000000000001</v>
      </c>
      <c r="W63" s="94">
        <v>8.5999999999999993E-2</v>
      </c>
      <c r="X63" s="94">
        <v>0.61275000000000002</v>
      </c>
      <c r="Y63" s="95"/>
      <c r="Z63" s="95"/>
      <c r="AA63" s="95"/>
      <c r="AB63" s="95"/>
      <c r="AC63" s="95"/>
      <c r="AD63" s="95"/>
      <c r="AE63" s="95"/>
      <c r="AF63" s="141"/>
      <c r="AG63" s="361">
        <f>SUM(R63:AF63)</f>
        <v>15.8339</v>
      </c>
      <c r="AH63" s="362"/>
      <c r="AI63" s="2"/>
      <c r="AJ63" s="86"/>
      <c r="AK63" s="86"/>
      <c r="AL63" s="96"/>
      <c r="AM63" s="2"/>
    </row>
    <row r="64" spans="2:39" ht="13.5" hidden="1" customHeight="1" thickBot="1" x14ac:dyDescent="0.25">
      <c r="B64" s="86"/>
      <c r="C64" s="338"/>
      <c r="D64" s="339"/>
      <c r="E64" s="360"/>
      <c r="F64" s="360"/>
      <c r="G64" s="342"/>
      <c r="H64" s="345"/>
      <c r="I64" s="350"/>
      <c r="J64" s="351"/>
      <c r="K64" s="360"/>
      <c r="L64" s="360"/>
      <c r="M64" s="342"/>
      <c r="N64" s="354"/>
      <c r="O64" s="97"/>
      <c r="P64" s="324"/>
      <c r="Q64" s="82" t="s">
        <v>49</v>
      </c>
      <c r="R64" s="132">
        <v>1.6624000000000001</v>
      </c>
      <c r="S64" s="98"/>
      <c r="T64" s="140"/>
      <c r="U64" s="111">
        <v>4.8750000000000002E-2</v>
      </c>
      <c r="V64" s="124">
        <v>4.8750000000000002E-2</v>
      </c>
      <c r="W64" s="124">
        <v>0.01</v>
      </c>
      <c r="X64" s="124">
        <v>7.1249999999999994E-2</v>
      </c>
      <c r="Y64" s="99"/>
      <c r="Z64" s="99"/>
      <c r="AA64" s="99"/>
      <c r="AB64" s="99"/>
      <c r="AC64" s="99"/>
      <c r="AD64" s="99"/>
      <c r="AE64" s="99"/>
      <c r="AF64" s="113"/>
      <c r="AG64" s="363">
        <f t="shared" ref="AG64:AG88" si="185">SUM(R64:AF64)</f>
        <v>1.8411500000000003</v>
      </c>
      <c r="AH64" s="364"/>
      <c r="AI64" s="2"/>
      <c r="AJ64" s="381" t="s">
        <v>91</v>
      </c>
      <c r="AK64" s="100" t="s">
        <v>92</v>
      </c>
      <c r="AL64" s="101"/>
      <c r="AM64" s="2"/>
    </row>
    <row r="65" spans="2:39" ht="26.25" hidden="1" thickBot="1" x14ac:dyDescent="0.25">
      <c r="B65" s="102"/>
      <c r="C65" s="103" t="s">
        <v>93</v>
      </c>
      <c r="D65" s="104" t="s">
        <v>94</v>
      </c>
      <c r="E65" s="104" t="s">
        <v>95</v>
      </c>
      <c r="F65" s="105" t="s">
        <v>96</v>
      </c>
      <c r="G65" s="105" t="s">
        <v>97</v>
      </c>
      <c r="H65" s="106" t="s">
        <v>98</v>
      </c>
      <c r="I65" s="107" t="s">
        <v>93</v>
      </c>
      <c r="J65" s="104" t="s">
        <v>94</v>
      </c>
      <c r="K65" s="104" t="s">
        <v>95</v>
      </c>
      <c r="L65" s="105" t="s">
        <v>96</v>
      </c>
      <c r="M65" s="105" t="s">
        <v>97</v>
      </c>
      <c r="N65" s="106" t="s">
        <v>98</v>
      </c>
      <c r="O65" s="86"/>
      <c r="P65" s="324" t="s">
        <v>72</v>
      </c>
      <c r="Q65" s="82" t="s">
        <v>47</v>
      </c>
      <c r="R65" s="128">
        <v>0.25212000000000001</v>
      </c>
      <c r="S65" s="95">
        <v>2.3333499999999998</v>
      </c>
      <c r="T65" s="141"/>
      <c r="U65" s="111">
        <v>0.27734999999999999</v>
      </c>
      <c r="V65" s="124"/>
      <c r="W65" s="124"/>
      <c r="X65" s="124"/>
      <c r="Y65" s="99"/>
      <c r="Z65" s="99"/>
      <c r="AA65" s="99"/>
      <c r="AB65" s="99"/>
      <c r="AC65" s="99"/>
      <c r="AD65" s="99"/>
      <c r="AE65" s="99"/>
      <c r="AF65" s="113"/>
      <c r="AG65" s="363">
        <f t="shared" si="185"/>
        <v>2.8628200000000001</v>
      </c>
      <c r="AH65" s="364"/>
      <c r="AI65" s="2"/>
      <c r="AJ65" s="382"/>
      <c r="AK65" s="108" t="s">
        <v>99</v>
      </c>
      <c r="AL65" s="109"/>
      <c r="AM65" s="2"/>
    </row>
    <row r="66" spans="2:39" ht="26.25" hidden="1" thickBot="1" x14ac:dyDescent="0.25">
      <c r="B66" s="110">
        <v>1</v>
      </c>
      <c r="C66" s="128">
        <v>15.95905</v>
      </c>
      <c r="D66" s="135">
        <f>E66*$H$62</f>
        <v>15.959054399999999</v>
      </c>
      <c r="E66" s="133">
        <v>0.33248030000000001</v>
      </c>
      <c r="F66" s="4">
        <v>0.108</v>
      </c>
      <c r="G66" s="134">
        <f>H66*$H$62</f>
        <v>0.10799999999999998</v>
      </c>
      <c r="H66" s="130">
        <v>2.2499999999999998E-3</v>
      </c>
      <c r="I66" s="129">
        <v>300.22971000000001</v>
      </c>
      <c r="J66" s="129">
        <f>$N$62*K66</f>
        <v>300.22971089999999</v>
      </c>
      <c r="K66" s="133">
        <v>0.33248030000000001</v>
      </c>
      <c r="L66" s="129">
        <v>2.0317500000000002</v>
      </c>
      <c r="M66" s="129">
        <f>$N$62*N66</f>
        <v>2.0317499999999997</v>
      </c>
      <c r="N66" s="130">
        <v>2.2499999999999998E-3</v>
      </c>
      <c r="O66" s="86"/>
      <c r="P66" s="324"/>
      <c r="Q66" s="82" t="s">
        <v>49</v>
      </c>
      <c r="R66" s="111">
        <v>2.9319999999999999E-2</v>
      </c>
      <c r="S66" s="99">
        <v>0.27132000000000001</v>
      </c>
      <c r="T66" s="113"/>
      <c r="U66" s="111">
        <v>3.2250000000000001E-2</v>
      </c>
      <c r="V66" s="124"/>
      <c r="W66" s="124"/>
      <c r="X66" s="124"/>
      <c r="Y66" s="99"/>
      <c r="Z66" s="99"/>
      <c r="AA66" s="99"/>
      <c r="AB66" s="99"/>
      <c r="AC66" s="99"/>
      <c r="AD66" s="99"/>
      <c r="AE66" s="99"/>
      <c r="AF66" s="113"/>
      <c r="AG66" s="363">
        <f t="shared" si="185"/>
        <v>0.33289000000000002</v>
      </c>
      <c r="AH66" s="364"/>
      <c r="AI66" s="86"/>
      <c r="AJ66" s="383"/>
      <c r="AK66" s="114" t="s">
        <v>100</v>
      </c>
      <c r="AL66" s="115">
        <f>SUM(AL64+AL65)</f>
        <v>0</v>
      </c>
      <c r="AM66" s="2"/>
    </row>
    <row r="67" spans="2:39" ht="12.75" hidden="1" customHeight="1" x14ac:dyDescent="0.2">
      <c r="B67" s="110">
        <v>2</v>
      </c>
      <c r="C67" s="128">
        <v>1.4400000000000001E-3</v>
      </c>
      <c r="D67" s="135">
        <f t="shared" ref="D67:D80" si="186">E67*$H$62</f>
        <v>1.4400000000000001E-3</v>
      </c>
      <c r="E67" s="133">
        <v>3.0000000000000001E-5</v>
      </c>
      <c r="F67" s="4">
        <v>3.5999999999999997E-2</v>
      </c>
      <c r="G67" s="134">
        <f t="shared" ref="G67:G90" si="187">H67*$H$62</f>
        <v>3.6000000000000004E-2</v>
      </c>
      <c r="H67" s="130">
        <v>7.5000000000000002E-4</v>
      </c>
      <c r="I67" s="129">
        <v>2.7089999999999999E-2</v>
      </c>
      <c r="J67" s="129">
        <f t="shared" ref="J67:J80" si="188">$N$62*K67</f>
        <v>2.7089999999999999E-2</v>
      </c>
      <c r="K67" s="133">
        <v>3.0000000000000001E-5</v>
      </c>
      <c r="L67" s="129">
        <v>0.67725000000000002</v>
      </c>
      <c r="M67" s="129">
        <f t="shared" ref="M67:M90" si="189">$N$62*N67</f>
        <v>0.67725000000000002</v>
      </c>
      <c r="N67" s="130">
        <v>7.5000000000000002E-4</v>
      </c>
      <c r="O67" s="86"/>
      <c r="P67" s="324" t="s">
        <v>73</v>
      </c>
      <c r="Q67" s="82" t="s">
        <v>47</v>
      </c>
      <c r="R67" s="148">
        <v>1.2899999999999999E-3</v>
      </c>
      <c r="S67" s="99"/>
      <c r="T67" s="113"/>
      <c r="U67" s="111"/>
      <c r="V67" s="124"/>
      <c r="W67" s="124"/>
      <c r="X67" s="124"/>
      <c r="Y67" s="99"/>
      <c r="Z67" s="99"/>
      <c r="AA67" s="99"/>
      <c r="AB67" s="99"/>
      <c r="AC67" s="99"/>
      <c r="AD67" s="99"/>
      <c r="AE67" s="99"/>
      <c r="AF67" s="113"/>
      <c r="AG67" s="384">
        <f t="shared" si="185"/>
        <v>1.2899999999999999E-3</v>
      </c>
      <c r="AH67" s="385"/>
      <c r="AI67" s="86"/>
      <c r="AJ67" s="2"/>
      <c r="AK67" s="2"/>
      <c r="AL67" s="2"/>
      <c r="AM67" s="2"/>
    </row>
    <row r="68" spans="2:39" ht="12.75" hidden="1" x14ac:dyDescent="0.2">
      <c r="B68" s="110">
        <v>3</v>
      </c>
      <c r="C68" s="128">
        <v>16.618860000000002</v>
      </c>
      <c r="D68" s="135">
        <f t="shared" si="186"/>
        <v>16.618857599999998</v>
      </c>
      <c r="E68" s="133">
        <v>0.34622619999999998</v>
      </c>
      <c r="F68" s="4">
        <v>0.18</v>
      </c>
      <c r="G68" s="134">
        <f t="shared" si="187"/>
        <v>0.18</v>
      </c>
      <c r="H68" s="130">
        <v>3.7499999999999999E-3</v>
      </c>
      <c r="I68" s="129">
        <v>312.64226000000002</v>
      </c>
      <c r="J68" s="129">
        <f t="shared" si="188"/>
        <v>312.64225859999999</v>
      </c>
      <c r="K68" s="133">
        <v>0.34622619999999998</v>
      </c>
      <c r="L68" s="129">
        <v>3.38625</v>
      </c>
      <c r="M68" s="129">
        <f t="shared" si="189"/>
        <v>3.38625</v>
      </c>
      <c r="N68" s="130">
        <v>3.7499999999999999E-3</v>
      </c>
      <c r="O68" s="86"/>
      <c r="P68" s="324"/>
      <c r="Q68" s="82" t="s">
        <v>49</v>
      </c>
      <c r="R68" s="148">
        <v>1.4999999999999999E-4</v>
      </c>
      <c r="S68" s="99"/>
      <c r="T68" s="113"/>
      <c r="U68" s="111"/>
      <c r="V68" s="124"/>
      <c r="W68" s="124"/>
      <c r="X68" s="124"/>
      <c r="Y68" s="99"/>
      <c r="Z68" s="99"/>
      <c r="AA68" s="99"/>
      <c r="AB68" s="99"/>
      <c r="AC68" s="99"/>
      <c r="AD68" s="99"/>
      <c r="AE68" s="99"/>
      <c r="AF68" s="113"/>
      <c r="AG68" s="384">
        <f t="shared" si="185"/>
        <v>1.4999999999999999E-4</v>
      </c>
      <c r="AH68" s="385"/>
      <c r="AI68" s="86"/>
      <c r="AJ68" s="2"/>
      <c r="AK68" s="2"/>
      <c r="AL68" s="2"/>
      <c r="AM68" s="2"/>
    </row>
    <row r="69" spans="2:39" ht="12.75" hidden="1" customHeight="1" x14ac:dyDescent="0.2">
      <c r="B69" s="110">
        <v>4</v>
      </c>
      <c r="C69" s="128">
        <v>8.3099999999999997E-3</v>
      </c>
      <c r="D69" s="135">
        <f t="shared" si="186"/>
        <v>8.3087999999999999E-3</v>
      </c>
      <c r="E69" s="133">
        <v>1.7310000000000001E-4</v>
      </c>
      <c r="F69" s="4">
        <v>0.18</v>
      </c>
      <c r="G69" s="134">
        <f t="shared" si="187"/>
        <v>0.18</v>
      </c>
      <c r="H69" s="130">
        <v>3.7499999999999999E-3</v>
      </c>
      <c r="I69" s="129">
        <v>0.15631</v>
      </c>
      <c r="J69" s="129">
        <f t="shared" si="188"/>
        <v>0.15630930000000001</v>
      </c>
      <c r="K69" s="133">
        <v>1.7310000000000001E-4</v>
      </c>
      <c r="L69" s="129">
        <v>3.38625</v>
      </c>
      <c r="M69" s="129">
        <f t="shared" si="189"/>
        <v>3.38625</v>
      </c>
      <c r="N69" s="130">
        <v>3.7499999999999999E-3</v>
      </c>
      <c r="O69" s="86"/>
      <c r="P69" s="324" t="s">
        <v>74</v>
      </c>
      <c r="Q69" s="82" t="s">
        <v>47</v>
      </c>
      <c r="R69" s="111">
        <v>14.887729999999999</v>
      </c>
      <c r="S69" s="99"/>
      <c r="T69" s="113"/>
      <c r="U69" s="111">
        <v>0.33324999999999999</v>
      </c>
      <c r="V69" s="124">
        <v>1.1180000000000001E-2</v>
      </c>
      <c r="W69" s="124">
        <v>0.13716999999999999</v>
      </c>
      <c r="X69" s="124">
        <v>0.48375000000000001</v>
      </c>
      <c r="Y69" s="99">
        <v>0.61275000000000002</v>
      </c>
      <c r="Z69" s="99"/>
      <c r="AA69" s="99"/>
      <c r="AB69" s="99"/>
      <c r="AC69" s="99"/>
      <c r="AD69" s="99"/>
      <c r="AE69" s="99"/>
      <c r="AF69" s="113"/>
      <c r="AG69" s="363">
        <f t="shared" si="185"/>
        <v>16.465829999999997</v>
      </c>
      <c r="AH69" s="364"/>
      <c r="AI69" s="86"/>
      <c r="AJ69" s="2"/>
      <c r="AK69" s="2"/>
      <c r="AL69" s="2"/>
      <c r="AM69" s="2"/>
    </row>
    <row r="70" spans="2:39" ht="12.75" hidden="1" x14ac:dyDescent="0.2">
      <c r="B70" s="110">
        <v>5</v>
      </c>
      <c r="C70" s="128">
        <v>2.1057899999999998</v>
      </c>
      <c r="D70" s="135">
        <f t="shared" si="186"/>
        <v>2.1057888</v>
      </c>
      <c r="E70" s="133">
        <v>4.3870600000000003E-2</v>
      </c>
      <c r="F70" s="4">
        <v>0.252</v>
      </c>
      <c r="G70" s="134">
        <f t="shared" si="187"/>
        <v>0.252</v>
      </c>
      <c r="H70" s="130">
        <v>5.2500000000000003E-3</v>
      </c>
      <c r="I70" s="129">
        <v>39.61515</v>
      </c>
      <c r="J70" s="129">
        <f t="shared" si="188"/>
        <v>39.6151518</v>
      </c>
      <c r="K70" s="133">
        <v>4.3870600000000003E-2</v>
      </c>
      <c r="L70" s="129">
        <v>4.7407500000000002</v>
      </c>
      <c r="M70" s="129">
        <f t="shared" si="189"/>
        <v>4.7407500000000002</v>
      </c>
      <c r="N70" s="130">
        <v>5.2500000000000003E-3</v>
      </c>
      <c r="O70" s="86"/>
      <c r="P70" s="324"/>
      <c r="Q70" s="82" t="s">
        <v>49</v>
      </c>
      <c r="R70" s="111">
        <v>1.7311300000000001</v>
      </c>
      <c r="S70" s="99"/>
      <c r="T70" s="113"/>
      <c r="U70" s="111">
        <v>3.875E-2</v>
      </c>
      <c r="V70" s="124">
        <v>1.2999999999999999E-3</v>
      </c>
      <c r="W70" s="124">
        <v>1.5949999999999999E-2</v>
      </c>
      <c r="X70" s="124">
        <v>5.6250000000000001E-2</v>
      </c>
      <c r="Y70" s="99">
        <v>7.1249999999999994E-2</v>
      </c>
      <c r="Z70" s="99"/>
      <c r="AA70" s="99"/>
      <c r="AB70" s="99"/>
      <c r="AC70" s="99"/>
      <c r="AD70" s="99"/>
      <c r="AE70" s="99"/>
      <c r="AF70" s="113"/>
      <c r="AG70" s="363">
        <f t="shared" si="185"/>
        <v>1.9146300000000001</v>
      </c>
      <c r="AH70" s="364"/>
      <c r="AI70" s="86"/>
      <c r="AJ70" s="2"/>
      <c r="AK70" s="2"/>
      <c r="AL70" s="2"/>
      <c r="AM70" s="2"/>
    </row>
    <row r="71" spans="2:39" ht="12.75" hidden="1" customHeight="1" x14ac:dyDescent="0.2">
      <c r="B71" s="110">
        <v>6</v>
      </c>
      <c r="C71" s="128">
        <v>4.7999999999999996E-3</v>
      </c>
      <c r="D71" s="135">
        <f t="shared" si="186"/>
        <v>4.8047999999999997E-3</v>
      </c>
      <c r="E71" s="133">
        <v>1.0009999999999999E-4</v>
      </c>
      <c r="F71" s="4">
        <v>0.252</v>
      </c>
      <c r="G71" s="134">
        <f t="shared" si="187"/>
        <v>0.252</v>
      </c>
      <c r="H71" s="130">
        <v>5.2500000000000003E-3</v>
      </c>
      <c r="I71" s="129">
        <v>9.0389999999999998E-2</v>
      </c>
      <c r="J71" s="129">
        <f t="shared" si="188"/>
        <v>9.0390299999999993E-2</v>
      </c>
      <c r="K71" s="133">
        <v>1.0009999999999999E-4</v>
      </c>
      <c r="L71" s="129">
        <v>4.7407500000000002</v>
      </c>
      <c r="M71" s="129">
        <f t="shared" si="189"/>
        <v>4.7407500000000002</v>
      </c>
      <c r="N71" s="130">
        <v>5.2500000000000003E-3</v>
      </c>
      <c r="O71" s="86"/>
      <c r="P71" s="324" t="s">
        <v>75</v>
      </c>
      <c r="Q71" s="82" t="s">
        <v>47</v>
      </c>
      <c r="R71" s="148">
        <v>7.4400000000000004E-3</v>
      </c>
      <c r="S71" s="99"/>
      <c r="T71" s="113"/>
      <c r="U71" s="111"/>
      <c r="V71" s="124"/>
      <c r="W71" s="124"/>
      <c r="X71" s="124"/>
      <c r="Y71" s="99"/>
      <c r="Z71" s="99"/>
      <c r="AA71" s="99"/>
      <c r="AB71" s="99"/>
      <c r="AC71" s="99"/>
      <c r="AD71" s="99"/>
      <c r="AE71" s="99"/>
      <c r="AF71" s="113"/>
      <c r="AG71" s="384">
        <f t="shared" si="185"/>
        <v>7.4400000000000004E-3</v>
      </c>
      <c r="AH71" s="385"/>
      <c r="AI71" s="86"/>
      <c r="AJ71" s="86"/>
      <c r="AK71" s="86"/>
      <c r="AL71" s="86"/>
      <c r="AM71" s="86"/>
    </row>
    <row r="72" spans="2:39" ht="12.75" hidden="1" x14ac:dyDescent="0.2">
      <c r="B72" s="110">
        <v>7</v>
      </c>
      <c r="C72" s="128">
        <v>0.28143000000000001</v>
      </c>
      <c r="D72" s="135">
        <f t="shared" si="186"/>
        <v>0.28143360000000001</v>
      </c>
      <c r="E72" s="133">
        <v>5.8631999999999998E-3</v>
      </c>
      <c r="F72" s="4">
        <v>0.32400000000000001</v>
      </c>
      <c r="G72" s="134">
        <f t="shared" si="187"/>
        <v>0.32400000000000001</v>
      </c>
      <c r="H72" s="130">
        <v>6.7499999999999999E-3</v>
      </c>
      <c r="I72" s="129">
        <v>5.2944699999999996</v>
      </c>
      <c r="J72" s="129">
        <f t="shared" si="188"/>
        <v>5.2944696000000002</v>
      </c>
      <c r="K72" s="133">
        <v>5.8631999999999998E-3</v>
      </c>
      <c r="L72" s="129">
        <v>6.0952500000000001</v>
      </c>
      <c r="M72" s="129">
        <f t="shared" si="189"/>
        <v>6.0952500000000001</v>
      </c>
      <c r="N72" s="130">
        <v>6.7499999999999999E-3</v>
      </c>
      <c r="O72" s="86"/>
      <c r="P72" s="324"/>
      <c r="Q72" s="82" t="s">
        <v>49</v>
      </c>
      <c r="R72" s="148">
        <v>8.7000000000000001E-4</v>
      </c>
      <c r="S72" s="99"/>
      <c r="T72" s="113"/>
      <c r="U72" s="111"/>
      <c r="V72" s="124"/>
      <c r="W72" s="124"/>
      <c r="X72" s="124"/>
      <c r="Y72" s="99"/>
      <c r="Z72" s="99"/>
      <c r="AA72" s="99"/>
      <c r="AB72" s="99"/>
      <c r="AC72" s="99"/>
      <c r="AD72" s="99"/>
      <c r="AE72" s="99"/>
      <c r="AF72" s="113"/>
      <c r="AG72" s="384">
        <f t="shared" si="185"/>
        <v>8.7000000000000001E-4</v>
      </c>
      <c r="AH72" s="385"/>
      <c r="AI72" s="86"/>
      <c r="AJ72" s="86"/>
      <c r="AK72" s="86"/>
      <c r="AL72" s="86"/>
      <c r="AM72" s="86"/>
    </row>
    <row r="73" spans="2:39" ht="13.5" hidden="1" customHeight="1" x14ac:dyDescent="0.2">
      <c r="B73" s="110">
        <v>8</v>
      </c>
      <c r="C73" s="128">
        <v>9.6000000000000002E-4</v>
      </c>
      <c r="D73" s="135">
        <f t="shared" si="186"/>
        <v>9.6480000000000003E-4</v>
      </c>
      <c r="E73" s="133">
        <v>2.0100000000000001E-5</v>
      </c>
      <c r="F73" s="129">
        <v>0.39600000000000002</v>
      </c>
      <c r="G73" s="134">
        <f t="shared" si="187"/>
        <v>0.39600000000000002</v>
      </c>
      <c r="H73" s="130">
        <v>8.2500000000000004E-3</v>
      </c>
      <c r="I73" s="131">
        <v>1.8149999999999999E-2</v>
      </c>
      <c r="J73" s="129">
        <f t="shared" si="188"/>
        <v>1.8150300000000001E-2</v>
      </c>
      <c r="K73" s="133">
        <v>2.0100000000000001E-5</v>
      </c>
      <c r="L73" s="129">
        <v>7.4497499999999999</v>
      </c>
      <c r="M73" s="129">
        <f t="shared" si="189"/>
        <v>7.4497500000000008</v>
      </c>
      <c r="N73" s="130">
        <v>8.2500000000000004E-3</v>
      </c>
      <c r="O73" s="86"/>
      <c r="P73" s="324" t="s">
        <v>76</v>
      </c>
      <c r="Q73" s="82" t="s">
        <v>47</v>
      </c>
      <c r="R73" s="111">
        <v>1.8864399999999999</v>
      </c>
      <c r="S73" s="99">
        <v>0.94599999999999995</v>
      </c>
      <c r="T73" s="113">
        <v>0.93145</v>
      </c>
      <c r="U73" s="111">
        <v>9.6750000000000003E-2</v>
      </c>
      <c r="V73" s="124">
        <v>0.11609999999999999</v>
      </c>
      <c r="W73" s="124">
        <v>0.30314999999999998</v>
      </c>
      <c r="X73" s="124"/>
      <c r="Y73" s="99"/>
      <c r="Z73" s="99"/>
      <c r="AA73" s="99"/>
      <c r="AB73" s="99"/>
      <c r="AC73" s="99"/>
      <c r="AD73" s="99"/>
      <c r="AE73" s="99"/>
      <c r="AF73" s="113"/>
      <c r="AG73" s="363">
        <f t="shared" si="185"/>
        <v>4.27989</v>
      </c>
      <c r="AH73" s="364"/>
      <c r="AI73" s="86"/>
      <c r="AJ73" s="86"/>
      <c r="AK73" s="86"/>
      <c r="AL73" s="86"/>
      <c r="AM73" s="86"/>
    </row>
    <row r="74" spans="2:39" ht="12.75" hidden="1" x14ac:dyDescent="0.2">
      <c r="B74" s="110">
        <v>9</v>
      </c>
      <c r="C74" s="128">
        <v>2.60467</v>
      </c>
      <c r="D74" s="135">
        <f t="shared" si="186"/>
        <v>2.6046671999999997</v>
      </c>
      <c r="E74" s="4">
        <v>5.4263899999999997E-2</v>
      </c>
      <c r="F74" s="129">
        <v>0.3024</v>
      </c>
      <c r="G74" s="134">
        <f t="shared" si="187"/>
        <v>0.3024</v>
      </c>
      <c r="H74" s="130">
        <v>6.3E-3</v>
      </c>
      <c r="I74" s="131">
        <v>49.000300000000003</v>
      </c>
      <c r="J74" s="129">
        <f t="shared" si="188"/>
        <v>49.000301699999994</v>
      </c>
      <c r="K74" s="4">
        <v>5.4263899999999997E-2</v>
      </c>
      <c r="L74" s="129">
        <v>5.6889000000000003</v>
      </c>
      <c r="M74" s="129">
        <f t="shared" si="189"/>
        <v>5.6889000000000003</v>
      </c>
      <c r="N74" s="130">
        <v>6.3E-3</v>
      </c>
      <c r="O74" s="86"/>
      <c r="P74" s="324"/>
      <c r="Q74" s="82" t="s">
        <v>49</v>
      </c>
      <c r="R74" s="142">
        <v>0.21934999999999999</v>
      </c>
      <c r="S74" s="126">
        <v>0.11</v>
      </c>
      <c r="T74" s="143">
        <v>0.10831</v>
      </c>
      <c r="U74" s="142">
        <v>1.125E-2</v>
      </c>
      <c r="V74" s="127">
        <v>1.35E-2</v>
      </c>
      <c r="W74" s="127">
        <v>3.5249999999999997E-2</v>
      </c>
      <c r="X74" s="127"/>
      <c r="Y74" s="126"/>
      <c r="Z74" s="126"/>
      <c r="AA74" s="126"/>
      <c r="AB74" s="126"/>
      <c r="AC74" s="126"/>
      <c r="AD74" s="126"/>
      <c r="AE74" s="126"/>
      <c r="AF74" s="143"/>
      <c r="AG74" s="396">
        <f t="shared" si="185"/>
        <v>0.49765999999999999</v>
      </c>
      <c r="AH74" s="397"/>
      <c r="AI74" s="86"/>
      <c r="AJ74" s="86"/>
      <c r="AK74" s="86"/>
      <c r="AL74" s="86"/>
      <c r="AM74" s="86"/>
    </row>
    <row r="75" spans="2:39" ht="12.75" hidden="1" x14ac:dyDescent="0.2">
      <c r="B75" s="110">
        <v>10</v>
      </c>
      <c r="C75" s="128">
        <v>2.8800000000000002E-3</v>
      </c>
      <c r="D75" s="135">
        <f t="shared" si="186"/>
        <v>2.8800000000000002E-3</v>
      </c>
      <c r="E75" s="133">
        <v>6.0000000000000002E-5</v>
      </c>
      <c r="F75" s="129">
        <v>0.12959999999999999</v>
      </c>
      <c r="G75" s="134">
        <f t="shared" si="187"/>
        <v>0.12959999999999999</v>
      </c>
      <c r="H75" s="130">
        <v>2.7000000000000001E-3</v>
      </c>
      <c r="I75" s="131">
        <v>5.4179999999999999E-2</v>
      </c>
      <c r="J75" s="129">
        <f t="shared" si="188"/>
        <v>5.4179999999999999E-2</v>
      </c>
      <c r="K75" s="133">
        <v>6.0000000000000002E-5</v>
      </c>
      <c r="L75" s="129">
        <v>2.4380999999999999</v>
      </c>
      <c r="M75" s="129">
        <f t="shared" si="189"/>
        <v>2.4380999999999999</v>
      </c>
      <c r="N75" s="130">
        <v>2.7000000000000001E-3</v>
      </c>
      <c r="O75" s="86"/>
      <c r="P75" s="324" t="s">
        <v>77</v>
      </c>
      <c r="Q75" s="82" t="s">
        <v>47</v>
      </c>
      <c r="R75" s="149">
        <v>4.3E-3</v>
      </c>
      <c r="S75" s="126"/>
      <c r="T75" s="143"/>
      <c r="U75" s="142"/>
      <c r="V75" s="127"/>
      <c r="W75" s="127"/>
      <c r="X75" s="127"/>
      <c r="Y75" s="126"/>
      <c r="Z75" s="126"/>
      <c r="AA75" s="126"/>
      <c r="AB75" s="126"/>
      <c r="AC75" s="126"/>
      <c r="AD75" s="126"/>
      <c r="AE75" s="126"/>
      <c r="AF75" s="143"/>
      <c r="AG75" s="379">
        <f t="shared" si="185"/>
        <v>4.3E-3</v>
      </c>
      <c r="AH75" s="380"/>
      <c r="AI75" s="86"/>
      <c r="AJ75" s="86"/>
      <c r="AK75" s="86"/>
      <c r="AL75" s="86"/>
      <c r="AM75" s="86"/>
    </row>
    <row r="76" spans="2:39" ht="12.75" hidden="1" x14ac:dyDescent="0.2">
      <c r="B76" s="110">
        <v>11</v>
      </c>
      <c r="C76" s="128">
        <v>1.0771500000000001</v>
      </c>
      <c r="D76" s="135">
        <f t="shared" si="186"/>
        <v>1.0771488</v>
      </c>
      <c r="E76" s="133">
        <v>2.2440600000000002E-2</v>
      </c>
      <c r="F76" s="129">
        <v>0.46800000000000003</v>
      </c>
      <c r="G76" s="134">
        <f t="shared" si="187"/>
        <v>0.46799999999999997</v>
      </c>
      <c r="H76" s="130">
        <v>9.75E-3</v>
      </c>
      <c r="I76" s="131">
        <v>20.263860000000001</v>
      </c>
      <c r="J76" s="129">
        <f t="shared" si="188"/>
        <v>20.263861800000001</v>
      </c>
      <c r="K76" s="133">
        <v>2.2440600000000002E-2</v>
      </c>
      <c r="L76" s="129">
        <v>8.8042499999999997</v>
      </c>
      <c r="M76" s="129">
        <f t="shared" si="189"/>
        <v>8.8042499999999997</v>
      </c>
      <c r="N76" s="130">
        <v>9.75E-3</v>
      </c>
      <c r="O76" s="86"/>
      <c r="P76" s="324"/>
      <c r="Q76" s="82" t="s">
        <v>49</v>
      </c>
      <c r="R76" s="149">
        <v>5.0000000000000001E-4</v>
      </c>
      <c r="S76" s="126"/>
      <c r="T76" s="143"/>
      <c r="U76" s="142"/>
      <c r="V76" s="127"/>
      <c r="W76" s="127"/>
      <c r="X76" s="127"/>
      <c r="Y76" s="126"/>
      <c r="Z76" s="126"/>
      <c r="AA76" s="126"/>
      <c r="AB76" s="126"/>
      <c r="AC76" s="126"/>
      <c r="AD76" s="126"/>
      <c r="AE76" s="126"/>
      <c r="AF76" s="143"/>
      <c r="AG76" s="379">
        <f t="shared" si="185"/>
        <v>5.0000000000000001E-4</v>
      </c>
      <c r="AH76" s="380"/>
      <c r="AI76" s="86"/>
      <c r="AJ76" s="86"/>
      <c r="AK76" s="86"/>
      <c r="AL76" s="86"/>
      <c r="AM76" s="86"/>
    </row>
    <row r="77" spans="2:39" ht="12.75" hidden="1" x14ac:dyDescent="0.2">
      <c r="B77" s="110">
        <v>12</v>
      </c>
      <c r="C77" s="111">
        <v>1.056</v>
      </c>
      <c r="D77" s="135">
        <f>E77*$H$62</f>
        <v>1.056</v>
      </c>
      <c r="E77" s="133">
        <v>2.1999999999999999E-2</v>
      </c>
      <c r="F77" s="99">
        <v>0.46800000000000003</v>
      </c>
      <c r="G77" s="134">
        <f t="shared" si="187"/>
        <v>0.46799999999999997</v>
      </c>
      <c r="H77" s="130">
        <v>9.75E-3</v>
      </c>
      <c r="I77" s="111">
        <v>19.866</v>
      </c>
      <c r="J77" s="129">
        <f t="shared" si="188"/>
        <v>19.866</v>
      </c>
      <c r="K77" s="133">
        <v>2.1999999999999999E-2</v>
      </c>
      <c r="L77" s="99">
        <v>8.8042499999999997</v>
      </c>
      <c r="M77" s="129">
        <f t="shared" si="189"/>
        <v>8.8042499999999997</v>
      </c>
      <c r="N77" s="130">
        <v>9.75E-3</v>
      </c>
      <c r="O77" s="86"/>
      <c r="P77" s="324" t="s">
        <v>78</v>
      </c>
      <c r="Q77" s="82" t="s">
        <v>47</v>
      </c>
      <c r="R77" s="149">
        <v>8.5999999999999998E-4</v>
      </c>
      <c r="S77" s="126"/>
      <c r="T77" s="143"/>
      <c r="U77" s="142"/>
      <c r="V77" s="127"/>
      <c r="W77" s="127"/>
      <c r="X77" s="127"/>
      <c r="Y77" s="126"/>
      <c r="Z77" s="126"/>
      <c r="AA77" s="126"/>
      <c r="AB77" s="126"/>
      <c r="AC77" s="126"/>
      <c r="AD77" s="126"/>
      <c r="AE77" s="126"/>
      <c r="AF77" s="143"/>
      <c r="AG77" s="379">
        <f t="shared" si="185"/>
        <v>8.5999999999999998E-4</v>
      </c>
      <c r="AH77" s="380"/>
      <c r="AI77" s="86"/>
      <c r="AJ77" s="86"/>
      <c r="AK77" s="86"/>
      <c r="AL77" s="86"/>
      <c r="AM77" s="86"/>
    </row>
    <row r="78" spans="2:39" ht="12.75" hidden="1" x14ac:dyDescent="0.2">
      <c r="B78" s="110">
        <v>13</v>
      </c>
      <c r="C78" s="111">
        <v>1.03976</v>
      </c>
      <c r="D78" s="135">
        <f t="shared" si="186"/>
        <v>1.0397615999999998</v>
      </c>
      <c r="E78" s="112">
        <v>2.1661699999999999E-2</v>
      </c>
      <c r="F78" s="99">
        <v>0.372</v>
      </c>
      <c r="G78" s="134">
        <f t="shared" si="187"/>
        <v>0.372</v>
      </c>
      <c r="H78" s="113">
        <v>7.7499999999999999E-3</v>
      </c>
      <c r="I78" s="111">
        <v>19.56052</v>
      </c>
      <c r="J78" s="129">
        <f t="shared" si="188"/>
        <v>19.5605151</v>
      </c>
      <c r="K78" s="112">
        <v>2.1661699999999999E-2</v>
      </c>
      <c r="L78" s="99">
        <v>6.9982499999999996</v>
      </c>
      <c r="M78" s="129">
        <f t="shared" si="189"/>
        <v>6.9982499999999996</v>
      </c>
      <c r="N78" s="113">
        <v>7.7499999999999999E-3</v>
      </c>
      <c r="O78" s="86"/>
      <c r="P78" s="324"/>
      <c r="Q78" s="82" t="s">
        <v>49</v>
      </c>
      <c r="R78" s="149">
        <v>1E-4</v>
      </c>
      <c r="S78" s="126"/>
      <c r="T78" s="143"/>
      <c r="U78" s="142"/>
      <c r="V78" s="127"/>
      <c r="W78" s="127"/>
      <c r="X78" s="127"/>
      <c r="Y78" s="126"/>
      <c r="Z78" s="126"/>
      <c r="AA78" s="126"/>
      <c r="AB78" s="126"/>
      <c r="AC78" s="126"/>
      <c r="AD78" s="126"/>
      <c r="AE78" s="126"/>
      <c r="AF78" s="143"/>
      <c r="AG78" s="379">
        <f t="shared" si="185"/>
        <v>1E-4</v>
      </c>
      <c r="AH78" s="380"/>
      <c r="AM78" s="86"/>
    </row>
    <row r="79" spans="2:39" ht="12.75" hidden="1" x14ac:dyDescent="0.2">
      <c r="B79" s="110">
        <v>14</v>
      </c>
      <c r="C79" s="111">
        <v>1.968E-2</v>
      </c>
      <c r="D79" s="135">
        <f t="shared" si="186"/>
        <v>1.9684799999999999E-2</v>
      </c>
      <c r="E79" s="112">
        <v>4.1009999999999999E-4</v>
      </c>
      <c r="F79" s="99">
        <v>9.6000000000000002E-2</v>
      </c>
      <c r="G79" s="134">
        <f t="shared" si="187"/>
        <v>9.6000000000000002E-2</v>
      </c>
      <c r="H79" s="113">
        <v>2E-3</v>
      </c>
      <c r="I79" s="111">
        <v>0.37031999999999998</v>
      </c>
      <c r="J79" s="129">
        <f t="shared" si="188"/>
        <v>0.37032029999999999</v>
      </c>
      <c r="K79" s="112">
        <v>4.1009999999999999E-4</v>
      </c>
      <c r="L79" s="99">
        <v>1.806</v>
      </c>
      <c r="M79" s="129">
        <f t="shared" si="189"/>
        <v>1.806</v>
      </c>
      <c r="N79" s="113">
        <v>2E-3</v>
      </c>
      <c r="O79" s="86"/>
      <c r="P79" s="324" t="s">
        <v>101</v>
      </c>
      <c r="Q79" s="82" t="s">
        <v>47</v>
      </c>
      <c r="R79" s="149">
        <v>2.5799999999999998E-3</v>
      </c>
      <c r="S79" s="126"/>
      <c r="T79" s="143"/>
      <c r="U79" s="142"/>
      <c r="V79" s="127"/>
      <c r="W79" s="127"/>
      <c r="X79" s="127"/>
      <c r="Y79" s="126"/>
      <c r="Z79" s="126"/>
      <c r="AA79" s="126"/>
      <c r="AB79" s="126"/>
      <c r="AC79" s="126"/>
      <c r="AD79" s="126"/>
      <c r="AE79" s="126"/>
      <c r="AF79" s="143"/>
      <c r="AG79" s="379">
        <f t="shared" si="185"/>
        <v>2.5799999999999998E-3</v>
      </c>
      <c r="AH79" s="380"/>
      <c r="AM79" s="86"/>
    </row>
    <row r="80" spans="2:39" ht="12.75" hidden="1" x14ac:dyDescent="0.2">
      <c r="B80" s="110">
        <v>15</v>
      </c>
      <c r="C80" s="111">
        <v>1.9199999999999998E-2</v>
      </c>
      <c r="D80" s="135">
        <f t="shared" si="186"/>
        <v>1.9200000000000002E-2</v>
      </c>
      <c r="E80" s="112">
        <v>4.0000000000000002E-4</v>
      </c>
      <c r="F80" s="99">
        <v>0.19439999999999999</v>
      </c>
      <c r="G80" s="134">
        <f t="shared" si="187"/>
        <v>0.19439999999999999</v>
      </c>
      <c r="H80" s="113">
        <v>4.0499999999999998E-3</v>
      </c>
      <c r="I80" s="111">
        <v>0.36120000000000002</v>
      </c>
      <c r="J80" s="129">
        <f t="shared" si="188"/>
        <v>0.36120000000000002</v>
      </c>
      <c r="K80" s="112">
        <v>4.0000000000000002E-4</v>
      </c>
      <c r="L80" s="99">
        <v>3.6571500000000001</v>
      </c>
      <c r="M80" s="129">
        <f t="shared" si="189"/>
        <v>3.6571499999999997</v>
      </c>
      <c r="N80" s="113">
        <v>4.0499999999999998E-3</v>
      </c>
      <c r="O80" s="86"/>
      <c r="P80" s="324"/>
      <c r="Q80" s="82" t="s">
        <v>49</v>
      </c>
      <c r="R80" s="149">
        <v>2.9999999999999997E-4</v>
      </c>
      <c r="S80" s="126"/>
      <c r="T80" s="143"/>
      <c r="U80" s="142"/>
      <c r="V80" s="127"/>
      <c r="W80" s="127"/>
      <c r="X80" s="127"/>
      <c r="Y80" s="126"/>
      <c r="Z80" s="126"/>
      <c r="AA80" s="126"/>
      <c r="AB80" s="126"/>
      <c r="AC80" s="126"/>
      <c r="AD80" s="126"/>
      <c r="AE80" s="126"/>
      <c r="AF80" s="113"/>
      <c r="AG80" s="379">
        <f t="shared" si="185"/>
        <v>2.9999999999999997E-4</v>
      </c>
      <c r="AH80" s="380"/>
      <c r="AM80" s="86"/>
    </row>
    <row r="81" spans="2:39" ht="15.75" hidden="1" customHeight="1" x14ac:dyDescent="0.2">
      <c r="B81" s="110">
        <v>16</v>
      </c>
      <c r="C81" s="111"/>
      <c r="D81" s="136"/>
      <c r="E81" s="112"/>
      <c r="F81" s="99">
        <v>0.30959999999999999</v>
      </c>
      <c r="G81" s="134">
        <f t="shared" si="187"/>
        <v>0.30959999999999999</v>
      </c>
      <c r="H81" s="113">
        <v>6.45E-3</v>
      </c>
      <c r="I81" s="111"/>
      <c r="J81" s="99"/>
      <c r="K81" s="112"/>
      <c r="L81" s="99">
        <v>5.8243499999999999</v>
      </c>
      <c r="M81" s="129">
        <f t="shared" si="189"/>
        <v>5.8243499999999999</v>
      </c>
      <c r="N81" s="113">
        <v>6.45E-3</v>
      </c>
      <c r="O81" s="86"/>
      <c r="P81" s="324" t="s">
        <v>102</v>
      </c>
      <c r="Q81" s="82" t="s">
        <v>47</v>
      </c>
      <c r="R81" s="142">
        <v>0.96494999999999997</v>
      </c>
      <c r="S81" s="126"/>
      <c r="T81" s="143"/>
      <c r="U81" s="142">
        <v>3.2250000000000001E-2</v>
      </c>
      <c r="V81" s="127">
        <v>0.16125</v>
      </c>
      <c r="W81" s="127">
        <v>0.16125</v>
      </c>
      <c r="X81" s="127">
        <v>0.22575000000000001</v>
      </c>
      <c r="Y81" s="127">
        <v>0.22575000000000001</v>
      </c>
      <c r="Z81" s="127">
        <v>0.29025000000000001</v>
      </c>
      <c r="AA81" s="127">
        <v>0.35475000000000001</v>
      </c>
      <c r="AB81" s="166">
        <f>0.2709-0.2709</f>
        <v>0</v>
      </c>
      <c r="AC81" s="126">
        <v>0.17415</v>
      </c>
      <c r="AD81" s="127">
        <v>2.5799999999999998E-3</v>
      </c>
      <c r="AE81" s="127">
        <v>2.9669999999999998E-2</v>
      </c>
      <c r="AF81" s="140">
        <v>0.61275000000000002</v>
      </c>
      <c r="AG81" s="396">
        <f t="shared" si="185"/>
        <v>3.2353500000000004</v>
      </c>
      <c r="AH81" s="397"/>
      <c r="AM81" s="2"/>
    </row>
    <row r="82" spans="2:39" ht="12.75" hidden="1" x14ac:dyDescent="0.2">
      <c r="B82" s="110">
        <v>17</v>
      </c>
      <c r="C82" s="111"/>
      <c r="D82" s="136"/>
      <c r="E82" s="112"/>
      <c r="F82" s="99">
        <v>1.248E-2</v>
      </c>
      <c r="G82" s="134">
        <f t="shared" si="187"/>
        <v>1.2479999999999998E-2</v>
      </c>
      <c r="H82" s="113">
        <v>2.5999999999999998E-4</v>
      </c>
      <c r="I82" s="111"/>
      <c r="J82" s="99"/>
      <c r="K82" s="112"/>
      <c r="L82" s="99">
        <v>0.23477999999999999</v>
      </c>
      <c r="M82" s="129">
        <f t="shared" si="189"/>
        <v>0.23477999999999999</v>
      </c>
      <c r="N82" s="113">
        <v>2.5999999999999998E-4</v>
      </c>
      <c r="O82" s="86"/>
      <c r="P82" s="324"/>
      <c r="Q82" s="82" t="s">
        <v>49</v>
      </c>
      <c r="R82" s="142">
        <v>0.11219999999999999</v>
      </c>
      <c r="S82" s="126"/>
      <c r="T82" s="143"/>
      <c r="U82" s="142">
        <v>3.7499999999999999E-3</v>
      </c>
      <c r="V82" s="127">
        <v>1.8749999999999999E-2</v>
      </c>
      <c r="W82" s="127">
        <v>1.8749999999999999E-2</v>
      </c>
      <c r="X82" s="127">
        <v>2.6249999999999999E-2</v>
      </c>
      <c r="Y82" s="127">
        <v>2.6249999999999999E-2</v>
      </c>
      <c r="Z82" s="127">
        <v>3.3750000000000002E-2</v>
      </c>
      <c r="AA82" s="127">
        <v>4.1250000000000002E-2</v>
      </c>
      <c r="AB82" s="166">
        <f>0.0315-0.0315</f>
        <v>0</v>
      </c>
      <c r="AC82" s="126">
        <v>2.0250000000000001E-2</v>
      </c>
      <c r="AD82" s="127">
        <v>2.9999999999999997E-4</v>
      </c>
      <c r="AE82" s="127">
        <v>3.4499999999999999E-3</v>
      </c>
      <c r="AF82" s="140">
        <v>7.1249999999999994E-2</v>
      </c>
      <c r="AG82" s="396">
        <f t="shared" si="185"/>
        <v>0.37619999999999998</v>
      </c>
      <c r="AH82" s="397"/>
      <c r="AM82" s="2"/>
    </row>
    <row r="83" spans="2:39" ht="13.5" hidden="1" customHeight="1" x14ac:dyDescent="0.2">
      <c r="B83" s="110">
        <v>18</v>
      </c>
      <c r="C83" s="111"/>
      <c r="D83" s="136"/>
      <c r="E83" s="112"/>
      <c r="F83" s="99">
        <v>2.8800000000000002E-3</v>
      </c>
      <c r="G83" s="134">
        <f t="shared" si="187"/>
        <v>2.8800000000000002E-3</v>
      </c>
      <c r="H83" s="113">
        <v>6.0000000000000002E-5</v>
      </c>
      <c r="I83" s="111"/>
      <c r="J83" s="99"/>
      <c r="K83" s="112"/>
      <c r="L83" s="99">
        <v>5.4179999999999999E-2</v>
      </c>
      <c r="M83" s="129">
        <f t="shared" si="189"/>
        <v>5.4179999999999999E-2</v>
      </c>
      <c r="N83" s="113">
        <v>6.0000000000000002E-5</v>
      </c>
      <c r="O83" s="86"/>
      <c r="P83" s="324" t="s">
        <v>103</v>
      </c>
      <c r="Q83" s="82" t="s">
        <v>47</v>
      </c>
      <c r="R83" s="149">
        <v>1.72E-2</v>
      </c>
      <c r="S83" s="126"/>
      <c r="T83" s="143"/>
      <c r="U83" s="142"/>
      <c r="V83" s="127"/>
      <c r="W83" s="127"/>
      <c r="X83" s="127"/>
      <c r="Y83" s="126"/>
      <c r="Z83" s="126"/>
      <c r="AA83" s="126"/>
      <c r="AB83" s="126"/>
      <c r="AC83" s="126"/>
      <c r="AD83" s="126"/>
      <c r="AE83" s="126"/>
      <c r="AF83" s="143"/>
      <c r="AG83" s="379">
        <f t="shared" si="185"/>
        <v>1.72E-2</v>
      </c>
      <c r="AH83" s="380"/>
      <c r="AM83" s="2"/>
    </row>
    <row r="84" spans="2:39" ht="12.75" hidden="1" x14ac:dyDescent="0.2">
      <c r="B84" s="110">
        <v>19</v>
      </c>
      <c r="C84" s="111"/>
      <c r="D84" s="136"/>
      <c r="E84" s="112"/>
      <c r="F84" s="99">
        <v>3.3119999999999997E-2</v>
      </c>
      <c r="G84" s="134">
        <f t="shared" si="187"/>
        <v>3.3119999999999997E-2</v>
      </c>
      <c r="H84" s="113">
        <v>6.8999999999999997E-4</v>
      </c>
      <c r="I84" s="111"/>
      <c r="J84" s="99"/>
      <c r="K84" s="112"/>
      <c r="L84" s="99">
        <v>0.62307000000000001</v>
      </c>
      <c r="M84" s="129">
        <f t="shared" si="189"/>
        <v>0.62307000000000001</v>
      </c>
      <c r="N84" s="113">
        <v>6.8999999999999997E-4</v>
      </c>
      <c r="O84" s="86"/>
      <c r="P84" s="324"/>
      <c r="Q84" s="82" t="s">
        <v>49</v>
      </c>
      <c r="R84" s="149">
        <v>2E-3</v>
      </c>
      <c r="S84" s="126"/>
      <c r="T84" s="143"/>
      <c r="U84" s="142"/>
      <c r="V84" s="127"/>
      <c r="W84" s="127"/>
      <c r="X84" s="127"/>
      <c r="Y84" s="126"/>
      <c r="Z84" s="126"/>
      <c r="AA84" s="126"/>
      <c r="AB84" s="126"/>
      <c r="AC84" s="126"/>
      <c r="AD84" s="126"/>
      <c r="AE84" s="126"/>
      <c r="AF84" s="143"/>
      <c r="AG84" s="379">
        <f t="shared" si="185"/>
        <v>2E-3</v>
      </c>
      <c r="AH84" s="380"/>
      <c r="AM84" s="2"/>
    </row>
    <row r="85" spans="2:39" ht="12.75" hidden="1" customHeight="1" x14ac:dyDescent="0.2">
      <c r="B85" s="110">
        <v>20</v>
      </c>
      <c r="C85" s="111"/>
      <c r="D85" s="136"/>
      <c r="E85" s="112"/>
      <c r="F85" s="99">
        <v>0.15312000000000001</v>
      </c>
      <c r="G85" s="134">
        <f t="shared" si="187"/>
        <v>0.15312000000000001</v>
      </c>
      <c r="H85" s="113">
        <v>3.1900000000000001E-3</v>
      </c>
      <c r="I85" s="111"/>
      <c r="J85" s="99"/>
      <c r="K85" s="112"/>
      <c r="L85" s="99">
        <v>2.8805700000000001</v>
      </c>
      <c r="M85" s="129">
        <f t="shared" si="189"/>
        <v>2.8805700000000001</v>
      </c>
      <c r="N85" s="113">
        <v>3.1900000000000001E-3</v>
      </c>
      <c r="O85" s="86"/>
      <c r="P85" s="333" t="s">
        <v>104</v>
      </c>
      <c r="Q85" s="82" t="s">
        <v>47</v>
      </c>
      <c r="R85" s="149"/>
      <c r="S85" s="126"/>
      <c r="T85" s="143"/>
      <c r="U85" s="142"/>
      <c r="V85" s="127"/>
      <c r="W85" s="127"/>
      <c r="X85" s="127"/>
      <c r="Y85" s="126"/>
      <c r="Z85" s="126"/>
      <c r="AA85" s="126"/>
      <c r="AB85" s="166">
        <v>0.27089999999999997</v>
      </c>
      <c r="AC85" s="126"/>
      <c r="AD85" s="126"/>
      <c r="AE85" s="126"/>
      <c r="AF85" s="143"/>
      <c r="AG85" s="379">
        <f t="shared" ref="AG85:AG86" si="190">SUM(R85:AF85)</f>
        <v>0.27089999999999997</v>
      </c>
      <c r="AH85" s="380"/>
      <c r="AM85" s="2"/>
    </row>
    <row r="86" spans="2:39" ht="12.75" hidden="1" x14ac:dyDescent="0.2">
      <c r="B86" s="110">
        <v>21</v>
      </c>
      <c r="C86" s="111"/>
      <c r="D86" s="136"/>
      <c r="E86" s="112"/>
      <c r="F86" s="99">
        <v>0.33839999999999998</v>
      </c>
      <c r="G86" s="134">
        <f t="shared" si="187"/>
        <v>0.33839999999999998</v>
      </c>
      <c r="H86" s="113">
        <v>7.0499999999999998E-3</v>
      </c>
      <c r="I86" s="111"/>
      <c r="J86" s="99"/>
      <c r="K86" s="112"/>
      <c r="L86" s="99">
        <v>6.3661500000000002</v>
      </c>
      <c r="M86" s="129">
        <f t="shared" si="189"/>
        <v>6.3661500000000002</v>
      </c>
      <c r="N86" s="113">
        <v>7.0499999999999998E-3</v>
      </c>
      <c r="O86" s="2"/>
      <c r="P86" s="386"/>
      <c r="Q86" s="82" t="s">
        <v>49</v>
      </c>
      <c r="R86" s="149"/>
      <c r="S86" s="126"/>
      <c r="T86" s="143"/>
      <c r="U86" s="142"/>
      <c r="V86" s="127"/>
      <c r="W86" s="127"/>
      <c r="X86" s="127"/>
      <c r="Y86" s="126"/>
      <c r="Z86" s="126"/>
      <c r="AA86" s="126"/>
      <c r="AB86" s="166">
        <v>3.15E-2</v>
      </c>
      <c r="AC86" s="126"/>
      <c r="AD86" s="126"/>
      <c r="AE86" s="126"/>
      <c r="AF86" s="143"/>
      <c r="AG86" s="379">
        <f t="shared" si="190"/>
        <v>3.15E-2</v>
      </c>
      <c r="AH86" s="380"/>
      <c r="AM86" s="2"/>
    </row>
    <row r="87" spans="2:39" ht="12.75" hidden="1" x14ac:dyDescent="0.2">
      <c r="B87" s="110">
        <v>22</v>
      </c>
      <c r="C87" s="111"/>
      <c r="D87" s="136"/>
      <c r="E87" s="112"/>
      <c r="F87" s="99">
        <v>0.54</v>
      </c>
      <c r="G87" s="134">
        <f t="shared" si="187"/>
        <v>0.54</v>
      </c>
      <c r="H87" s="113">
        <v>1.125E-2</v>
      </c>
      <c r="I87" s="111"/>
      <c r="J87" s="99"/>
      <c r="K87" s="112"/>
      <c r="L87" s="99">
        <v>10.15875</v>
      </c>
      <c r="M87" s="129">
        <f t="shared" si="189"/>
        <v>10.15875</v>
      </c>
      <c r="N87" s="113">
        <v>1.125E-2</v>
      </c>
      <c r="O87" s="2"/>
      <c r="P87" s="324" t="s">
        <v>81</v>
      </c>
      <c r="Q87" s="82" t="s">
        <v>47</v>
      </c>
      <c r="R87" s="148">
        <v>1.763E-2</v>
      </c>
      <c r="S87" s="99"/>
      <c r="T87" s="113"/>
      <c r="U87" s="111"/>
      <c r="V87" s="124"/>
      <c r="W87" s="124"/>
      <c r="X87" s="124"/>
      <c r="Y87" s="99"/>
      <c r="Z87" s="99"/>
      <c r="AA87" s="99"/>
      <c r="AB87" s="99"/>
      <c r="AC87" s="99"/>
      <c r="AD87" s="99"/>
      <c r="AE87" s="99"/>
      <c r="AF87" s="113"/>
      <c r="AG87" s="379">
        <f t="shared" si="185"/>
        <v>1.763E-2</v>
      </c>
      <c r="AH87" s="380"/>
    </row>
    <row r="88" spans="2:39" ht="13.5" hidden="1" thickBot="1" x14ac:dyDescent="0.25">
      <c r="B88" s="110">
        <v>23</v>
      </c>
      <c r="C88" s="111"/>
      <c r="D88" s="136"/>
      <c r="E88" s="112"/>
      <c r="F88" s="99">
        <v>0.68400000000000005</v>
      </c>
      <c r="G88" s="134">
        <f t="shared" si="187"/>
        <v>0.68400000000000005</v>
      </c>
      <c r="H88" s="113">
        <v>1.4250000000000001E-2</v>
      </c>
      <c r="I88" s="111"/>
      <c r="J88" s="99"/>
      <c r="K88" s="112"/>
      <c r="L88" s="99">
        <v>12.867749999999999</v>
      </c>
      <c r="M88" s="129">
        <f t="shared" si="189"/>
        <v>12.867750000000001</v>
      </c>
      <c r="N88" s="113">
        <v>1.4250000000000001E-2</v>
      </c>
      <c r="O88" s="2"/>
      <c r="P88" s="387"/>
      <c r="Q88" s="83" t="s">
        <v>49</v>
      </c>
      <c r="R88" s="150">
        <v>2.0500000000000002E-3</v>
      </c>
      <c r="S88" s="109"/>
      <c r="T88" s="144"/>
      <c r="U88" s="108"/>
      <c r="V88" s="125"/>
      <c r="W88" s="125"/>
      <c r="X88" s="125"/>
      <c r="Y88" s="109"/>
      <c r="Z88" s="109"/>
      <c r="AA88" s="109"/>
      <c r="AB88" s="109"/>
      <c r="AC88" s="109"/>
      <c r="AD88" s="109"/>
      <c r="AE88" s="109"/>
      <c r="AF88" s="144"/>
      <c r="AG88" s="379">
        <f t="shared" si="185"/>
        <v>2.0500000000000002E-3</v>
      </c>
      <c r="AH88" s="380"/>
    </row>
    <row r="89" spans="2:39" ht="12.75" hidden="1" customHeight="1" x14ac:dyDescent="0.2">
      <c r="B89" s="110">
        <v>24</v>
      </c>
      <c r="C89" s="111"/>
      <c r="D89" s="136"/>
      <c r="E89" s="112"/>
      <c r="F89" s="99">
        <v>0.68400000000000005</v>
      </c>
      <c r="G89" s="134">
        <f t="shared" si="187"/>
        <v>0.68400000000000005</v>
      </c>
      <c r="H89" s="113">
        <v>1.4250000000000001E-2</v>
      </c>
      <c r="I89" s="111"/>
      <c r="J89" s="99"/>
      <c r="K89" s="112"/>
      <c r="L89" s="99">
        <v>12.867749999999999</v>
      </c>
      <c r="M89" s="129">
        <f t="shared" si="189"/>
        <v>12.867750000000001</v>
      </c>
      <c r="N89" s="113">
        <v>1.4250000000000001E-2</v>
      </c>
      <c r="O89" s="2"/>
      <c r="R89" s="86"/>
      <c r="S89" s="86"/>
      <c r="T89" s="86"/>
      <c r="AC89" s="2"/>
      <c r="AE89" s="371" t="s">
        <v>105</v>
      </c>
      <c r="AF89" s="372"/>
      <c r="AG89" s="375">
        <f>SUM(AG63:AH88)</f>
        <v>47.999990000000011</v>
      </c>
      <c r="AH89" s="376"/>
    </row>
    <row r="90" spans="2:39" ht="13.5" hidden="1" thickBot="1" x14ac:dyDescent="0.25">
      <c r="B90" s="110">
        <v>25</v>
      </c>
      <c r="C90" s="111"/>
      <c r="D90" s="136"/>
      <c r="E90" s="116"/>
      <c r="F90" s="99">
        <v>0.68400000000000005</v>
      </c>
      <c r="G90" s="134">
        <f t="shared" si="187"/>
        <v>0.68400000000000005</v>
      </c>
      <c r="H90" s="113">
        <v>1.4250000000000001E-2</v>
      </c>
      <c r="I90" s="111"/>
      <c r="J90" s="99"/>
      <c r="K90" s="116"/>
      <c r="L90" s="99">
        <v>12.867749999999999</v>
      </c>
      <c r="M90" s="129">
        <f t="shared" si="189"/>
        <v>12.867750000000001</v>
      </c>
      <c r="N90" s="113">
        <v>1.4250000000000001E-2</v>
      </c>
      <c r="O90" s="2"/>
      <c r="R90" s="2"/>
      <c r="S90" s="2"/>
      <c r="T90" s="2"/>
      <c r="AC90" s="2"/>
      <c r="AE90" s="373"/>
      <c r="AF90" s="374"/>
      <c r="AG90" s="377"/>
      <c r="AH90" s="378"/>
    </row>
    <row r="91" spans="2:39" ht="12.75" hidden="1" customHeight="1" thickBot="1" x14ac:dyDescent="0.25">
      <c r="B91" s="117" t="s">
        <v>106</v>
      </c>
      <c r="C91" s="118">
        <f>SUM(C66:C86)</f>
        <v>40.799980000000005</v>
      </c>
      <c r="D91" s="168">
        <f>SUM(D66:D90)</f>
        <v>40.799995199999998</v>
      </c>
      <c r="E91" s="119">
        <f>SUM(E66:E90)</f>
        <v>0.84999989999999992</v>
      </c>
      <c r="F91" s="117">
        <f>SUM(F66:F90)</f>
        <v>7.2000000000000011</v>
      </c>
      <c r="G91" s="120">
        <f>SUM(G66:G90)</f>
        <v>7.2000000000000011</v>
      </c>
      <c r="H91" s="117">
        <f>SUM(H66:H90)</f>
        <v>0.15000000000000002</v>
      </c>
      <c r="I91" s="121">
        <f>SUM(I66:I86)</f>
        <v>767.54990999999995</v>
      </c>
      <c r="J91" s="117">
        <f>SUM(J66:J90)</f>
        <v>767.54990969999994</v>
      </c>
      <c r="K91" s="119">
        <f>SUM(K66:K90)</f>
        <v>0.84999989999999992</v>
      </c>
      <c r="L91" s="122">
        <f>SUM(L66:L90)</f>
        <v>135.44999999999999</v>
      </c>
      <c r="M91" s="120">
        <f>SUM(M66:M90)</f>
        <v>135.44999999999999</v>
      </c>
      <c r="N91" s="117">
        <f>SUM(N66:N90)</f>
        <v>0.15000000000000002</v>
      </c>
      <c r="O91" s="2"/>
      <c r="R91" s="86"/>
      <c r="S91" s="86"/>
      <c r="T91" s="86"/>
      <c r="U91" s="86"/>
      <c r="V91" s="86"/>
      <c r="W91" s="86"/>
      <c r="X91" s="86"/>
      <c r="AC91" s="2"/>
      <c r="AJ91" s="2"/>
      <c r="AK91" s="2"/>
      <c r="AL91" s="2"/>
      <c r="AM91" s="2"/>
    </row>
    <row r="92" spans="2:39" ht="15.75" hidden="1" customHeight="1" thickBot="1" x14ac:dyDescent="0.25">
      <c r="C92" s="388" t="s">
        <v>107</v>
      </c>
      <c r="D92" s="365">
        <f>SUM(C91+F91)</f>
        <v>47.999980000000008</v>
      </c>
      <c r="E92" s="388" t="s">
        <v>108</v>
      </c>
      <c r="F92" s="365">
        <f>SUM(D91+G91)</f>
        <v>47.999995200000001</v>
      </c>
      <c r="G92" s="390" t="s">
        <v>109</v>
      </c>
      <c r="H92" s="369">
        <f>SUM(E91+H91)</f>
        <v>0.99999989999999994</v>
      </c>
      <c r="I92" s="392" t="s">
        <v>107</v>
      </c>
      <c r="J92" s="394">
        <f>SUM(I91+L91)</f>
        <v>902.99991</v>
      </c>
      <c r="K92" s="392" t="s">
        <v>108</v>
      </c>
      <c r="L92" s="365">
        <f>SUM(J91+M91)</f>
        <v>902.99990969999999</v>
      </c>
      <c r="M92" s="367" t="s">
        <v>109</v>
      </c>
      <c r="N92" s="369">
        <f>SUM(K91+N91)</f>
        <v>0.99999989999999994</v>
      </c>
      <c r="O92" s="2"/>
      <c r="P92" s="85"/>
      <c r="Q92" s="86"/>
      <c r="R92" s="86"/>
      <c r="S92" s="86"/>
      <c r="T92" s="86"/>
      <c r="U92" s="86"/>
      <c r="V92" s="86"/>
      <c r="W92" s="86"/>
      <c r="X92" s="87"/>
      <c r="AC92" s="2"/>
      <c r="AJ92" s="86"/>
      <c r="AK92" s="86"/>
      <c r="AL92" s="96"/>
      <c r="AM92" s="2"/>
    </row>
    <row r="93" spans="2:39" ht="12.75" hidden="1" customHeight="1" thickBot="1" x14ac:dyDescent="0.25">
      <c r="B93" s="2"/>
      <c r="C93" s="389"/>
      <c r="D93" s="366"/>
      <c r="E93" s="389"/>
      <c r="F93" s="366"/>
      <c r="G93" s="391"/>
      <c r="H93" s="370"/>
      <c r="I93" s="393"/>
      <c r="J93" s="395"/>
      <c r="K93" s="393"/>
      <c r="L93" s="366"/>
      <c r="M93" s="368"/>
      <c r="N93" s="370"/>
      <c r="O93" s="2"/>
      <c r="P93" s="355" t="s">
        <v>87</v>
      </c>
      <c r="Q93" s="356"/>
      <c r="R93" s="89" t="s">
        <v>88</v>
      </c>
      <c r="S93" s="90" t="s">
        <v>88</v>
      </c>
      <c r="T93" s="137" t="s">
        <v>88</v>
      </c>
      <c r="U93" s="145" t="s">
        <v>89</v>
      </c>
      <c r="V93" s="91" t="s">
        <v>89</v>
      </c>
      <c r="W93" s="91" t="s">
        <v>89</v>
      </c>
      <c r="X93" s="91" t="s">
        <v>89</v>
      </c>
      <c r="Y93" s="91" t="s">
        <v>89</v>
      </c>
      <c r="Z93" s="91" t="s">
        <v>89</v>
      </c>
      <c r="AA93" s="91" t="s">
        <v>89</v>
      </c>
      <c r="AB93" s="91" t="s">
        <v>89</v>
      </c>
      <c r="AC93" s="91" t="s">
        <v>89</v>
      </c>
      <c r="AD93" s="91" t="s">
        <v>89</v>
      </c>
      <c r="AE93" s="91" t="s">
        <v>89</v>
      </c>
      <c r="AF93" s="92" t="s">
        <v>89</v>
      </c>
      <c r="AG93" s="357" t="s">
        <v>90</v>
      </c>
      <c r="AH93" s="358"/>
      <c r="AJ93" s="381" t="s">
        <v>110</v>
      </c>
      <c r="AK93" s="100" t="s">
        <v>92</v>
      </c>
      <c r="AL93" s="101"/>
      <c r="AM93" s="2"/>
    </row>
    <row r="94" spans="2:39" ht="13.5" hidden="1" thickBot="1" x14ac:dyDescent="0.25">
      <c r="B94" s="2"/>
      <c r="C94" s="86"/>
      <c r="D94" s="86"/>
      <c r="E94" s="86"/>
      <c r="F94" s="86"/>
      <c r="G94" s="86"/>
      <c r="H94" s="110"/>
      <c r="I94" s="2"/>
      <c r="J94" s="2"/>
      <c r="K94" s="2"/>
      <c r="L94" s="2"/>
      <c r="M94" s="2"/>
      <c r="N94" s="2"/>
      <c r="O94" s="2"/>
      <c r="P94" s="332" t="s">
        <v>71</v>
      </c>
      <c r="Q94" s="84" t="s">
        <v>47</v>
      </c>
      <c r="R94" s="138">
        <v>270.30648000000002</v>
      </c>
      <c r="S94" s="64"/>
      <c r="T94" s="147"/>
      <c r="U94" s="128">
        <v>7.9267500000000002</v>
      </c>
      <c r="V94" s="94">
        <v>7.9267500000000002</v>
      </c>
      <c r="W94" s="94">
        <v>1.6259999999999999</v>
      </c>
      <c r="X94" s="99">
        <v>11.58525</v>
      </c>
      <c r="Y94" s="94"/>
      <c r="Z94" s="94"/>
      <c r="AA94" s="94"/>
      <c r="AB94" s="94"/>
      <c r="AC94" s="94"/>
      <c r="AD94" s="94"/>
      <c r="AE94" s="95"/>
      <c r="AF94" s="141"/>
      <c r="AG94" s="361">
        <f t="shared" ref="AG94:AG119" si="191">SUM(R94:AF94)</f>
        <v>299.37123000000003</v>
      </c>
      <c r="AH94" s="362"/>
      <c r="AJ94" s="382"/>
      <c r="AK94" s="108" t="s">
        <v>99</v>
      </c>
      <c r="AL94" s="109"/>
      <c r="AM94" s="2"/>
    </row>
    <row r="95" spans="2:39" ht="12.75" hidden="1" customHeight="1" thickBot="1" x14ac:dyDescent="0.25">
      <c r="B95" s="86"/>
      <c r="C95" s="2"/>
      <c r="D95" s="123"/>
      <c r="E95" s="85"/>
      <c r="F95" s="86"/>
      <c r="G95" s="86"/>
      <c r="H95" s="86"/>
      <c r="I95" s="2"/>
      <c r="J95" s="2"/>
      <c r="K95" s="2"/>
      <c r="L95" s="2"/>
      <c r="M95" s="2"/>
      <c r="N95" s="2"/>
      <c r="O95" s="2"/>
      <c r="P95" s="324"/>
      <c r="Q95" s="82" t="s">
        <v>49</v>
      </c>
      <c r="R95" s="146">
        <v>29.92323</v>
      </c>
      <c r="S95" s="98"/>
      <c r="T95" s="113"/>
      <c r="U95" s="111">
        <v>0.87749999999999995</v>
      </c>
      <c r="V95" s="124">
        <v>0.87749999999999995</v>
      </c>
      <c r="W95" s="99">
        <v>0.18</v>
      </c>
      <c r="X95" s="99">
        <v>1.2825</v>
      </c>
      <c r="Y95" s="99"/>
      <c r="Z95" s="99"/>
      <c r="AA95" s="99"/>
      <c r="AB95" s="99"/>
      <c r="AC95" s="99"/>
      <c r="AD95" s="99"/>
      <c r="AE95" s="99"/>
      <c r="AF95" s="113"/>
      <c r="AG95" s="363">
        <f t="shared" si="191"/>
        <v>33.140730000000005</v>
      </c>
      <c r="AH95" s="364"/>
      <c r="AJ95" s="383"/>
      <c r="AK95" s="114" t="s">
        <v>100</v>
      </c>
      <c r="AL95" s="115">
        <f>SUM(AL93+AL94)</f>
        <v>0</v>
      </c>
      <c r="AM95" s="2"/>
    </row>
    <row r="96" spans="2:39" ht="12.75" hidden="1" x14ac:dyDescent="0.2">
      <c r="B96" s="86"/>
      <c r="C96" s="2"/>
      <c r="D96" s="2"/>
      <c r="E96" s="2"/>
      <c r="G96" s="2"/>
      <c r="H96" s="2"/>
      <c r="I96" s="86"/>
      <c r="J96" s="86"/>
      <c r="K96" s="86"/>
      <c r="L96" s="86"/>
      <c r="M96" s="86"/>
      <c r="N96" s="86"/>
      <c r="P96" s="324" t="s">
        <v>72</v>
      </c>
      <c r="Q96" s="82" t="s">
        <v>47</v>
      </c>
      <c r="R96" s="111">
        <v>4.7667799999999998</v>
      </c>
      <c r="S96" s="95">
        <v>44.116549999999997</v>
      </c>
      <c r="T96" s="113"/>
      <c r="U96" s="111">
        <v>5.2438500000000001</v>
      </c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113"/>
      <c r="AG96" s="363">
        <f t="shared" si="191"/>
        <v>54.127179999999996</v>
      </c>
      <c r="AH96" s="364"/>
      <c r="AI96" s="86"/>
      <c r="AJ96" s="86"/>
      <c r="AK96" s="86"/>
      <c r="AL96" s="86"/>
      <c r="AM96" s="2"/>
    </row>
    <row r="97" spans="2:39" ht="12.75" hidden="1" customHeight="1" x14ac:dyDescent="0.2">
      <c r="B97" s="86"/>
      <c r="C97" s="2"/>
      <c r="D97" s="2"/>
      <c r="E97" s="2"/>
      <c r="G97" s="2"/>
      <c r="H97" s="2"/>
      <c r="I97" s="86"/>
      <c r="J97" s="86"/>
      <c r="K97" s="86"/>
      <c r="L97" s="2"/>
      <c r="M97" s="2"/>
      <c r="N97" s="2"/>
      <c r="P97" s="324"/>
      <c r="Q97" s="82" t="s">
        <v>49</v>
      </c>
      <c r="R97" s="111">
        <v>0.52768999999999999</v>
      </c>
      <c r="S97" s="99">
        <v>4.88375</v>
      </c>
      <c r="T97" s="113"/>
      <c r="U97" s="111">
        <v>0.58050000000000002</v>
      </c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113"/>
      <c r="AG97" s="363">
        <f t="shared" si="191"/>
        <v>5.9919399999999996</v>
      </c>
      <c r="AH97" s="364"/>
      <c r="AI97" s="86"/>
      <c r="AJ97" s="86"/>
      <c r="AK97" s="86"/>
      <c r="AL97" s="86"/>
      <c r="AM97" s="2"/>
    </row>
    <row r="98" spans="2:39" ht="12.75" hidden="1" x14ac:dyDescent="0.2"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2"/>
      <c r="M98" s="2"/>
      <c r="N98" s="2"/>
      <c r="P98" s="324" t="s">
        <v>73</v>
      </c>
      <c r="Q98" s="82" t="s">
        <v>47</v>
      </c>
      <c r="R98" s="148">
        <v>2.4389999999999998E-2</v>
      </c>
      <c r="S98" s="99"/>
      <c r="T98" s="113"/>
      <c r="U98" s="111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113"/>
      <c r="AG98" s="384">
        <f t="shared" si="191"/>
        <v>2.4389999999999998E-2</v>
      </c>
      <c r="AH98" s="385"/>
      <c r="AI98" s="86"/>
    </row>
    <row r="99" spans="2:39" ht="12.75" hidden="1" x14ac:dyDescent="0.2"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2"/>
      <c r="M99" s="2"/>
      <c r="N99" s="2"/>
      <c r="P99" s="324"/>
      <c r="Q99" s="82" t="s">
        <v>49</v>
      </c>
      <c r="R99" s="148">
        <v>2.7000000000000001E-3</v>
      </c>
      <c r="S99" s="99"/>
      <c r="T99" s="113"/>
      <c r="U99" s="111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113"/>
      <c r="AG99" s="384">
        <f t="shared" si="191"/>
        <v>2.7000000000000001E-3</v>
      </c>
      <c r="AH99" s="385"/>
      <c r="AI99" s="86"/>
    </row>
    <row r="100" spans="2:39" ht="12.75" hidden="1" x14ac:dyDescent="0.2"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2"/>
      <c r="M100" s="2"/>
      <c r="N100" s="2"/>
      <c r="P100" s="324" t="s">
        <v>74</v>
      </c>
      <c r="Q100" s="82" t="s">
        <v>47</v>
      </c>
      <c r="R100" s="111">
        <v>281.4819</v>
      </c>
      <c r="S100" s="99"/>
      <c r="T100" s="113"/>
      <c r="U100" s="111">
        <v>6.3007499999999999</v>
      </c>
      <c r="V100" s="99">
        <v>0.21138000000000001</v>
      </c>
      <c r="W100" s="99">
        <v>2.5934699999999999</v>
      </c>
      <c r="X100" s="99">
        <v>9.1462500000000002</v>
      </c>
      <c r="Y100" s="99">
        <v>11.58525</v>
      </c>
      <c r="Z100" s="99"/>
      <c r="AA100" s="99"/>
      <c r="AB100" s="99"/>
      <c r="AC100" s="99"/>
      <c r="AD100" s="99"/>
      <c r="AE100" s="99"/>
      <c r="AF100" s="113"/>
      <c r="AG100" s="363">
        <f t="shared" si="191"/>
        <v>311.31900000000002</v>
      </c>
      <c r="AH100" s="364"/>
      <c r="AI100" s="86"/>
    </row>
    <row r="101" spans="2:39" ht="13.5" hidden="1" customHeight="1" x14ac:dyDescent="0.2"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2"/>
      <c r="M101" s="2"/>
      <c r="N101" s="2"/>
      <c r="P101" s="324"/>
      <c r="Q101" s="82" t="s">
        <v>49</v>
      </c>
      <c r="R101" s="111">
        <v>31.160360000000001</v>
      </c>
      <c r="S101" s="99"/>
      <c r="T101" s="113"/>
      <c r="U101" s="111">
        <v>0.69750000000000001</v>
      </c>
      <c r="V101" s="99">
        <v>2.3400000000000001E-2</v>
      </c>
      <c r="W101" s="99">
        <v>0.28710000000000002</v>
      </c>
      <c r="X101" s="99">
        <v>1.0125</v>
      </c>
      <c r="Y101" s="99">
        <v>1.2825</v>
      </c>
      <c r="Z101" s="99"/>
      <c r="AA101" s="99"/>
      <c r="AB101" s="99"/>
      <c r="AC101" s="99"/>
      <c r="AD101" s="99"/>
      <c r="AE101" s="99"/>
      <c r="AF101" s="113"/>
      <c r="AG101" s="363">
        <f t="shared" si="191"/>
        <v>34.463360000000002</v>
      </c>
      <c r="AH101" s="364"/>
      <c r="AI101" s="86"/>
    </row>
    <row r="102" spans="2:39" ht="12.75" hidden="1" x14ac:dyDescent="0.2"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2"/>
      <c r="M102" s="2"/>
      <c r="N102" s="2"/>
      <c r="P102" s="324" t="s">
        <v>75</v>
      </c>
      <c r="Q102" s="82" t="s">
        <v>47</v>
      </c>
      <c r="R102" s="148">
        <v>0.14072999999999999</v>
      </c>
      <c r="S102" s="99"/>
      <c r="T102" s="113"/>
      <c r="U102" s="111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113"/>
      <c r="AG102" s="384">
        <f t="shared" si="191"/>
        <v>0.14072999999999999</v>
      </c>
      <c r="AH102" s="385"/>
      <c r="AI102" s="86"/>
    </row>
    <row r="103" spans="2:39" ht="12.75" hidden="1" customHeight="1" x14ac:dyDescent="0.2"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2"/>
      <c r="M103" s="2"/>
      <c r="N103" s="2"/>
      <c r="P103" s="324"/>
      <c r="Q103" s="82" t="s">
        <v>49</v>
      </c>
      <c r="R103" s="148">
        <v>1.558E-2</v>
      </c>
      <c r="S103" s="99"/>
      <c r="T103" s="113"/>
      <c r="U103" s="111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113"/>
      <c r="AG103" s="384">
        <f t="shared" si="191"/>
        <v>1.558E-2</v>
      </c>
      <c r="AH103" s="385"/>
      <c r="AI103" s="86"/>
      <c r="AJ103" s="2"/>
      <c r="AK103" s="2"/>
      <c r="AL103" s="2"/>
    </row>
    <row r="104" spans="2:39" ht="12.75" hidden="1" x14ac:dyDescent="0.2"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2"/>
      <c r="M104" s="2"/>
      <c r="N104" s="2"/>
      <c r="P104" s="324" t="s">
        <v>76</v>
      </c>
      <c r="Q104" s="82" t="s">
        <v>47</v>
      </c>
      <c r="R104" s="111">
        <v>35.666800000000002</v>
      </c>
      <c r="S104" s="99">
        <v>17.885999999999999</v>
      </c>
      <c r="T104" s="113">
        <v>17.610959999999999</v>
      </c>
      <c r="U104" s="111">
        <v>1.82925</v>
      </c>
      <c r="V104" s="99">
        <v>2.1951000000000001</v>
      </c>
      <c r="W104" s="99">
        <v>5.7316500000000001</v>
      </c>
      <c r="X104" s="99"/>
      <c r="Y104" s="99"/>
      <c r="Z104" s="99"/>
      <c r="AA104" s="99"/>
      <c r="AB104" s="99"/>
      <c r="AC104" s="99"/>
      <c r="AD104" s="99"/>
      <c r="AE104" s="99"/>
      <c r="AF104" s="113"/>
      <c r="AG104" s="363">
        <f t="shared" si="191"/>
        <v>80.919759999999997</v>
      </c>
      <c r="AH104" s="364"/>
      <c r="AI104" s="86"/>
      <c r="AJ104" s="2"/>
      <c r="AK104" s="2"/>
      <c r="AL104" s="2"/>
    </row>
    <row r="105" spans="2:39" ht="12.75" hidden="1" customHeight="1" x14ac:dyDescent="0.2"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2"/>
      <c r="M105" s="2"/>
      <c r="N105" s="2"/>
      <c r="P105" s="324"/>
      <c r="Q105" s="82" t="s">
        <v>49</v>
      </c>
      <c r="R105" s="142">
        <v>3.94835</v>
      </c>
      <c r="S105" s="126">
        <v>1.98</v>
      </c>
      <c r="T105" s="143">
        <v>1.9495499999999999</v>
      </c>
      <c r="U105" s="142">
        <v>0.20250000000000001</v>
      </c>
      <c r="V105" s="126">
        <v>0.24299999999999999</v>
      </c>
      <c r="W105" s="126">
        <v>0.63449999999999995</v>
      </c>
      <c r="X105" s="126"/>
      <c r="Y105" s="126"/>
      <c r="Z105" s="126"/>
      <c r="AA105" s="126"/>
      <c r="AB105" s="126"/>
      <c r="AC105" s="126"/>
      <c r="AD105" s="126"/>
      <c r="AE105" s="126"/>
      <c r="AF105" s="143"/>
      <c r="AG105" s="363">
        <f t="shared" si="191"/>
        <v>8.9579000000000004</v>
      </c>
      <c r="AH105" s="364"/>
      <c r="AI105" s="86"/>
      <c r="AJ105" s="2"/>
      <c r="AK105" s="2"/>
      <c r="AL105" s="2"/>
    </row>
    <row r="106" spans="2:39" ht="12.75" hidden="1" x14ac:dyDescent="0.2"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2"/>
      <c r="M106" s="2"/>
      <c r="N106" s="2"/>
      <c r="P106" s="324" t="s">
        <v>77</v>
      </c>
      <c r="Q106" s="82" t="s">
        <v>47</v>
      </c>
      <c r="R106" s="149">
        <v>8.1379999999999994E-2</v>
      </c>
      <c r="S106" s="126"/>
      <c r="T106" s="143"/>
      <c r="U106" s="142"/>
      <c r="V106" s="126"/>
      <c r="W106" s="126"/>
      <c r="X106" s="126"/>
      <c r="Y106" s="126"/>
      <c r="Z106" s="126"/>
      <c r="AA106" s="126"/>
      <c r="AB106" s="126"/>
      <c r="AC106" s="126"/>
      <c r="AD106" s="126"/>
      <c r="AE106" s="126"/>
      <c r="AF106" s="143"/>
      <c r="AG106" s="384">
        <f t="shared" si="191"/>
        <v>8.1379999999999994E-2</v>
      </c>
      <c r="AH106" s="385"/>
      <c r="AI106" s="86"/>
      <c r="AJ106" s="2"/>
      <c r="AK106" s="2"/>
      <c r="AL106" s="2"/>
    </row>
    <row r="107" spans="2:39" ht="12.75" hidden="1" customHeight="1" x14ac:dyDescent="0.2"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2"/>
      <c r="M107" s="2"/>
      <c r="N107" s="2"/>
      <c r="P107" s="324"/>
      <c r="Q107" s="82" t="s">
        <v>49</v>
      </c>
      <c r="R107" s="149">
        <v>9.0100000000000006E-3</v>
      </c>
      <c r="S107" s="126"/>
      <c r="T107" s="143"/>
      <c r="U107" s="142"/>
      <c r="V107" s="126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43"/>
      <c r="AG107" s="384">
        <f t="shared" si="191"/>
        <v>9.0100000000000006E-3</v>
      </c>
      <c r="AH107" s="385"/>
      <c r="AI107" s="86"/>
      <c r="AJ107" s="2"/>
      <c r="AK107" s="2"/>
      <c r="AL107" s="2"/>
    </row>
    <row r="108" spans="2:39" ht="12.75" hidden="1" x14ac:dyDescent="0.2"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2"/>
      <c r="M108" s="2"/>
      <c r="N108" s="2"/>
      <c r="P108" s="324" t="s">
        <v>78</v>
      </c>
      <c r="Q108" s="82" t="s">
        <v>47</v>
      </c>
      <c r="R108" s="149">
        <v>1.634E-2</v>
      </c>
      <c r="S108" s="126"/>
      <c r="T108" s="143"/>
      <c r="U108" s="142"/>
      <c r="V108" s="126"/>
      <c r="W108" s="126"/>
      <c r="X108" s="126"/>
      <c r="Y108" s="126"/>
      <c r="Z108" s="126"/>
      <c r="AA108" s="126"/>
      <c r="AB108" s="126"/>
      <c r="AC108" s="126"/>
      <c r="AD108" s="126"/>
      <c r="AE108" s="126"/>
      <c r="AF108" s="143"/>
      <c r="AG108" s="384">
        <f t="shared" si="191"/>
        <v>1.634E-2</v>
      </c>
      <c r="AH108" s="385"/>
      <c r="AI108" s="86"/>
      <c r="AJ108" s="2"/>
      <c r="AK108" s="2"/>
      <c r="AL108" s="2"/>
    </row>
    <row r="109" spans="2:39" ht="13.5" hidden="1" customHeight="1" x14ac:dyDescent="0.2"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2"/>
      <c r="M109" s="2"/>
      <c r="N109" s="2"/>
      <c r="P109" s="324"/>
      <c r="Q109" s="82" t="s">
        <v>49</v>
      </c>
      <c r="R109" s="149">
        <v>1.81E-3</v>
      </c>
      <c r="S109" s="126"/>
      <c r="T109" s="143"/>
      <c r="U109" s="142"/>
      <c r="V109" s="126"/>
      <c r="W109" s="126"/>
      <c r="X109" s="126"/>
      <c r="Y109" s="126"/>
      <c r="Z109" s="126"/>
      <c r="AA109" s="126"/>
      <c r="AB109" s="126"/>
      <c r="AC109" s="126"/>
      <c r="AD109" s="126"/>
      <c r="AE109" s="126"/>
      <c r="AF109" s="143"/>
      <c r="AG109" s="384">
        <f t="shared" si="191"/>
        <v>1.81E-3</v>
      </c>
      <c r="AH109" s="385"/>
      <c r="AI109" s="86"/>
      <c r="AJ109" s="2"/>
      <c r="AK109" s="2"/>
      <c r="AL109" s="2"/>
    </row>
    <row r="110" spans="2:39" ht="12.75" hidden="1" x14ac:dyDescent="0.2"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2"/>
      <c r="M110" s="2"/>
      <c r="N110" s="2"/>
      <c r="P110" s="324" t="s">
        <v>101</v>
      </c>
      <c r="Q110" s="82" t="s">
        <v>47</v>
      </c>
      <c r="R110" s="149">
        <v>4.8779999999999997E-2</v>
      </c>
      <c r="S110" s="126"/>
      <c r="T110" s="143"/>
      <c r="U110" s="142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43"/>
      <c r="AG110" s="384">
        <f t="shared" si="191"/>
        <v>4.8779999999999997E-2</v>
      </c>
      <c r="AH110" s="385"/>
      <c r="AI110" s="86"/>
      <c r="AJ110" s="2"/>
      <c r="AK110" s="2"/>
      <c r="AL110" s="2"/>
    </row>
    <row r="111" spans="2:39" ht="12.75" hidden="1" x14ac:dyDescent="0.2"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2"/>
      <c r="M111" s="2"/>
      <c r="N111" s="2"/>
      <c r="P111" s="324"/>
      <c r="Q111" s="82" t="s">
        <v>49</v>
      </c>
      <c r="R111" s="149">
        <v>5.4000000000000003E-3</v>
      </c>
      <c r="S111" s="126"/>
      <c r="T111" s="143"/>
      <c r="U111" s="142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43"/>
      <c r="AG111" s="384">
        <f t="shared" si="191"/>
        <v>5.4000000000000003E-3</v>
      </c>
      <c r="AH111" s="385"/>
      <c r="AI111" s="86"/>
      <c r="AJ111" s="2"/>
      <c r="AK111" s="2"/>
      <c r="AL111" s="2"/>
    </row>
    <row r="112" spans="2:39" ht="12.75" hidden="1" x14ac:dyDescent="0.2"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2"/>
      <c r="M112" s="2"/>
      <c r="N112" s="2"/>
      <c r="P112" s="324" t="s">
        <v>102</v>
      </c>
      <c r="Q112" s="82" t="s">
        <v>47</v>
      </c>
      <c r="R112" s="142">
        <v>18.244209999999999</v>
      </c>
      <c r="S112" s="126"/>
      <c r="T112" s="143"/>
      <c r="U112" s="142">
        <v>0.60975000000000001</v>
      </c>
      <c r="V112" s="126">
        <v>3.0487500000000001</v>
      </c>
      <c r="W112" s="126">
        <v>3.0487500000000001</v>
      </c>
      <c r="X112" s="126">
        <v>4.2682500000000001</v>
      </c>
      <c r="Y112" s="126">
        <v>4.2682500000000001</v>
      </c>
      <c r="Z112" s="126">
        <v>5.4877500000000001</v>
      </c>
      <c r="AA112" s="126">
        <v>6.7072500000000002</v>
      </c>
      <c r="AB112" s="167">
        <f>5.1219-5.1219</f>
        <v>0</v>
      </c>
      <c r="AC112" s="126">
        <v>3.2926500000000001</v>
      </c>
      <c r="AD112" s="126">
        <v>4.8779999999999997E-2</v>
      </c>
      <c r="AE112" s="126">
        <v>0.56096999999999997</v>
      </c>
      <c r="AF112" s="143">
        <v>11.58525</v>
      </c>
      <c r="AG112" s="363">
        <f t="shared" si="191"/>
        <v>61.170610000000003</v>
      </c>
      <c r="AH112" s="364"/>
      <c r="AI112" s="86"/>
      <c r="AJ112" s="2"/>
      <c r="AK112" s="2"/>
      <c r="AL112" s="2"/>
    </row>
    <row r="113" spans="2:38" ht="12.75" hidden="1" x14ac:dyDescent="0.2"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2"/>
      <c r="M113" s="2"/>
      <c r="N113" s="2"/>
      <c r="P113" s="324"/>
      <c r="Q113" s="82" t="s">
        <v>49</v>
      </c>
      <c r="R113" s="142">
        <v>2.0196499999999999</v>
      </c>
      <c r="S113" s="126"/>
      <c r="T113" s="143"/>
      <c r="U113" s="142">
        <v>6.7500000000000004E-2</v>
      </c>
      <c r="V113" s="126">
        <v>0.33750000000000002</v>
      </c>
      <c r="W113" s="126">
        <v>0.33750000000000002</v>
      </c>
      <c r="X113" s="126">
        <v>0.47249999999999998</v>
      </c>
      <c r="Y113" s="126">
        <v>0.47249999999999998</v>
      </c>
      <c r="Z113" s="126">
        <v>0.60750000000000004</v>
      </c>
      <c r="AA113" s="126">
        <v>0.74250000000000005</v>
      </c>
      <c r="AB113" s="167">
        <f>0.567-0.567</f>
        <v>0</v>
      </c>
      <c r="AC113" s="126">
        <v>0.36449999999999999</v>
      </c>
      <c r="AD113" s="126">
        <v>5.4000000000000003E-3</v>
      </c>
      <c r="AE113" s="126">
        <v>6.2100000000000002E-2</v>
      </c>
      <c r="AF113" s="143">
        <v>1.2825</v>
      </c>
      <c r="AG113" s="363">
        <f t="shared" si="191"/>
        <v>6.7716499999999993</v>
      </c>
      <c r="AH113" s="364"/>
      <c r="AI113" s="86"/>
      <c r="AJ113" s="2"/>
      <c r="AK113" s="2"/>
      <c r="AL113" s="2"/>
    </row>
    <row r="114" spans="2:38" ht="12.75" hidden="1" x14ac:dyDescent="0.2"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2"/>
      <c r="M114" s="2"/>
      <c r="N114" s="2"/>
      <c r="P114" s="324" t="s">
        <v>103</v>
      </c>
      <c r="Q114" s="82" t="s">
        <v>47</v>
      </c>
      <c r="R114" s="149">
        <v>0.32519999999999999</v>
      </c>
      <c r="S114" s="126"/>
      <c r="T114" s="143"/>
      <c r="U114" s="142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43"/>
      <c r="AG114" s="384">
        <f t="shared" si="191"/>
        <v>0.32519999999999999</v>
      </c>
      <c r="AH114" s="385"/>
    </row>
    <row r="115" spans="2:38" ht="12.75" hidden="1" x14ac:dyDescent="0.2">
      <c r="B115" s="86"/>
      <c r="P115" s="324"/>
      <c r="Q115" s="82" t="s">
        <v>49</v>
      </c>
      <c r="R115" s="149">
        <v>3.5999999999999997E-2</v>
      </c>
      <c r="S115" s="126"/>
      <c r="T115" s="143"/>
      <c r="U115" s="142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43"/>
      <c r="AG115" s="384">
        <f t="shared" si="191"/>
        <v>3.5999999999999997E-2</v>
      </c>
      <c r="AH115" s="385"/>
    </row>
    <row r="116" spans="2:38" ht="12.75" hidden="1" x14ac:dyDescent="0.25">
      <c r="P116" s="333" t="s">
        <v>104</v>
      </c>
      <c r="Q116" s="82" t="s">
        <v>47</v>
      </c>
      <c r="R116" s="149"/>
      <c r="S116" s="126"/>
      <c r="T116" s="143"/>
      <c r="U116" s="142"/>
      <c r="V116" s="126"/>
      <c r="W116" s="126"/>
      <c r="X116" s="126"/>
      <c r="Y116" s="126"/>
      <c r="Z116" s="126"/>
      <c r="AA116" s="126"/>
      <c r="AB116" s="167">
        <v>5.1219000000000001</v>
      </c>
      <c r="AC116" s="126"/>
      <c r="AD116" s="126"/>
      <c r="AE116" s="126"/>
      <c r="AF116" s="143"/>
      <c r="AG116" s="384">
        <f t="shared" ref="AG116:AG117" si="192">SUM(R116:AF116)</f>
        <v>5.1219000000000001</v>
      </c>
      <c r="AH116" s="385"/>
    </row>
    <row r="117" spans="2:38" ht="12.75" hidden="1" x14ac:dyDescent="0.25">
      <c r="P117" s="386"/>
      <c r="Q117" s="82" t="s">
        <v>49</v>
      </c>
      <c r="R117" s="149"/>
      <c r="S117" s="126"/>
      <c r="T117" s="143"/>
      <c r="U117" s="142"/>
      <c r="V117" s="126"/>
      <c r="W117" s="126"/>
      <c r="X117" s="126"/>
      <c r="Y117" s="126"/>
      <c r="Z117" s="126"/>
      <c r="AA117" s="126"/>
      <c r="AB117" s="167">
        <v>0.56699999999999995</v>
      </c>
      <c r="AC117" s="126"/>
      <c r="AD117" s="126"/>
      <c r="AE117" s="126"/>
      <c r="AF117" s="143"/>
      <c r="AG117" s="384">
        <f t="shared" si="192"/>
        <v>0.56699999999999995</v>
      </c>
      <c r="AH117" s="385"/>
    </row>
    <row r="118" spans="2:38" ht="12.75" hidden="1" x14ac:dyDescent="0.25">
      <c r="P118" s="333" t="s">
        <v>81</v>
      </c>
      <c r="Q118" s="82" t="s">
        <v>47</v>
      </c>
      <c r="R118" s="148">
        <v>0.33340999999999998</v>
      </c>
      <c r="S118" s="99"/>
      <c r="T118" s="113"/>
      <c r="U118" s="111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113"/>
      <c r="AG118" s="384">
        <f t="shared" si="191"/>
        <v>0.33340999999999998</v>
      </c>
      <c r="AH118" s="385"/>
    </row>
    <row r="119" spans="2:38" ht="13.5" hidden="1" thickBot="1" x14ac:dyDescent="0.3">
      <c r="P119" s="398"/>
      <c r="Q119" s="83" t="s">
        <v>49</v>
      </c>
      <c r="R119" s="150">
        <v>3.6909999999999998E-2</v>
      </c>
      <c r="S119" s="109"/>
      <c r="T119" s="144"/>
      <c r="U119" s="108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44"/>
      <c r="AG119" s="384">
        <f t="shared" si="191"/>
        <v>3.6909999999999998E-2</v>
      </c>
      <c r="AH119" s="385"/>
    </row>
    <row r="120" spans="2:38" ht="12.75" hidden="1" x14ac:dyDescent="0.2">
      <c r="R120" s="86"/>
      <c r="S120" s="86"/>
      <c r="T120" s="86"/>
      <c r="AE120" s="371" t="s">
        <v>105</v>
      </c>
      <c r="AF120" s="372"/>
      <c r="AG120" s="399">
        <f>SUM(AG94:AH119)</f>
        <v>902.99989999999991</v>
      </c>
      <c r="AH120" s="400"/>
    </row>
    <row r="121" spans="2:38" ht="12.75" hidden="1" thickBot="1" x14ac:dyDescent="0.25">
      <c r="R121" s="2"/>
      <c r="S121" s="2"/>
      <c r="T121" s="2"/>
      <c r="AE121" s="373"/>
      <c r="AF121" s="374"/>
      <c r="AG121" s="401"/>
      <c r="AH121" s="402"/>
    </row>
    <row r="123" spans="2:38" ht="12.75" customHeight="1" x14ac:dyDescent="0.25"/>
    <row r="124" spans="2:38" ht="12.75" customHeight="1" x14ac:dyDescent="0.25"/>
  </sheetData>
  <mergeCells count="283">
    <mergeCell ref="O52:O53"/>
    <mergeCell ref="P52:P53"/>
    <mergeCell ref="B6:B29"/>
    <mergeCell ref="C28:C29"/>
    <mergeCell ref="B30:B53"/>
    <mergeCell ref="C52:C53"/>
    <mergeCell ref="B54:D54"/>
    <mergeCell ref="K28:K29"/>
    <mergeCell ref="L28:L29"/>
    <mergeCell ref="M28:M29"/>
    <mergeCell ref="N28:N29"/>
    <mergeCell ref="K52:K53"/>
    <mergeCell ref="L52:L53"/>
    <mergeCell ref="M52:M53"/>
    <mergeCell ref="N52:N53"/>
    <mergeCell ref="C44:C45"/>
    <mergeCell ref="C46:C47"/>
    <mergeCell ref="L16:L17"/>
    <mergeCell ref="K6:K7"/>
    <mergeCell ref="K8:K9"/>
    <mergeCell ref="K10:K11"/>
    <mergeCell ref="K12:K13"/>
    <mergeCell ref="K14:K15"/>
    <mergeCell ref="K16:K17"/>
    <mergeCell ref="P93:Q93"/>
    <mergeCell ref="P116:P117"/>
    <mergeCell ref="AG116:AH116"/>
    <mergeCell ref="AG117:AH117"/>
    <mergeCell ref="P110:P111"/>
    <mergeCell ref="P112:P113"/>
    <mergeCell ref="P114:P115"/>
    <mergeCell ref="AG93:AH93"/>
    <mergeCell ref="P94:P95"/>
    <mergeCell ref="AG94:AH94"/>
    <mergeCell ref="P96:P97"/>
    <mergeCell ref="P98:P99"/>
    <mergeCell ref="AG99:AH99"/>
    <mergeCell ref="AE120:AF121"/>
    <mergeCell ref="AG120:AH121"/>
    <mergeCell ref="AG75:AH75"/>
    <mergeCell ref="AG76:AH76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106:AH106"/>
    <mergeCell ref="AG107:AH107"/>
    <mergeCell ref="AG108:AH108"/>
    <mergeCell ref="AG109:AH109"/>
    <mergeCell ref="AG110:AH110"/>
    <mergeCell ref="AG111:AH111"/>
    <mergeCell ref="AG112:AH112"/>
    <mergeCell ref="AG101:AH101"/>
    <mergeCell ref="AG95:AH95"/>
    <mergeCell ref="AG96:AH96"/>
    <mergeCell ref="AG97:AH97"/>
    <mergeCell ref="AG98:AH98"/>
    <mergeCell ref="AG118:AH118"/>
    <mergeCell ref="AG119:AH119"/>
    <mergeCell ref="P100:P101"/>
    <mergeCell ref="AG100:AH100"/>
    <mergeCell ref="P118:P119"/>
    <mergeCell ref="P106:P107"/>
    <mergeCell ref="P108:P109"/>
    <mergeCell ref="AG113:AH113"/>
    <mergeCell ref="AG114:AH114"/>
    <mergeCell ref="AG115:AH115"/>
    <mergeCell ref="P102:P103"/>
    <mergeCell ref="AG102:AH102"/>
    <mergeCell ref="AG103:AH103"/>
    <mergeCell ref="P104:P105"/>
    <mergeCell ref="AG104:AH104"/>
    <mergeCell ref="AG105:AH105"/>
    <mergeCell ref="P71:P72"/>
    <mergeCell ref="AG71:AH71"/>
    <mergeCell ref="AG72:AH72"/>
    <mergeCell ref="P73:P74"/>
    <mergeCell ref="AG73:AH73"/>
    <mergeCell ref="AG74:AH74"/>
    <mergeCell ref="P77:P78"/>
    <mergeCell ref="P79:P80"/>
    <mergeCell ref="P81:P82"/>
    <mergeCell ref="C92:C93"/>
    <mergeCell ref="D92:D93"/>
    <mergeCell ref="E92:E93"/>
    <mergeCell ref="F92:F93"/>
    <mergeCell ref="G92:G93"/>
    <mergeCell ref="H92:H93"/>
    <mergeCell ref="I92:I93"/>
    <mergeCell ref="J92:J93"/>
    <mergeCell ref="K92:K93"/>
    <mergeCell ref="L92:L93"/>
    <mergeCell ref="M92:M93"/>
    <mergeCell ref="N92:N93"/>
    <mergeCell ref="AE89:AF90"/>
    <mergeCell ref="AG89:AH90"/>
    <mergeCell ref="P75:P76"/>
    <mergeCell ref="AG87:AH87"/>
    <mergeCell ref="AG88:AH88"/>
    <mergeCell ref="AJ64:AJ66"/>
    <mergeCell ref="P65:P66"/>
    <mergeCell ref="AG65:AH65"/>
    <mergeCell ref="AG66:AH66"/>
    <mergeCell ref="P67:P68"/>
    <mergeCell ref="AG67:AH67"/>
    <mergeCell ref="AG68:AH68"/>
    <mergeCell ref="P69:P70"/>
    <mergeCell ref="AG69:AH69"/>
    <mergeCell ref="AG70:AH70"/>
    <mergeCell ref="AJ93:AJ95"/>
    <mergeCell ref="P85:P86"/>
    <mergeCell ref="AG85:AH85"/>
    <mergeCell ref="AG86:AH86"/>
    <mergeCell ref="P83:P84"/>
    <mergeCell ref="P87:P88"/>
    <mergeCell ref="C62:D64"/>
    <mergeCell ref="G62:G64"/>
    <mergeCell ref="H62:H64"/>
    <mergeCell ref="I62:J64"/>
    <mergeCell ref="M62:M64"/>
    <mergeCell ref="N62:N64"/>
    <mergeCell ref="P62:Q62"/>
    <mergeCell ref="AG62:AH62"/>
    <mergeCell ref="E63:E64"/>
    <mergeCell ref="F63:F64"/>
    <mergeCell ref="K63:K64"/>
    <mergeCell ref="L63:L64"/>
    <mergeCell ref="P63:P64"/>
    <mergeCell ref="AG63:AH63"/>
    <mergeCell ref="AG64:AH64"/>
    <mergeCell ref="B2:P2"/>
    <mergeCell ref="B3:P3"/>
    <mergeCell ref="C40:C41"/>
    <mergeCell ref="C42:C43"/>
    <mergeCell ref="C22:C23"/>
    <mergeCell ref="C26:C27"/>
    <mergeCell ref="C30:C31"/>
    <mergeCell ref="C36:C37"/>
    <mergeCell ref="C38:C39"/>
    <mergeCell ref="C18:C19"/>
    <mergeCell ref="C34:C35"/>
    <mergeCell ref="C32:C33"/>
    <mergeCell ref="C14:C15"/>
    <mergeCell ref="C16:C17"/>
    <mergeCell ref="K22:K23"/>
    <mergeCell ref="K26:K27"/>
    <mergeCell ref="K30:K31"/>
    <mergeCell ref="C20:C21"/>
    <mergeCell ref="C6:C7"/>
    <mergeCell ref="C8:C9"/>
    <mergeCell ref="C10:C11"/>
    <mergeCell ref="C12:C13"/>
    <mergeCell ref="L8:L9"/>
    <mergeCell ref="L12:L13"/>
    <mergeCell ref="K18:K19"/>
    <mergeCell ref="K20:K21"/>
    <mergeCell ref="C24:C25"/>
    <mergeCell ref="K24:K25"/>
    <mergeCell ref="L24:L25"/>
    <mergeCell ref="M8:M9"/>
    <mergeCell ref="N8:N9"/>
    <mergeCell ref="O8:O9"/>
    <mergeCell ref="L18:L19"/>
    <mergeCell ref="M18:M19"/>
    <mergeCell ref="N18:N19"/>
    <mergeCell ref="O18:O19"/>
    <mergeCell ref="L20:L21"/>
    <mergeCell ref="L22:L23"/>
    <mergeCell ref="O16:O17"/>
    <mergeCell ref="M22:M23"/>
    <mergeCell ref="N22:N23"/>
    <mergeCell ref="O22:O23"/>
    <mergeCell ref="L14:L15"/>
    <mergeCell ref="M14:M15"/>
    <mergeCell ref="N14:N15"/>
    <mergeCell ref="O14:O15"/>
    <mergeCell ref="L10:L11"/>
    <mergeCell ref="L6:L7"/>
    <mergeCell ref="P18:P19"/>
    <mergeCell ref="M6:M7"/>
    <mergeCell ref="N6:N7"/>
    <mergeCell ref="O6:O7"/>
    <mergeCell ref="P6:P7"/>
    <mergeCell ref="M12:M13"/>
    <mergeCell ref="N12:N13"/>
    <mergeCell ref="O12:O13"/>
    <mergeCell ref="P12:P13"/>
    <mergeCell ref="M10:M11"/>
    <mergeCell ref="N10:N11"/>
    <mergeCell ref="O10:O11"/>
    <mergeCell ref="P10:P11"/>
    <mergeCell ref="P22:P23"/>
    <mergeCell ref="M20:M21"/>
    <mergeCell ref="N20:N21"/>
    <mergeCell ref="O20:O21"/>
    <mergeCell ref="P20:P21"/>
    <mergeCell ref="P8:P9"/>
    <mergeCell ref="M16:M17"/>
    <mergeCell ref="N16:N17"/>
    <mergeCell ref="M30:M31"/>
    <mergeCell ref="N30:N31"/>
    <mergeCell ref="O30:O31"/>
    <mergeCell ref="P30:P31"/>
    <mergeCell ref="P16:P17"/>
    <mergeCell ref="P14:P15"/>
    <mergeCell ref="M24:M25"/>
    <mergeCell ref="N24:N25"/>
    <mergeCell ref="O24:O25"/>
    <mergeCell ref="P24:P25"/>
    <mergeCell ref="L26:L27"/>
    <mergeCell ref="M26:M27"/>
    <mergeCell ref="N26:N27"/>
    <mergeCell ref="O26:O27"/>
    <mergeCell ref="P26:P27"/>
    <mergeCell ref="L30:L31"/>
    <mergeCell ref="O28:O29"/>
    <mergeCell ref="P28:P29"/>
    <mergeCell ref="P32:P33"/>
    <mergeCell ref="K34:K35"/>
    <mergeCell ref="L34:L35"/>
    <mergeCell ref="M34:M35"/>
    <mergeCell ref="N34:N35"/>
    <mergeCell ref="O34:O35"/>
    <mergeCell ref="P34:P35"/>
    <mergeCell ref="K32:K33"/>
    <mergeCell ref="L32:L33"/>
    <mergeCell ref="M32:M33"/>
    <mergeCell ref="N32:N33"/>
    <mergeCell ref="O32:O33"/>
    <mergeCell ref="P36:P37"/>
    <mergeCell ref="K38:K39"/>
    <mergeCell ref="L38:L39"/>
    <mergeCell ref="M38:M39"/>
    <mergeCell ref="N38:N39"/>
    <mergeCell ref="O38:O39"/>
    <mergeCell ref="P38:P39"/>
    <mergeCell ref="K36:K37"/>
    <mergeCell ref="L36:L37"/>
    <mergeCell ref="M36:M37"/>
    <mergeCell ref="N36:N37"/>
    <mergeCell ref="O36:O37"/>
    <mergeCell ref="K46:K47"/>
    <mergeCell ref="L46:L47"/>
    <mergeCell ref="M46:M47"/>
    <mergeCell ref="N46:N47"/>
    <mergeCell ref="O46:O47"/>
    <mergeCell ref="N42:N43"/>
    <mergeCell ref="O42:O43"/>
    <mergeCell ref="P42:P43"/>
    <mergeCell ref="K40:K41"/>
    <mergeCell ref="L40:L41"/>
    <mergeCell ref="M40:M41"/>
    <mergeCell ref="N40:N41"/>
    <mergeCell ref="O40:O41"/>
    <mergeCell ref="P40:P41"/>
    <mergeCell ref="C50:C51"/>
    <mergeCell ref="K50:K51"/>
    <mergeCell ref="L50:L51"/>
    <mergeCell ref="M50:M51"/>
    <mergeCell ref="N50:N51"/>
    <mergeCell ref="O50:O51"/>
    <mergeCell ref="P50:P51"/>
    <mergeCell ref="K42:K43"/>
    <mergeCell ref="L42:L43"/>
    <mergeCell ref="M42:M43"/>
    <mergeCell ref="C48:C49"/>
    <mergeCell ref="K48:K49"/>
    <mergeCell ref="L48:L49"/>
    <mergeCell ref="M48:M49"/>
    <mergeCell ref="N48:N49"/>
    <mergeCell ref="O48:O49"/>
    <mergeCell ref="P48:P49"/>
    <mergeCell ref="P46:P47"/>
    <mergeCell ref="K44:K45"/>
    <mergeCell ref="L44:L45"/>
    <mergeCell ref="M44:M45"/>
    <mergeCell ref="N44:N45"/>
    <mergeCell ref="O44:O45"/>
    <mergeCell ref="P44:P45"/>
  </mergeCells>
  <conditionalFormatting sqref="P6:P53">
    <cfRule type="cellIs" dxfId="5" priority="2" operator="greaterThan">
      <formula>1</formula>
    </cfRule>
  </conditionalFormatting>
  <conditionalFormatting sqref="P6:P54">
    <cfRule type="cellIs" dxfId="4" priority="1" operator="greaterThan">
      <formula>0.9</formula>
    </cfRule>
  </conditionalFormatting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2:Q96"/>
  <sheetViews>
    <sheetView showGridLines="0" zoomScaleNormal="100" workbookViewId="0">
      <pane ySplit="1" topLeftCell="A60" activePane="bottomLeft" state="frozen"/>
      <selection activeCell="B1" sqref="B1"/>
      <selection pane="bottomLeft" activeCell="I92" sqref="I92"/>
    </sheetView>
  </sheetViews>
  <sheetFormatPr baseColWidth="10" defaultColWidth="11.42578125" defaultRowHeight="12" x14ac:dyDescent="0.2"/>
  <cols>
    <col min="1" max="1" width="11.42578125" style="2"/>
    <col min="2" max="2" width="20" style="2" bestFit="1" customWidth="1"/>
    <col min="3" max="3" width="27.7109375" style="2" customWidth="1"/>
    <col min="4" max="4" width="8.28515625" style="3" customWidth="1"/>
    <col min="5" max="5" width="12.140625" style="3" bestFit="1" customWidth="1"/>
    <col min="6" max="6" width="23" style="3" customWidth="1"/>
    <col min="7" max="7" width="20.5703125" style="3" customWidth="1"/>
    <col min="8" max="8" width="18" style="3" customWidth="1"/>
    <col min="9" max="9" width="12.42578125" style="3" bestFit="1" customWidth="1"/>
    <col min="10" max="10" width="10.5703125" style="3" bestFit="1" customWidth="1"/>
    <col min="11" max="11" width="12" style="3" bestFit="1" customWidth="1"/>
    <col min="12" max="12" width="19" style="3" bestFit="1" customWidth="1"/>
    <col min="13" max="13" width="15.5703125" style="3" bestFit="1" customWidth="1"/>
    <col min="14" max="14" width="18" style="3" bestFit="1" customWidth="1"/>
    <col min="15" max="15" width="12.42578125" style="3" bestFit="1" customWidth="1"/>
    <col min="16" max="16" width="10.5703125" style="3" bestFit="1" customWidth="1"/>
    <col min="17" max="17" width="10.42578125" style="3" bestFit="1" customWidth="1"/>
    <col min="18" max="16384" width="11.42578125" style="2"/>
  </cols>
  <sheetData>
    <row r="2" spans="2:17" ht="15.75" x14ac:dyDescent="0.25">
      <c r="B2" s="229" t="s">
        <v>111</v>
      </c>
    </row>
    <row r="3" spans="2:17" ht="15" x14ac:dyDescent="0.2">
      <c r="B3" s="228" t="s">
        <v>44</v>
      </c>
      <c r="C3" s="228" t="s">
        <v>112</v>
      </c>
      <c r="D3" s="228" t="s">
        <v>113</v>
      </c>
      <c r="E3" s="228" t="s">
        <v>67</v>
      </c>
    </row>
    <row r="4" spans="2:17" x14ac:dyDescent="0.2">
      <c r="B4" s="1" t="s">
        <v>47</v>
      </c>
      <c r="C4" s="4">
        <v>1051</v>
      </c>
      <c r="D4" s="4">
        <v>1285</v>
      </c>
      <c r="E4" s="4">
        <f>SUM(C4+D4)</f>
        <v>2336</v>
      </c>
    </row>
    <row r="5" spans="2:17" x14ac:dyDescent="0.2">
      <c r="B5" s="1" t="s">
        <v>49</v>
      </c>
      <c r="C5" s="4">
        <v>117</v>
      </c>
      <c r="D5" s="4">
        <v>143</v>
      </c>
      <c r="E5" s="4">
        <f>SUM(C5+D5)</f>
        <v>260</v>
      </c>
    </row>
    <row r="6" spans="2:17" x14ac:dyDescent="0.2">
      <c r="B6" s="1" t="s">
        <v>67</v>
      </c>
      <c r="C6" s="4">
        <f>SUM(C4:C5)</f>
        <v>1168</v>
      </c>
      <c r="D6" s="4">
        <f>SUM(D4:D5)</f>
        <v>1428</v>
      </c>
      <c r="E6" s="4">
        <f>SUM(C6:D6)</f>
        <v>2596</v>
      </c>
    </row>
    <row r="9" spans="2:17" ht="20.25" customHeight="1" x14ac:dyDescent="0.2">
      <c r="B9" s="452" t="s">
        <v>114</v>
      </c>
      <c r="C9" s="453"/>
      <c r="D9" s="453"/>
      <c r="E9" s="453"/>
      <c r="F9" s="453"/>
      <c r="G9" s="453"/>
      <c r="H9" s="453"/>
      <c r="I9" s="453"/>
      <c r="J9" s="453"/>
      <c r="K9" s="453"/>
      <c r="L9" s="453"/>
      <c r="M9" s="453"/>
      <c r="N9" s="453"/>
      <c r="O9" s="453"/>
      <c r="P9" s="453"/>
      <c r="Q9" s="454"/>
    </row>
    <row r="10" spans="2:17" x14ac:dyDescent="0.2">
      <c r="B10" s="455">
        <f>'RESUMEN '!B3</f>
        <v>46324</v>
      </c>
      <c r="C10" s="456"/>
      <c r="D10" s="456"/>
      <c r="E10" s="456"/>
      <c r="F10" s="456"/>
      <c r="G10" s="456"/>
      <c r="H10" s="456"/>
      <c r="I10" s="456"/>
      <c r="J10" s="456"/>
      <c r="K10" s="456"/>
      <c r="L10" s="456"/>
      <c r="M10" s="456"/>
      <c r="N10" s="456"/>
      <c r="O10" s="456"/>
      <c r="P10" s="456"/>
      <c r="Q10" s="457"/>
    </row>
    <row r="11" spans="2:17" ht="12.75" thickBot="1" x14ac:dyDescent="0.25"/>
    <row r="12" spans="2:17" ht="12.75" thickBot="1" x14ac:dyDescent="0.25">
      <c r="B12" s="68" t="s">
        <v>1</v>
      </c>
      <c r="C12" s="159" t="s">
        <v>115</v>
      </c>
      <c r="D12" s="161" t="s">
        <v>44</v>
      </c>
      <c r="E12" s="160" t="s">
        <v>116</v>
      </c>
      <c r="F12" s="69" t="s">
        <v>4</v>
      </c>
      <c r="G12" s="69" t="s">
        <v>5</v>
      </c>
      <c r="H12" s="69" t="s">
        <v>6</v>
      </c>
      <c r="I12" s="69" t="s">
        <v>7</v>
      </c>
      <c r="J12" s="69" t="s">
        <v>8</v>
      </c>
      <c r="K12" s="70" t="s">
        <v>9</v>
      </c>
      <c r="L12" s="69" t="s">
        <v>4</v>
      </c>
      <c r="M12" s="69" t="s">
        <v>5</v>
      </c>
      <c r="N12" s="69" t="s">
        <v>6</v>
      </c>
      <c r="O12" s="69" t="s">
        <v>7</v>
      </c>
      <c r="P12" s="69" t="s">
        <v>8</v>
      </c>
      <c r="Q12" s="71" t="s">
        <v>35</v>
      </c>
    </row>
    <row r="13" spans="2:17" ht="12" customHeight="1" x14ac:dyDescent="0.2">
      <c r="B13" s="428" t="s">
        <v>117</v>
      </c>
      <c r="C13" s="449" t="s">
        <v>71</v>
      </c>
      <c r="D13" s="266" t="s">
        <v>47</v>
      </c>
      <c r="E13" s="444">
        <v>22.039137</v>
      </c>
      <c r="F13" s="36">
        <f>E13/100*$C$4</f>
        <v>231.63132987</v>
      </c>
      <c r="G13" s="36"/>
      <c r="H13" s="36">
        <f>F13+G13</f>
        <v>231.63132987</v>
      </c>
      <c r="I13" s="36">
        <v>228.70599999999999</v>
      </c>
      <c r="J13" s="36">
        <f>H13-I13</f>
        <v>2.925329870000013</v>
      </c>
      <c r="K13" s="209">
        <f>I13/H13</f>
        <v>0.98737075044363898</v>
      </c>
      <c r="L13" s="322">
        <f>F13+F14</f>
        <v>257.41712016000002</v>
      </c>
      <c r="M13" s="322">
        <f>G13+G14</f>
        <v>0</v>
      </c>
      <c r="N13" s="322">
        <f>L13+M13</f>
        <v>257.41712016000002</v>
      </c>
      <c r="O13" s="322">
        <f>I13+I14</f>
        <v>228.70599999999999</v>
      </c>
      <c r="P13" s="322">
        <f>N13-O13</f>
        <v>28.711120160000036</v>
      </c>
      <c r="Q13" s="323">
        <f>O13/N13</f>
        <v>0.8884646050652949</v>
      </c>
    </row>
    <row r="14" spans="2:17" ht="15" customHeight="1" thickBot="1" x14ac:dyDescent="0.25">
      <c r="B14" s="429"/>
      <c r="C14" s="443"/>
      <c r="D14" s="267" t="s">
        <v>49</v>
      </c>
      <c r="E14" s="445"/>
      <c r="F14" s="11">
        <f>E13/100*$C$5</f>
        <v>25.785790290000001</v>
      </c>
      <c r="G14" s="11"/>
      <c r="H14" s="11">
        <f>F14+G14+J13</f>
        <v>28.711120160000014</v>
      </c>
      <c r="I14" s="11"/>
      <c r="J14" s="11">
        <f>H14-I14</f>
        <v>28.711120160000014</v>
      </c>
      <c r="K14" s="208">
        <v>0.03</v>
      </c>
      <c r="L14" s="415"/>
      <c r="M14" s="415"/>
      <c r="N14" s="415"/>
      <c r="O14" s="415"/>
      <c r="P14" s="415"/>
      <c r="Q14" s="321"/>
    </row>
    <row r="15" spans="2:17" s="261" customFormat="1" ht="15" customHeight="1" x14ac:dyDescent="0.2">
      <c r="B15" s="429"/>
      <c r="C15" s="435" t="s">
        <v>72</v>
      </c>
      <c r="D15" s="272" t="s">
        <v>47</v>
      </c>
      <c r="E15" s="446">
        <v>0</v>
      </c>
      <c r="F15" s="259">
        <f>E15/100*$C$4</f>
        <v>0</v>
      </c>
      <c r="G15" s="260"/>
      <c r="H15" s="260">
        <f t="shared" ref="H15" si="0">F15+G15</f>
        <v>0</v>
      </c>
      <c r="I15" s="260"/>
      <c r="J15" s="260">
        <f>H15-I15</f>
        <v>0</v>
      </c>
      <c r="K15" s="251">
        <v>0</v>
      </c>
      <c r="L15" s="439">
        <f t="shared" ref="L15" si="1">F15+F16</f>
        <v>0</v>
      </c>
      <c r="M15" s="439">
        <f t="shared" ref="M15" si="2">G15+G16</f>
        <v>0</v>
      </c>
      <c r="N15" s="439">
        <f t="shared" ref="N15" si="3">L15+M15</f>
        <v>0</v>
      </c>
      <c r="O15" s="439">
        <f>I15+I16</f>
        <v>0</v>
      </c>
      <c r="P15" s="439">
        <f t="shared" ref="P15" si="4">N15-O15</f>
        <v>0</v>
      </c>
      <c r="Q15" s="441">
        <v>0</v>
      </c>
    </row>
    <row r="16" spans="2:17" s="261" customFormat="1" ht="15" customHeight="1" thickBot="1" x14ac:dyDescent="0.25">
      <c r="B16" s="429"/>
      <c r="C16" s="435"/>
      <c r="D16" s="272" t="s">
        <v>49</v>
      </c>
      <c r="E16" s="447"/>
      <c r="F16" s="260">
        <f>E15/100*$C$5</f>
        <v>0</v>
      </c>
      <c r="G16" s="260"/>
      <c r="H16" s="260">
        <f t="shared" ref="H16" si="5">F16+G16+J15</f>
        <v>0</v>
      </c>
      <c r="I16" s="260"/>
      <c r="J16" s="260">
        <f>H16-I16</f>
        <v>0</v>
      </c>
      <c r="K16" s="251">
        <v>0</v>
      </c>
      <c r="L16" s="440"/>
      <c r="M16" s="440"/>
      <c r="N16" s="440"/>
      <c r="O16" s="440"/>
      <c r="P16" s="440"/>
      <c r="Q16" s="441"/>
    </row>
    <row r="17" spans="2:17" ht="15" customHeight="1" x14ac:dyDescent="0.2">
      <c r="B17" s="429"/>
      <c r="C17" s="443" t="s">
        <v>74</v>
      </c>
      <c r="D17" s="267" t="s">
        <v>47</v>
      </c>
      <c r="E17" s="442">
        <v>29.26</v>
      </c>
      <c r="F17" s="36">
        <f>E17/100*$C$4</f>
        <v>307.52260000000001</v>
      </c>
      <c r="G17" s="11"/>
      <c r="H17" s="11">
        <f t="shared" ref="H17" si="6">F17+G17</f>
        <v>307.52260000000001</v>
      </c>
      <c r="I17" s="11">
        <v>301.56200000000001</v>
      </c>
      <c r="J17" s="11">
        <f t="shared" ref="J17:J81" si="7">H17-I17</f>
        <v>5.9605999999999995</v>
      </c>
      <c r="K17" s="208">
        <f t="shared" ref="K17:K74" si="8">I17/H17</f>
        <v>0.9806173595046348</v>
      </c>
      <c r="L17" s="320">
        <f t="shared" ref="L17" si="9">F17+F18</f>
        <v>341.7568</v>
      </c>
      <c r="M17" s="320">
        <f t="shared" ref="M17" si="10">G17+G18</f>
        <v>0</v>
      </c>
      <c r="N17" s="320">
        <f t="shared" ref="N17" si="11">L17+M17</f>
        <v>341.7568</v>
      </c>
      <c r="O17" s="320">
        <f t="shared" ref="O17" si="12">I17+I18</f>
        <v>322.95</v>
      </c>
      <c r="P17" s="320">
        <f t="shared" ref="P17" si="13">N17-O17</f>
        <v>18.80680000000001</v>
      </c>
      <c r="Q17" s="321">
        <f t="shared" ref="Q17" si="14">O17/N17</f>
        <v>0.94497022444030376</v>
      </c>
    </row>
    <row r="18" spans="2:17" ht="15" customHeight="1" thickBot="1" x14ac:dyDescent="0.25">
      <c r="B18" s="429"/>
      <c r="C18" s="443"/>
      <c r="D18" s="267" t="s">
        <v>49</v>
      </c>
      <c r="E18" s="442"/>
      <c r="F18" s="11">
        <f t="shared" ref="F18" si="15">E17/100*$C$5</f>
        <v>34.234200000000001</v>
      </c>
      <c r="G18" s="11"/>
      <c r="H18" s="11">
        <f t="shared" ref="H18" si="16">F18+G18+J17</f>
        <v>40.194800000000001</v>
      </c>
      <c r="I18" s="11">
        <v>21.388000000000002</v>
      </c>
      <c r="J18" s="11">
        <f t="shared" si="7"/>
        <v>18.806799999999999</v>
      </c>
      <c r="K18" s="208">
        <f t="shared" si="8"/>
        <v>0.53210863096718986</v>
      </c>
      <c r="L18" s="415"/>
      <c r="M18" s="415"/>
      <c r="N18" s="415"/>
      <c r="O18" s="415"/>
      <c r="P18" s="415"/>
      <c r="Q18" s="321"/>
    </row>
    <row r="19" spans="2:17" ht="15" customHeight="1" x14ac:dyDescent="0.2">
      <c r="B19" s="429"/>
      <c r="C19" s="450" t="s">
        <v>118</v>
      </c>
      <c r="D19" s="268" t="s">
        <v>47</v>
      </c>
      <c r="E19" s="448">
        <v>0</v>
      </c>
      <c r="F19" s="239">
        <f t="shared" ref="F19" si="17">E19/100*$C$4</f>
        <v>0</v>
      </c>
      <c r="G19" s="11"/>
      <c r="H19" s="11">
        <f t="shared" ref="H19" si="18">F19+G19</f>
        <v>0</v>
      </c>
      <c r="I19" s="11"/>
      <c r="J19" s="11">
        <f t="shared" si="7"/>
        <v>0</v>
      </c>
      <c r="K19" s="208">
        <v>0</v>
      </c>
      <c r="L19" s="320">
        <f t="shared" ref="L19" si="19">F19+F20</f>
        <v>0</v>
      </c>
      <c r="M19" s="320">
        <f t="shared" ref="M19" si="20">G19+G20</f>
        <v>0</v>
      </c>
      <c r="N19" s="320">
        <f t="shared" ref="N19" si="21">L19+M19</f>
        <v>0</v>
      </c>
      <c r="O19" s="320">
        <f t="shared" ref="O19" si="22">I19+I20</f>
        <v>0</v>
      </c>
      <c r="P19" s="320">
        <f t="shared" ref="P19" si="23">N19-O19</f>
        <v>0</v>
      </c>
      <c r="Q19" s="321">
        <v>0</v>
      </c>
    </row>
    <row r="20" spans="2:17" ht="15" customHeight="1" thickBot="1" x14ac:dyDescent="0.25">
      <c r="B20" s="429"/>
      <c r="C20" s="450"/>
      <c r="D20" s="268" t="s">
        <v>49</v>
      </c>
      <c r="E20" s="448"/>
      <c r="F20" s="240">
        <f t="shared" ref="F20" si="24">E19/100*$C$5</f>
        <v>0</v>
      </c>
      <c r="G20" s="11"/>
      <c r="H20" s="11">
        <f t="shared" ref="H20" si="25">F20+G20+J19</f>
        <v>0</v>
      </c>
      <c r="I20" s="11"/>
      <c r="J20" s="11">
        <f t="shared" si="7"/>
        <v>0</v>
      </c>
      <c r="K20" s="208">
        <v>0</v>
      </c>
      <c r="L20" s="415"/>
      <c r="M20" s="415"/>
      <c r="N20" s="415"/>
      <c r="O20" s="415"/>
      <c r="P20" s="415"/>
      <c r="Q20" s="321"/>
    </row>
    <row r="21" spans="2:17" ht="15" customHeight="1" x14ac:dyDescent="0.2">
      <c r="B21" s="429"/>
      <c r="C21" s="443" t="s">
        <v>75</v>
      </c>
      <c r="D21" s="267" t="s">
        <v>47</v>
      </c>
      <c r="E21" s="442">
        <v>3.6373000000000003E-2</v>
      </c>
      <c r="F21" s="36">
        <f t="shared" ref="F21" si="26">E21/100*$C$4</f>
        <v>0.38228023000000005</v>
      </c>
      <c r="G21" s="11"/>
      <c r="H21" s="11">
        <f t="shared" ref="H21" si="27">F21+G21</f>
        <v>0.38228023000000005</v>
      </c>
      <c r="I21" s="11"/>
      <c r="J21" s="11">
        <f t="shared" si="7"/>
        <v>0.38228023000000005</v>
      </c>
      <c r="K21" s="208">
        <f t="shared" si="8"/>
        <v>0</v>
      </c>
      <c r="L21" s="320">
        <f t="shared" ref="L21" si="28">F21+F22</f>
        <v>0.42483664000000004</v>
      </c>
      <c r="M21" s="320">
        <f t="shared" ref="M21" si="29">G21+G22</f>
        <v>0</v>
      </c>
      <c r="N21" s="320">
        <f t="shared" ref="N21" si="30">L21+M21</f>
        <v>0.42483664000000004</v>
      </c>
      <c r="O21" s="320">
        <f t="shared" ref="O21" si="31">I21+I22</f>
        <v>0</v>
      </c>
      <c r="P21" s="320">
        <f t="shared" ref="P21" si="32">N21-O21</f>
        <v>0.42483664000000004</v>
      </c>
      <c r="Q21" s="321">
        <f t="shared" ref="Q21" si="33">O21/N21</f>
        <v>0</v>
      </c>
    </row>
    <row r="22" spans="2:17" ht="15" customHeight="1" thickBot="1" x14ac:dyDescent="0.25">
      <c r="B22" s="429"/>
      <c r="C22" s="443"/>
      <c r="D22" s="273" t="s">
        <v>49</v>
      </c>
      <c r="E22" s="442"/>
      <c r="F22" s="11">
        <f t="shared" ref="F22" si="34">E21/100*$C$5</f>
        <v>4.2556410000000003E-2</v>
      </c>
      <c r="G22" s="11"/>
      <c r="H22" s="11">
        <f t="shared" ref="H22" si="35">F22+G22+J21</f>
        <v>0.42483664000000004</v>
      </c>
      <c r="I22" s="11"/>
      <c r="J22" s="11">
        <f t="shared" si="7"/>
        <v>0.42483664000000004</v>
      </c>
      <c r="K22" s="216">
        <f t="shared" si="8"/>
        <v>0</v>
      </c>
      <c r="L22" s="415"/>
      <c r="M22" s="415"/>
      <c r="N22" s="415"/>
      <c r="O22" s="415"/>
      <c r="P22" s="415"/>
      <c r="Q22" s="321"/>
    </row>
    <row r="23" spans="2:17" ht="15" customHeight="1" x14ac:dyDescent="0.2">
      <c r="B23" s="429"/>
      <c r="C23" s="443" t="s">
        <v>76</v>
      </c>
      <c r="D23" s="267" t="s">
        <v>47</v>
      </c>
      <c r="E23" s="442">
        <v>10.23349</v>
      </c>
      <c r="F23" s="36">
        <f t="shared" ref="F23" si="36">E23/100*$C$4</f>
        <v>107.55397989999999</v>
      </c>
      <c r="G23" s="11">
        <f>17.52</f>
        <v>17.52</v>
      </c>
      <c r="H23" s="11">
        <f>F23+G23</f>
        <v>125.07397989999998</v>
      </c>
      <c r="I23" s="274">
        <v>120.646</v>
      </c>
      <c r="J23" s="11">
        <f t="shared" si="7"/>
        <v>4.4279798999999826</v>
      </c>
      <c r="K23" s="216">
        <f>I23/H23</f>
        <v>0.96459711361595535</v>
      </c>
      <c r="L23" s="320">
        <f t="shared" ref="L23" si="37">F23+F24</f>
        <v>119.52716319999999</v>
      </c>
      <c r="M23" s="320">
        <f t="shared" ref="M23" si="38">G23+G24</f>
        <v>17.52</v>
      </c>
      <c r="N23" s="320">
        <f t="shared" ref="N23" si="39">L23+M23</f>
        <v>137.0471632</v>
      </c>
      <c r="O23" s="320">
        <f t="shared" ref="O23" si="40">I23+I24</f>
        <v>133.12700000000001</v>
      </c>
      <c r="P23" s="320">
        <f t="shared" ref="P23" si="41">N23-O23</f>
        <v>3.9201631999999904</v>
      </c>
      <c r="Q23" s="425">
        <f>O23/N23</f>
        <v>0.97139551736449226</v>
      </c>
    </row>
    <row r="24" spans="2:17" ht="15" customHeight="1" thickBot="1" x14ac:dyDescent="0.25">
      <c r="B24" s="429"/>
      <c r="C24" s="443"/>
      <c r="D24" s="273" t="s">
        <v>49</v>
      </c>
      <c r="E24" s="442"/>
      <c r="F24" s="11">
        <f t="shared" ref="F24" si="42">E23/100*$C$5</f>
        <v>11.973183299999999</v>
      </c>
      <c r="G24" s="11"/>
      <c r="H24" s="11">
        <f t="shared" ref="H24" si="43">F24+G24+J23</f>
        <v>16.401163199999981</v>
      </c>
      <c r="I24" s="11">
        <v>12.481</v>
      </c>
      <c r="J24" s="11">
        <f t="shared" si="7"/>
        <v>3.9201631999999815</v>
      </c>
      <c r="K24" s="216">
        <f t="shared" si="8"/>
        <v>0.76098261128210798</v>
      </c>
      <c r="L24" s="415"/>
      <c r="M24" s="415"/>
      <c r="N24" s="415"/>
      <c r="O24" s="415"/>
      <c r="P24" s="415"/>
      <c r="Q24" s="425"/>
    </row>
    <row r="25" spans="2:17" ht="15" customHeight="1" x14ac:dyDescent="0.2">
      <c r="B25" s="429"/>
      <c r="C25" s="443" t="s">
        <v>119</v>
      </c>
      <c r="D25" s="267" t="s">
        <v>47</v>
      </c>
      <c r="E25" s="442">
        <v>0.1</v>
      </c>
      <c r="F25" s="36">
        <f t="shared" ref="F25" si="44">E25/100*$C$4</f>
        <v>1.0509999999999999</v>
      </c>
      <c r="G25" s="11"/>
      <c r="H25" s="11">
        <f t="shared" ref="H25" si="45">F25+G25</f>
        <v>1.0509999999999999</v>
      </c>
      <c r="I25" s="11"/>
      <c r="J25" s="11">
        <f t="shared" si="7"/>
        <v>1.0509999999999999</v>
      </c>
      <c r="K25" s="216">
        <f t="shared" si="8"/>
        <v>0</v>
      </c>
      <c r="L25" s="320">
        <f t="shared" ref="L25" si="46">F25+F26</f>
        <v>1.1679999999999999</v>
      </c>
      <c r="M25" s="320">
        <f t="shared" ref="M25" si="47">G25+G26</f>
        <v>0</v>
      </c>
      <c r="N25" s="320">
        <f t="shared" ref="N25" si="48">L25+M25</f>
        <v>1.1679999999999999</v>
      </c>
      <c r="O25" s="320">
        <f t="shared" ref="O25" si="49">I25+I26</f>
        <v>0</v>
      </c>
      <c r="P25" s="320">
        <f t="shared" ref="P25" si="50">N25-O25</f>
        <v>1.1679999999999999</v>
      </c>
      <c r="Q25" s="425">
        <f t="shared" ref="Q25" si="51">O25/N25</f>
        <v>0</v>
      </c>
    </row>
    <row r="26" spans="2:17" ht="15" customHeight="1" thickBot="1" x14ac:dyDescent="0.25">
      <c r="B26" s="429"/>
      <c r="C26" s="443"/>
      <c r="D26" s="273" t="s">
        <v>49</v>
      </c>
      <c r="E26" s="442"/>
      <c r="F26" s="11">
        <f t="shared" ref="F26" si="52">E25/100*$C$5</f>
        <v>0.11700000000000001</v>
      </c>
      <c r="G26" s="11"/>
      <c r="H26" s="11">
        <f t="shared" ref="H26" si="53">F26+G26+J25</f>
        <v>1.1679999999999999</v>
      </c>
      <c r="I26" s="11"/>
      <c r="J26" s="11">
        <f t="shared" si="7"/>
        <v>1.1679999999999999</v>
      </c>
      <c r="K26" s="216">
        <f t="shared" si="8"/>
        <v>0</v>
      </c>
      <c r="L26" s="415"/>
      <c r="M26" s="415"/>
      <c r="N26" s="415"/>
      <c r="O26" s="415"/>
      <c r="P26" s="415"/>
      <c r="Q26" s="425"/>
    </row>
    <row r="27" spans="2:17" ht="15" customHeight="1" x14ac:dyDescent="0.2">
      <c r="B27" s="429"/>
      <c r="C27" s="443" t="s">
        <v>120</v>
      </c>
      <c r="D27" s="267" t="s">
        <v>47</v>
      </c>
      <c r="E27" s="442">
        <v>2.27</v>
      </c>
      <c r="F27" s="36">
        <f t="shared" ref="F27" si="54">E27/100*$C$4</f>
        <v>23.857700000000001</v>
      </c>
      <c r="G27" s="11">
        <f>-26.514</f>
        <v>-26.513999999999999</v>
      </c>
      <c r="H27" s="11">
        <f t="shared" ref="H27" si="55">F27+G27</f>
        <v>-2.6562999999999981</v>
      </c>
      <c r="I27" s="11"/>
      <c r="J27" s="11">
        <f t="shared" si="7"/>
        <v>-2.6562999999999981</v>
      </c>
      <c r="K27" s="216">
        <f t="shared" si="8"/>
        <v>0</v>
      </c>
      <c r="L27" s="320">
        <f t="shared" ref="L27" si="56">F27+F28</f>
        <v>26.5136</v>
      </c>
      <c r="M27" s="320">
        <f t="shared" ref="M27" si="57">G27+G28</f>
        <v>-26.513999999999999</v>
      </c>
      <c r="N27" s="320">
        <f t="shared" ref="N27" si="58">L27+M27</f>
        <v>-3.9999999999906777E-4</v>
      </c>
      <c r="O27" s="320">
        <f t="shared" ref="O27" si="59">I27+I28</f>
        <v>0</v>
      </c>
      <c r="P27" s="320">
        <f t="shared" ref="P27" si="60">N27-O27</f>
        <v>-3.9999999999906777E-4</v>
      </c>
      <c r="Q27" s="425">
        <f t="shared" ref="Q27" si="61">O27/N27</f>
        <v>0</v>
      </c>
    </row>
    <row r="28" spans="2:17" ht="15" customHeight="1" thickBot="1" x14ac:dyDescent="0.25">
      <c r="B28" s="429"/>
      <c r="C28" s="443"/>
      <c r="D28" s="273" t="s">
        <v>49</v>
      </c>
      <c r="E28" s="442"/>
      <c r="F28" s="11">
        <f t="shared" ref="F28" si="62">E27/100*$C$5</f>
        <v>2.6559000000000004</v>
      </c>
      <c r="G28" s="11"/>
      <c r="H28" s="11">
        <f t="shared" ref="H28" si="63">F28+G28+J27</f>
        <v>-3.999999999977355E-4</v>
      </c>
      <c r="I28" s="11"/>
      <c r="J28" s="11">
        <f t="shared" si="7"/>
        <v>-3.999999999977355E-4</v>
      </c>
      <c r="K28" s="216">
        <f t="shared" si="8"/>
        <v>0</v>
      </c>
      <c r="L28" s="415"/>
      <c r="M28" s="415"/>
      <c r="N28" s="415"/>
      <c r="O28" s="415"/>
      <c r="P28" s="415"/>
      <c r="Q28" s="425"/>
    </row>
    <row r="29" spans="2:17" ht="15" customHeight="1" x14ac:dyDescent="0.2">
      <c r="B29" s="429"/>
      <c r="C29" s="443" t="s">
        <v>121</v>
      </c>
      <c r="D29" s="273" t="s">
        <v>47</v>
      </c>
      <c r="E29" s="442">
        <v>3.1920000000000002</v>
      </c>
      <c r="F29" s="36">
        <f t="shared" ref="F29" si="64">E29/100*$C$4</f>
        <v>33.547920000000005</v>
      </c>
      <c r="G29" s="11"/>
      <c r="H29" s="11">
        <f>F29+G29</f>
        <v>33.547920000000005</v>
      </c>
      <c r="I29" s="11"/>
      <c r="J29" s="11">
        <f t="shared" si="7"/>
        <v>33.547920000000005</v>
      </c>
      <c r="K29" s="216">
        <f t="shared" si="8"/>
        <v>0</v>
      </c>
      <c r="L29" s="320">
        <f t="shared" ref="L29" si="65">F29+F30</f>
        <v>37.282560000000004</v>
      </c>
      <c r="M29" s="320">
        <f t="shared" ref="M29" si="66">G29+G30</f>
        <v>0</v>
      </c>
      <c r="N29" s="320">
        <f t="shared" ref="N29" si="67">L29+M29</f>
        <v>37.282560000000004</v>
      </c>
      <c r="O29" s="320">
        <f t="shared" ref="O29" si="68">I29+I30</f>
        <v>0</v>
      </c>
      <c r="P29" s="320">
        <f t="shared" ref="P29" si="69">N29-O29</f>
        <v>37.282560000000004</v>
      </c>
      <c r="Q29" s="425">
        <f t="shared" ref="Q29" si="70">O29/N29</f>
        <v>0</v>
      </c>
    </row>
    <row r="30" spans="2:17" ht="15" customHeight="1" thickBot="1" x14ac:dyDescent="0.25">
      <c r="B30" s="429"/>
      <c r="C30" s="443"/>
      <c r="D30" s="273" t="s">
        <v>49</v>
      </c>
      <c r="E30" s="442"/>
      <c r="F30" s="11">
        <f t="shared" ref="F30" si="71">E29/100*$C$5</f>
        <v>3.7346400000000006</v>
      </c>
      <c r="G30" s="11"/>
      <c r="H30" s="11">
        <f t="shared" ref="H30" si="72">F30+G30+J29</f>
        <v>37.282560000000004</v>
      </c>
      <c r="I30" s="11"/>
      <c r="J30" s="11">
        <f t="shared" si="7"/>
        <v>37.282560000000004</v>
      </c>
      <c r="K30" s="216">
        <f t="shared" si="8"/>
        <v>0</v>
      </c>
      <c r="L30" s="415"/>
      <c r="M30" s="415"/>
      <c r="N30" s="415"/>
      <c r="O30" s="415"/>
      <c r="P30" s="415"/>
      <c r="Q30" s="425"/>
    </row>
    <row r="31" spans="2:17" ht="15" customHeight="1" x14ac:dyDescent="0.2">
      <c r="B31" s="429"/>
      <c r="C31" s="443" t="s">
        <v>122</v>
      </c>
      <c r="D31" s="267" t="s">
        <v>47</v>
      </c>
      <c r="E31" s="442">
        <v>5.04E-2</v>
      </c>
      <c r="F31" s="36">
        <f t="shared" ref="F31" si="73">E31/100*$C$4</f>
        <v>0.52970399999999995</v>
      </c>
      <c r="G31" s="11"/>
      <c r="H31" s="11">
        <f t="shared" ref="H31" si="74">F31+G31</f>
        <v>0.52970399999999995</v>
      </c>
      <c r="I31" s="11"/>
      <c r="J31" s="11">
        <f t="shared" si="7"/>
        <v>0.52970399999999995</v>
      </c>
      <c r="K31" s="216">
        <f t="shared" si="8"/>
        <v>0</v>
      </c>
      <c r="L31" s="320">
        <f t="shared" ref="L31" si="75">F31+F32</f>
        <v>0.58867199999999997</v>
      </c>
      <c r="M31" s="320">
        <f t="shared" ref="M31" si="76">G31+G32</f>
        <v>0</v>
      </c>
      <c r="N31" s="320">
        <f t="shared" ref="N31" si="77">L31+M31</f>
        <v>0.58867199999999997</v>
      </c>
      <c r="O31" s="320">
        <f t="shared" ref="O31" si="78">I31+I32</f>
        <v>0</v>
      </c>
      <c r="P31" s="320">
        <f t="shared" ref="P31" si="79">N31-O31</f>
        <v>0.58867199999999997</v>
      </c>
      <c r="Q31" s="425">
        <f t="shared" ref="Q31" si="80">O31/N31</f>
        <v>0</v>
      </c>
    </row>
    <row r="32" spans="2:17" ht="15" customHeight="1" thickBot="1" x14ac:dyDescent="0.25">
      <c r="B32" s="429"/>
      <c r="C32" s="443"/>
      <c r="D32" s="273" t="s">
        <v>49</v>
      </c>
      <c r="E32" s="442"/>
      <c r="F32" s="11">
        <f t="shared" ref="F32" si="81">E31/100*$C$5</f>
        <v>5.8968E-2</v>
      </c>
      <c r="G32" s="11"/>
      <c r="H32" s="11">
        <f t="shared" ref="H32" si="82">F32+G32+J31</f>
        <v>0.58867199999999997</v>
      </c>
      <c r="I32" s="11"/>
      <c r="J32" s="11">
        <f t="shared" si="7"/>
        <v>0.58867199999999997</v>
      </c>
      <c r="K32" s="216">
        <f t="shared" si="8"/>
        <v>0</v>
      </c>
      <c r="L32" s="415"/>
      <c r="M32" s="415"/>
      <c r="N32" s="415"/>
      <c r="O32" s="415"/>
      <c r="P32" s="415"/>
      <c r="Q32" s="425"/>
    </row>
    <row r="33" spans="2:17" ht="15" customHeight="1" x14ac:dyDescent="0.2">
      <c r="B33" s="429"/>
      <c r="C33" s="443" t="s">
        <v>123</v>
      </c>
      <c r="D33" s="267" t="s">
        <v>47</v>
      </c>
      <c r="E33" s="442">
        <v>0.406005</v>
      </c>
      <c r="F33" s="36">
        <f t="shared" ref="F33" si="83">E33/100*$C$4</f>
        <v>4.2671125500000002</v>
      </c>
      <c r="G33" s="11"/>
      <c r="H33" s="11">
        <f t="shared" ref="H33" si="84">F33+G33</f>
        <v>4.2671125500000002</v>
      </c>
      <c r="I33" s="11"/>
      <c r="J33" s="11">
        <f t="shared" si="7"/>
        <v>4.2671125500000002</v>
      </c>
      <c r="K33" s="216">
        <f t="shared" si="8"/>
        <v>0</v>
      </c>
      <c r="L33" s="320">
        <f t="shared" ref="L33" si="85">F33+F34</f>
        <v>4.7421384</v>
      </c>
      <c r="M33" s="320">
        <f t="shared" ref="M33" si="86">G33+G34</f>
        <v>0</v>
      </c>
      <c r="N33" s="320">
        <f t="shared" ref="N33" si="87">L33+M33</f>
        <v>4.7421384</v>
      </c>
      <c r="O33" s="320">
        <f t="shared" ref="O33" si="88">I33+I34</f>
        <v>0</v>
      </c>
      <c r="P33" s="320">
        <f t="shared" ref="P33" si="89">N33-O33</f>
        <v>4.7421384</v>
      </c>
      <c r="Q33" s="425">
        <f t="shared" ref="Q33" si="90">O33/N33</f>
        <v>0</v>
      </c>
    </row>
    <row r="34" spans="2:17" ht="15" customHeight="1" thickBot="1" x14ac:dyDescent="0.25">
      <c r="B34" s="429"/>
      <c r="C34" s="443"/>
      <c r="D34" s="273" t="s">
        <v>49</v>
      </c>
      <c r="E34" s="442"/>
      <c r="F34" s="11">
        <f t="shared" ref="F34" si="91">E33/100*$C$5</f>
        <v>0.47502584999999997</v>
      </c>
      <c r="G34" s="11"/>
      <c r="H34" s="11">
        <f t="shared" ref="H34" si="92">F34+G34+J33</f>
        <v>4.7421384</v>
      </c>
      <c r="I34" s="11"/>
      <c r="J34" s="11">
        <f t="shared" si="7"/>
        <v>4.7421384</v>
      </c>
      <c r="K34" s="216">
        <f t="shared" si="8"/>
        <v>0</v>
      </c>
      <c r="L34" s="415"/>
      <c r="M34" s="415"/>
      <c r="N34" s="415"/>
      <c r="O34" s="415"/>
      <c r="P34" s="415"/>
      <c r="Q34" s="425"/>
    </row>
    <row r="35" spans="2:17" ht="15" customHeight="1" x14ac:dyDescent="0.2">
      <c r="B35" s="429"/>
      <c r="C35" s="443" t="s">
        <v>124</v>
      </c>
      <c r="D35" s="267" t="s">
        <v>47</v>
      </c>
      <c r="E35" s="442">
        <v>0</v>
      </c>
      <c r="F35" s="36">
        <f t="shared" ref="F35" si="93">E35/100*$C$4</f>
        <v>0</v>
      </c>
      <c r="G35" s="11">
        <v>26.513999999999999</v>
      </c>
      <c r="H35" s="11">
        <f t="shared" ref="H35" si="94">F35+G35</f>
        <v>26.513999999999999</v>
      </c>
      <c r="I35" s="11"/>
      <c r="J35" s="11">
        <f t="shared" ref="J35:J36" si="95">H35-I35</f>
        <v>26.513999999999999</v>
      </c>
      <c r="K35" s="216">
        <v>0</v>
      </c>
      <c r="L35" s="320">
        <f t="shared" ref="L35" si="96">F35+F36</f>
        <v>0</v>
      </c>
      <c r="M35" s="320">
        <f t="shared" ref="M35" si="97">G35+G36</f>
        <v>26.513999999999999</v>
      </c>
      <c r="N35" s="320">
        <f t="shared" ref="N35" si="98">L35+M35</f>
        <v>26.513999999999999</v>
      </c>
      <c r="O35" s="320">
        <f t="shared" ref="O35" si="99">I35+I36</f>
        <v>0</v>
      </c>
      <c r="P35" s="320">
        <f t="shared" ref="P35" si="100">N35-O35</f>
        <v>26.513999999999999</v>
      </c>
      <c r="Q35" s="425">
        <v>0</v>
      </c>
    </row>
    <row r="36" spans="2:17" ht="15" customHeight="1" thickBot="1" x14ac:dyDescent="0.25">
      <c r="B36" s="429"/>
      <c r="C36" s="443"/>
      <c r="D36" s="273" t="s">
        <v>49</v>
      </c>
      <c r="E36" s="442"/>
      <c r="F36" s="11">
        <f t="shared" ref="F36" si="101">E35/100*$C$5</f>
        <v>0</v>
      </c>
      <c r="G36" s="11"/>
      <c r="H36" s="11">
        <f t="shared" ref="H36" si="102">F36+G36+J35</f>
        <v>26.513999999999999</v>
      </c>
      <c r="I36" s="11"/>
      <c r="J36" s="11">
        <f t="shared" si="95"/>
        <v>26.513999999999999</v>
      </c>
      <c r="K36" s="216">
        <v>0</v>
      </c>
      <c r="L36" s="415"/>
      <c r="M36" s="415"/>
      <c r="N36" s="415"/>
      <c r="O36" s="415"/>
      <c r="P36" s="415"/>
      <c r="Q36" s="425"/>
    </row>
    <row r="37" spans="2:17" ht="15" customHeight="1" x14ac:dyDescent="0.2">
      <c r="B37" s="429"/>
      <c r="C37" s="443" t="s">
        <v>125</v>
      </c>
      <c r="D37" s="267" t="s">
        <v>47</v>
      </c>
      <c r="E37" s="442">
        <v>0.995</v>
      </c>
      <c r="F37" s="36">
        <f t="shared" ref="F37" si="103">E37/100*$C$4</f>
        <v>10.45745</v>
      </c>
      <c r="G37" s="11"/>
      <c r="H37" s="11">
        <f t="shared" ref="H37" si="104">F37+G37</f>
        <v>10.45745</v>
      </c>
      <c r="I37" s="11"/>
      <c r="J37" s="11">
        <f t="shared" ref="J37:J38" si="105">H37-I37</f>
        <v>10.45745</v>
      </c>
      <c r="K37" s="216">
        <f t="shared" ref="K37:K38" si="106">I37/H37</f>
        <v>0</v>
      </c>
      <c r="L37" s="320">
        <f t="shared" ref="L37" si="107">F37+F38</f>
        <v>11.621599999999999</v>
      </c>
      <c r="M37" s="320">
        <f t="shared" ref="M37" si="108">G37+G38</f>
        <v>0</v>
      </c>
      <c r="N37" s="320">
        <f t="shared" ref="N37" si="109">L37+M37</f>
        <v>11.621599999999999</v>
      </c>
      <c r="O37" s="320">
        <f t="shared" ref="O37" si="110">I37+I38</f>
        <v>0</v>
      </c>
      <c r="P37" s="320">
        <f t="shared" ref="P37" si="111">N37-O37</f>
        <v>11.621599999999999</v>
      </c>
      <c r="Q37" s="425">
        <f t="shared" ref="Q37" si="112">O37/N37</f>
        <v>0</v>
      </c>
    </row>
    <row r="38" spans="2:17" ht="15" customHeight="1" thickBot="1" x14ac:dyDescent="0.25">
      <c r="B38" s="429"/>
      <c r="C38" s="443"/>
      <c r="D38" s="273" t="s">
        <v>49</v>
      </c>
      <c r="E38" s="442"/>
      <c r="F38" s="11">
        <f t="shared" ref="F38" si="113">E37/100*$C$5</f>
        <v>1.16415</v>
      </c>
      <c r="G38" s="11"/>
      <c r="H38" s="11">
        <f t="shared" ref="H38" si="114">F38+G38+J37</f>
        <v>11.621599999999999</v>
      </c>
      <c r="I38" s="11"/>
      <c r="J38" s="11">
        <f t="shared" si="105"/>
        <v>11.621599999999999</v>
      </c>
      <c r="K38" s="216">
        <f t="shared" si="106"/>
        <v>0</v>
      </c>
      <c r="L38" s="415"/>
      <c r="M38" s="415"/>
      <c r="N38" s="415"/>
      <c r="O38" s="415"/>
      <c r="P38" s="415"/>
      <c r="Q38" s="425"/>
    </row>
    <row r="39" spans="2:17" ht="15" customHeight="1" x14ac:dyDescent="0.2">
      <c r="B39" s="429"/>
      <c r="C39" s="443" t="s">
        <v>126</v>
      </c>
      <c r="D39" s="267" t="s">
        <v>47</v>
      </c>
      <c r="E39" s="442">
        <v>4.8279999999999998E-3</v>
      </c>
      <c r="F39" s="36">
        <f t="shared" ref="F39" si="115">E39/100*$C$4</f>
        <v>5.0742280000000001E-2</v>
      </c>
      <c r="G39" s="11"/>
      <c r="H39" s="11">
        <f t="shared" ref="H39" si="116">F39+G39</f>
        <v>5.0742280000000001E-2</v>
      </c>
      <c r="I39" s="11"/>
      <c r="J39" s="11">
        <f t="shared" ref="J39:J40" si="117">H39-I39</f>
        <v>5.0742280000000001E-2</v>
      </c>
      <c r="K39" s="216">
        <f t="shared" ref="K39:K40" si="118">I39/H39</f>
        <v>0</v>
      </c>
      <c r="L39" s="320">
        <f t="shared" ref="L39" si="119">F39+F40</f>
        <v>5.6391040000000003E-2</v>
      </c>
      <c r="M39" s="320">
        <f t="shared" ref="M39" si="120">G39+G40</f>
        <v>0</v>
      </c>
      <c r="N39" s="320">
        <f t="shared" ref="N39" si="121">L39+M39</f>
        <v>5.6391040000000003E-2</v>
      </c>
      <c r="O39" s="320">
        <f t="shared" ref="O39" si="122">I39+I40</f>
        <v>0</v>
      </c>
      <c r="P39" s="320">
        <f t="shared" ref="P39" si="123">N39-O39</f>
        <v>5.6391040000000003E-2</v>
      </c>
      <c r="Q39" s="425">
        <f t="shared" ref="Q39" si="124">O39/N39</f>
        <v>0</v>
      </c>
    </row>
    <row r="40" spans="2:17" ht="15" customHeight="1" thickBot="1" x14ac:dyDescent="0.25">
      <c r="B40" s="429"/>
      <c r="C40" s="443"/>
      <c r="D40" s="273" t="s">
        <v>49</v>
      </c>
      <c r="E40" s="442"/>
      <c r="F40" s="11">
        <f t="shared" ref="F40" si="125">E39/100*$C$5</f>
        <v>5.6487600000000001E-3</v>
      </c>
      <c r="G40" s="11"/>
      <c r="H40" s="11">
        <f t="shared" ref="H40" si="126">F40+G40+J39</f>
        <v>5.6391040000000003E-2</v>
      </c>
      <c r="I40" s="11"/>
      <c r="J40" s="11">
        <f t="shared" si="117"/>
        <v>5.6391040000000003E-2</v>
      </c>
      <c r="K40" s="216">
        <f t="shared" si="118"/>
        <v>0</v>
      </c>
      <c r="L40" s="415"/>
      <c r="M40" s="415"/>
      <c r="N40" s="415"/>
      <c r="O40" s="415"/>
      <c r="P40" s="415"/>
      <c r="Q40" s="425"/>
    </row>
    <row r="41" spans="2:17" ht="15" customHeight="1" x14ac:dyDescent="0.2">
      <c r="B41" s="429"/>
      <c r="C41" s="443" t="s">
        <v>127</v>
      </c>
      <c r="D41" s="267" t="s">
        <v>47</v>
      </c>
      <c r="E41" s="442">
        <v>0</v>
      </c>
      <c r="F41" s="36">
        <f t="shared" ref="F41" si="127">E41/100*$C$4</f>
        <v>0</v>
      </c>
      <c r="G41" s="11"/>
      <c r="H41" s="11">
        <f t="shared" ref="H41" si="128">F41+G41</f>
        <v>0</v>
      </c>
      <c r="I41" s="11"/>
      <c r="J41" s="11">
        <f t="shared" si="7"/>
        <v>0</v>
      </c>
      <c r="K41" s="216">
        <v>0</v>
      </c>
      <c r="L41" s="320">
        <f>F41+F42</f>
        <v>0</v>
      </c>
      <c r="M41" s="320">
        <f>G41+G42</f>
        <v>0</v>
      </c>
      <c r="N41" s="320">
        <f t="shared" ref="N41" si="129">L41+M41</f>
        <v>0</v>
      </c>
      <c r="O41" s="320">
        <f>I41+I42</f>
        <v>0</v>
      </c>
      <c r="P41" s="320">
        <f t="shared" ref="P41" si="130">N41-O41</f>
        <v>0</v>
      </c>
      <c r="Q41" s="425">
        <v>0</v>
      </c>
    </row>
    <row r="42" spans="2:17" ht="15.75" customHeight="1" thickBot="1" x14ac:dyDescent="0.25">
      <c r="B42" s="429"/>
      <c r="C42" s="443"/>
      <c r="D42" s="273" t="s">
        <v>49</v>
      </c>
      <c r="E42" s="442"/>
      <c r="F42" s="11">
        <f t="shared" ref="F42" si="131">E41/100*$C$5</f>
        <v>0</v>
      </c>
      <c r="G42" s="11"/>
      <c r="H42" s="11">
        <f>F42+G42+J41</f>
        <v>0</v>
      </c>
      <c r="I42" s="11"/>
      <c r="J42" s="11">
        <f t="shared" si="7"/>
        <v>0</v>
      </c>
      <c r="K42" s="216">
        <v>0</v>
      </c>
      <c r="L42" s="415"/>
      <c r="M42" s="415"/>
      <c r="N42" s="415"/>
      <c r="O42" s="415"/>
      <c r="P42" s="415"/>
      <c r="Q42" s="425"/>
    </row>
    <row r="43" spans="2:17" ht="15.75" customHeight="1" x14ac:dyDescent="0.2">
      <c r="B43" s="429"/>
      <c r="C43" s="443" t="s">
        <v>128</v>
      </c>
      <c r="D43" s="267" t="s">
        <v>47</v>
      </c>
      <c r="E43" s="442">
        <v>0</v>
      </c>
      <c r="F43" s="36">
        <f t="shared" ref="F43" si="132">E43/100*$C$4</f>
        <v>0</v>
      </c>
      <c r="G43" s="11"/>
      <c r="H43" s="11">
        <f t="shared" ref="H43" si="133">F43+G43</f>
        <v>0</v>
      </c>
      <c r="I43" s="11"/>
      <c r="J43" s="11">
        <f t="shared" ref="J43:J44" si="134">H43-I43</f>
        <v>0</v>
      </c>
      <c r="K43" s="216">
        <v>0</v>
      </c>
      <c r="L43" s="320">
        <f>F43+F44</f>
        <v>0</v>
      </c>
      <c r="M43" s="320">
        <f>G43+G44</f>
        <v>0</v>
      </c>
      <c r="N43" s="320">
        <f t="shared" ref="N43" si="135">L43+M43</f>
        <v>0</v>
      </c>
      <c r="O43" s="320">
        <f>I43+I44</f>
        <v>0</v>
      </c>
      <c r="P43" s="320">
        <f t="shared" ref="P43" si="136">N43-O43</f>
        <v>0</v>
      </c>
      <c r="Q43" s="425">
        <v>0</v>
      </c>
    </row>
    <row r="44" spans="2:17" ht="15.75" customHeight="1" thickBot="1" x14ac:dyDescent="0.25">
      <c r="B44" s="429"/>
      <c r="C44" s="443"/>
      <c r="D44" s="273" t="s">
        <v>49</v>
      </c>
      <c r="E44" s="442"/>
      <c r="F44" s="11">
        <f t="shared" ref="F44" si="137">E43/100*$C$5</f>
        <v>0</v>
      </c>
      <c r="G44" s="11"/>
      <c r="H44" s="11">
        <f>F44+G44+J43</f>
        <v>0</v>
      </c>
      <c r="I44" s="11"/>
      <c r="J44" s="11">
        <f t="shared" si="134"/>
        <v>0</v>
      </c>
      <c r="K44" s="216">
        <v>0</v>
      </c>
      <c r="L44" s="415"/>
      <c r="M44" s="415"/>
      <c r="N44" s="415"/>
      <c r="O44" s="415"/>
      <c r="P44" s="415"/>
      <c r="Q44" s="425"/>
    </row>
    <row r="45" spans="2:17" ht="15.75" customHeight="1" x14ac:dyDescent="0.2">
      <c r="B45" s="429"/>
      <c r="C45" s="443" t="s">
        <v>129</v>
      </c>
      <c r="D45" s="267" t="s">
        <v>47</v>
      </c>
      <c r="E45" s="442">
        <v>1.5</v>
      </c>
      <c r="F45" s="36">
        <f t="shared" ref="F45" si="138">E45/100*$C$4</f>
        <v>15.764999999999999</v>
      </c>
      <c r="G45" s="11">
        <f>-17.52</f>
        <v>-17.52</v>
      </c>
      <c r="H45" s="11">
        <f t="shared" ref="H45" si="139">F45+G45</f>
        <v>-1.7550000000000008</v>
      </c>
      <c r="I45" s="11"/>
      <c r="J45" s="11">
        <f t="shared" ref="J45:J46" si="140">H45-I45</f>
        <v>-1.7550000000000008</v>
      </c>
      <c r="K45" s="216">
        <f t="shared" ref="K45" si="141">I45/H45</f>
        <v>0</v>
      </c>
      <c r="L45" s="320">
        <f>F45+F46</f>
        <v>17.52</v>
      </c>
      <c r="M45" s="320">
        <f>G45+G46</f>
        <v>-17.52</v>
      </c>
      <c r="N45" s="320">
        <f t="shared" ref="N45" si="142">L45+M45</f>
        <v>0</v>
      </c>
      <c r="O45" s="320">
        <f>I45+I46</f>
        <v>0</v>
      </c>
      <c r="P45" s="320">
        <f t="shared" ref="P45" si="143">N45-O45</f>
        <v>0</v>
      </c>
      <c r="Q45" s="425">
        <v>0</v>
      </c>
    </row>
    <row r="46" spans="2:17" ht="15.75" customHeight="1" thickBot="1" x14ac:dyDescent="0.25">
      <c r="B46" s="429"/>
      <c r="C46" s="443"/>
      <c r="D46" s="273" t="s">
        <v>49</v>
      </c>
      <c r="E46" s="442"/>
      <c r="F46" s="11">
        <f t="shared" ref="F46" si="144">E45/100*$C$5</f>
        <v>1.7549999999999999</v>
      </c>
      <c r="G46" s="11"/>
      <c r="H46" s="11">
        <f>F46+G46+J45</f>
        <v>0</v>
      </c>
      <c r="I46" s="11"/>
      <c r="J46" s="11">
        <f t="shared" si="140"/>
        <v>0</v>
      </c>
      <c r="K46" s="216">
        <v>0</v>
      </c>
      <c r="L46" s="415"/>
      <c r="M46" s="415"/>
      <c r="N46" s="415"/>
      <c r="O46" s="415"/>
      <c r="P46" s="415"/>
      <c r="Q46" s="425"/>
    </row>
    <row r="47" spans="2:17" ht="15.75" customHeight="1" x14ac:dyDescent="0.2">
      <c r="B47" s="429"/>
      <c r="C47" s="418" t="s">
        <v>130</v>
      </c>
      <c r="D47" s="267" t="s">
        <v>47</v>
      </c>
      <c r="E47" s="416">
        <v>4.32653E-2</v>
      </c>
      <c r="F47" s="36">
        <f t="shared" ref="F47" si="145">E47/100*$C$4</f>
        <v>0.45471830300000005</v>
      </c>
      <c r="G47" s="11"/>
      <c r="H47" s="11">
        <f t="shared" ref="H47" si="146">F47+G47</f>
        <v>0.45471830300000005</v>
      </c>
      <c r="I47" s="11"/>
      <c r="J47" s="11">
        <f t="shared" ref="J47:J48" si="147">H47-I47</f>
        <v>0.45471830300000005</v>
      </c>
      <c r="K47" s="208">
        <f t="shared" ref="K47:K48" si="148">I47/H47</f>
        <v>0</v>
      </c>
      <c r="L47" s="320">
        <f>F47+F48</f>
        <v>0.50533870400000003</v>
      </c>
      <c r="M47" s="320">
        <f>G47+G48</f>
        <v>0</v>
      </c>
      <c r="N47" s="320">
        <f t="shared" ref="N47" si="149">L47+M47</f>
        <v>0.50533870400000003</v>
      </c>
      <c r="O47" s="320">
        <f>I47+I48</f>
        <v>0</v>
      </c>
      <c r="P47" s="320">
        <f t="shared" ref="P47" si="150">N47-O47</f>
        <v>0.50533870400000003</v>
      </c>
      <c r="Q47" s="321">
        <f t="shared" ref="Q47" si="151">O47/N47</f>
        <v>0</v>
      </c>
    </row>
    <row r="48" spans="2:17" ht="15.75" customHeight="1" x14ac:dyDescent="0.2">
      <c r="B48" s="429"/>
      <c r="C48" s="419"/>
      <c r="D48" s="267" t="s">
        <v>49</v>
      </c>
      <c r="E48" s="417"/>
      <c r="F48" s="11">
        <f t="shared" ref="F48" si="152">E47/100*$C$5</f>
        <v>5.0620401000000002E-2</v>
      </c>
      <c r="G48" s="11"/>
      <c r="H48" s="11">
        <f>F48+G48+J47</f>
        <v>0.50533870400000003</v>
      </c>
      <c r="I48" s="11"/>
      <c r="J48" s="11">
        <f t="shared" si="147"/>
        <v>0.50533870400000003</v>
      </c>
      <c r="K48" s="208">
        <f t="shared" si="148"/>
        <v>0</v>
      </c>
      <c r="L48" s="415"/>
      <c r="M48" s="415"/>
      <c r="N48" s="415"/>
      <c r="O48" s="415"/>
      <c r="P48" s="415"/>
      <c r="Q48" s="321"/>
    </row>
    <row r="49" spans="2:17" ht="15.75" customHeight="1" x14ac:dyDescent="0.2">
      <c r="B49" s="429"/>
      <c r="C49" s="418" t="s">
        <v>131</v>
      </c>
      <c r="D49" s="267" t="s">
        <v>47</v>
      </c>
      <c r="E49" s="416">
        <v>0.153061</v>
      </c>
      <c r="F49" s="28">
        <f>E49/100*$C$4</f>
        <v>1.60867111</v>
      </c>
      <c r="G49" s="11"/>
      <c r="H49" s="11">
        <f t="shared" ref="H49:H50" si="153">F49+G49+J48</f>
        <v>2.1140098140000001</v>
      </c>
      <c r="I49" s="11"/>
      <c r="J49" s="11">
        <f t="shared" ref="J49:J50" si="154">H49-I49</f>
        <v>2.1140098140000001</v>
      </c>
      <c r="K49" s="208">
        <f t="shared" ref="K49:K50" si="155">I49/H49</f>
        <v>0</v>
      </c>
      <c r="L49" s="320">
        <f>F49+F50</f>
        <v>1.78775248</v>
      </c>
      <c r="M49" s="320">
        <f>G49+G50</f>
        <v>0</v>
      </c>
      <c r="N49" s="320">
        <f t="shared" ref="N49" si="156">L49+M49</f>
        <v>1.78775248</v>
      </c>
      <c r="O49" s="320">
        <f>I49+I50</f>
        <v>0</v>
      </c>
      <c r="P49" s="320">
        <f t="shared" ref="P49" si="157">N49-O49</f>
        <v>1.78775248</v>
      </c>
      <c r="Q49" s="321">
        <f t="shared" ref="Q49" si="158">O49/N49</f>
        <v>0</v>
      </c>
    </row>
    <row r="50" spans="2:17" ht="15.75" customHeight="1" thickBot="1" x14ac:dyDescent="0.25">
      <c r="B50" s="429"/>
      <c r="C50" s="419"/>
      <c r="D50" s="267" t="s">
        <v>49</v>
      </c>
      <c r="E50" s="417"/>
      <c r="F50" s="28">
        <f>E49/100*$C$5</f>
        <v>0.17908136999999999</v>
      </c>
      <c r="G50" s="11"/>
      <c r="H50" s="11">
        <f t="shared" si="153"/>
        <v>2.2930911840000001</v>
      </c>
      <c r="I50" s="11"/>
      <c r="J50" s="11">
        <f t="shared" si="154"/>
        <v>2.2930911840000001</v>
      </c>
      <c r="K50" s="208">
        <f t="shared" si="155"/>
        <v>0</v>
      </c>
      <c r="L50" s="415"/>
      <c r="M50" s="415"/>
      <c r="N50" s="415"/>
      <c r="O50" s="415"/>
      <c r="P50" s="415"/>
      <c r="Q50" s="321"/>
    </row>
    <row r="51" spans="2:17" ht="15.75" customHeight="1" x14ac:dyDescent="0.2">
      <c r="B51" s="429"/>
      <c r="C51" s="418" t="s">
        <v>132</v>
      </c>
      <c r="D51" s="273" t="s">
        <v>47</v>
      </c>
      <c r="E51" s="416">
        <v>23.406935000000001</v>
      </c>
      <c r="F51" s="36">
        <f t="shared" ref="F51" si="159">E51/100*$C$4</f>
        <v>246.00688685</v>
      </c>
      <c r="G51" s="11"/>
      <c r="H51" s="11">
        <f t="shared" ref="H51" si="160">F51+G51</f>
        <v>246.00688685</v>
      </c>
      <c r="I51" s="11">
        <v>67.924999999999997</v>
      </c>
      <c r="J51" s="11">
        <f t="shared" ref="J51:J52" si="161">H51-I51</f>
        <v>178.08188684999999</v>
      </c>
      <c r="K51" s="216">
        <f t="shared" ref="K51:K52" si="162">I51/H51</f>
        <v>0.27611015638524183</v>
      </c>
      <c r="L51" s="320">
        <f>F51+F52</f>
        <v>273.39300079999998</v>
      </c>
      <c r="M51" s="320">
        <f>G51+G52</f>
        <v>0</v>
      </c>
      <c r="N51" s="320">
        <f t="shared" ref="N51" si="163">L51+M51</f>
        <v>273.39300079999998</v>
      </c>
      <c r="O51" s="320">
        <f>I51+I52</f>
        <v>175.084</v>
      </c>
      <c r="P51" s="320">
        <f t="shared" ref="P51" si="164">N51-O51</f>
        <v>98.309000799999978</v>
      </c>
      <c r="Q51" s="425">
        <f t="shared" ref="Q51" si="165">O51/N51</f>
        <v>0.64041142051066002</v>
      </c>
    </row>
    <row r="52" spans="2:17" ht="15.75" customHeight="1" thickBot="1" x14ac:dyDescent="0.25">
      <c r="B52" s="430"/>
      <c r="C52" s="419"/>
      <c r="D52" s="273" t="s">
        <v>49</v>
      </c>
      <c r="E52" s="417"/>
      <c r="F52" s="11">
        <f t="shared" ref="F52" si="166">E51/100*$C$5</f>
        <v>27.386113950000002</v>
      </c>
      <c r="G52" s="11"/>
      <c r="H52" s="11">
        <f>F52+G52+J51</f>
        <v>205.4680008</v>
      </c>
      <c r="I52" s="11">
        <v>107.15900000000001</v>
      </c>
      <c r="J52" s="11">
        <f t="shared" si="161"/>
        <v>98.309000799999993</v>
      </c>
      <c r="K52" s="216">
        <f t="shared" si="162"/>
        <v>0.52153619825360176</v>
      </c>
      <c r="L52" s="415"/>
      <c r="M52" s="415"/>
      <c r="N52" s="415"/>
      <c r="O52" s="415"/>
      <c r="P52" s="415"/>
      <c r="Q52" s="425"/>
    </row>
    <row r="53" spans="2:17" x14ac:dyDescent="0.2">
      <c r="B53" s="431" t="s">
        <v>133</v>
      </c>
      <c r="C53" s="451" t="s">
        <v>71</v>
      </c>
      <c r="D53" s="269" t="s">
        <v>47</v>
      </c>
      <c r="E53" s="460">
        <v>22.039137</v>
      </c>
      <c r="F53" s="36">
        <f>E53/100*$D$4</f>
        <v>283.20291044999999</v>
      </c>
      <c r="G53" s="36"/>
      <c r="H53" s="36">
        <f t="shared" ref="H53" si="167">F53+G53</f>
        <v>283.20291044999999</v>
      </c>
      <c r="I53" s="36">
        <v>8.9610000000000003</v>
      </c>
      <c r="J53" s="36">
        <f t="shared" si="7"/>
        <v>274.24191044999998</v>
      </c>
      <c r="K53" s="209">
        <f t="shared" si="8"/>
        <v>3.1641623971170596E-2</v>
      </c>
      <c r="L53" s="322">
        <f>F53+F54</f>
        <v>314.71887635999997</v>
      </c>
      <c r="M53" s="322">
        <f>G53+G54</f>
        <v>0</v>
      </c>
      <c r="N53" s="322">
        <f>L53+M53</f>
        <v>314.71887635999997</v>
      </c>
      <c r="O53" s="322">
        <f t="shared" ref="O53" si="168">I53+I54</f>
        <v>160.667</v>
      </c>
      <c r="P53" s="322">
        <f>N53-O53</f>
        <v>154.05187635999997</v>
      </c>
      <c r="Q53" s="323">
        <f t="shared" ref="Q53" si="169">O53/N53</f>
        <v>0.51050957558775911</v>
      </c>
    </row>
    <row r="54" spans="2:17" ht="15" customHeight="1" x14ac:dyDescent="0.2">
      <c r="B54" s="432"/>
      <c r="C54" s="434"/>
      <c r="D54" s="270" t="s">
        <v>49</v>
      </c>
      <c r="E54" s="461"/>
      <c r="F54" s="11">
        <f>E53/100*$D$5</f>
        <v>31.515965910000002</v>
      </c>
      <c r="G54" s="11"/>
      <c r="H54" s="11">
        <f t="shared" ref="H54" si="170">F54+G54+J53</f>
        <v>305.75787635999995</v>
      </c>
      <c r="I54" s="11">
        <v>151.70599999999999</v>
      </c>
      <c r="J54" s="11">
        <f t="shared" si="7"/>
        <v>154.05187635999997</v>
      </c>
      <c r="K54" s="208">
        <f t="shared" si="8"/>
        <v>0.49616383331162672</v>
      </c>
      <c r="L54" s="415"/>
      <c r="M54" s="415"/>
      <c r="N54" s="415"/>
      <c r="O54" s="415"/>
      <c r="P54" s="415"/>
      <c r="Q54" s="321"/>
    </row>
    <row r="55" spans="2:17" s="261" customFormat="1" ht="15" customHeight="1" x14ac:dyDescent="0.2">
      <c r="B55" s="432"/>
      <c r="C55" s="435" t="s">
        <v>72</v>
      </c>
      <c r="D55" s="272" t="s">
        <v>47</v>
      </c>
      <c r="E55" s="437">
        <v>0</v>
      </c>
      <c r="F55" s="259">
        <f t="shared" ref="F55" si="171">E55/100*$D$4</f>
        <v>0</v>
      </c>
      <c r="G55" s="260"/>
      <c r="H55" s="260">
        <f t="shared" ref="H55" si="172">F55+G55</f>
        <v>0</v>
      </c>
      <c r="I55" s="260"/>
      <c r="J55" s="260">
        <f>H55-I55</f>
        <v>0</v>
      </c>
      <c r="K55" s="251">
        <v>0</v>
      </c>
      <c r="L55" s="439">
        <f t="shared" ref="L55" si="173">F55+F56</f>
        <v>0</v>
      </c>
      <c r="M55" s="439">
        <f t="shared" ref="M55" si="174">G55+G56</f>
        <v>0</v>
      </c>
      <c r="N55" s="439">
        <f t="shared" ref="N55" si="175">L55+M55</f>
        <v>0</v>
      </c>
      <c r="O55" s="439">
        <f>I55+I56</f>
        <v>0</v>
      </c>
      <c r="P55" s="439">
        <f t="shared" ref="P55" si="176">N55-O55</f>
        <v>0</v>
      </c>
      <c r="Q55" s="441">
        <v>0</v>
      </c>
    </row>
    <row r="56" spans="2:17" s="261" customFormat="1" ht="15" customHeight="1" x14ac:dyDescent="0.2">
      <c r="B56" s="432"/>
      <c r="C56" s="435"/>
      <c r="D56" s="272" t="s">
        <v>49</v>
      </c>
      <c r="E56" s="438"/>
      <c r="F56" s="260">
        <f t="shared" ref="F56" si="177">E55/100*$D$5</f>
        <v>0</v>
      </c>
      <c r="G56" s="260"/>
      <c r="H56" s="260">
        <f t="shared" ref="H56" si="178">F56+G56+J55</f>
        <v>0</v>
      </c>
      <c r="I56" s="260"/>
      <c r="J56" s="260">
        <f t="shared" si="7"/>
        <v>0</v>
      </c>
      <c r="K56" s="251">
        <v>0</v>
      </c>
      <c r="L56" s="440"/>
      <c r="M56" s="440"/>
      <c r="N56" s="440"/>
      <c r="O56" s="440"/>
      <c r="P56" s="440"/>
      <c r="Q56" s="441"/>
    </row>
    <row r="57" spans="2:17" ht="15" customHeight="1" x14ac:dyDescent="0.2">
      <c r="B57" s="432"/>
      <c r="C57" s="434" t="s">
        <v>74</v>
      </c>
      <c r="D57" s="270" t="s">
        <v>47</v>
      </c>
      <c r="E57" s="422">
        <v>29.26</v>
      </c>
      <c r="F57" s="36">
        <f t="shared" ref="F57" si="179">E57/100*$D$4</f>
        <v>375.99100000000004</v>
      </c>
      <c r="G57" s="11"/>
      <c r="H57" s="11">
        <f t="shared" ref="H57" si="180">F57+G57</f>
        <v>375.99100000000004</v>
      </c>
      <c r="I57" s="11">
        <v>11.382999999999999</v>
      </c>
      <c r="J57" s="11">
        <f t="shared" si="7"/>
        <v>364.60800000000006</v>
      </c>
      <c r="K57" s="208">
        <f t="shared" si="8"/>
        <v>3.0274660829647512E-2</v>
      </c>
      <c r="L57" s="320">
        <f t="shared" ref="L57" si="181">F57+F58</f>
        <v>417.83280000000002</v>
      </c>
      <c r="M57" s="320">
        <f t="shared" ref="M57" si="182">G57+G58</f>
        <v>0</v>
      </c>
      <c r="N57" s="320">
        <f t="shared" ref="N57" si="183">L57+M57</f>
        <v>417.83280000000002</v>
      </c>
      <c r="O57" s="320">
        <f t="shared" ref="O57" si="184">I57+I58</f>
        <v>99.332999999999998</v>
      </c>
      <c r="P57" s="320">
        <f t="shared" ref="P57" si="185">N57-O57</f>
        <v>318.49980000000005</v>
      </c>
      <c r="Q57" s="321">
        <f t="shared" ref="Q57" si="186">O57/N57</f>
        <v>0.2377338495206695</v>
      </c>
    </row>
    <row r="58" spans="2:17" ht="15" customHeight="1" x14ac:dyDescent="0.2">
      <c r="B58" s="432"/>
      <c r="C58" s="434"/>
      <c r="D58" s="270" t="s">
        <v>49</v>
      </c>
      <c r="E58" s="423"/>
      <c r="F58" s="11">
        <f t="shared" ref="F58" si="187">E57/100*$D$5</f>
        <v>41.841800000000006</v>
      </c>
      <c r="G58" s="11"/>
      <c r="H58" s="11">
        <f t="shared" ref="H58" si="188">F58+G58+J57</f>
        <v>406.4498000000001</v>
      </c>
      <c r="I58" s="11">
        <v>87.95</v>
      </c>
      <c r="J58" s="11">
        <f t="shared" si="7"/>
        <v>318.49980000000011</v>
      </c>
      <c r="K58" s="208">
        <f t="shared" si="8"/>
        <v>0.21638588578466511</v>
      </c>
      <c r="L58" s="415"/>
      <c r="M58" s="415"/>
      <c r="N58" s="415"/>
      <c r="O58" s="415"/>
      <c r="P58" s="415"/>
      <c r="Q58" s="321"/>
    </row>
    <row r="59" spans="2:17" ht="15" customHeight="1" x14ac:dyDescent="0.2">
      <c r="B59" s="432"/>
      <c r="C59" s="436" t="s">
        <v>118</v>
      </c>
      <c r="D59" s="271" t="s">
        <v>47</v>
      </c>
      <c r="E59" s="462">
        <v>0</v>
      </c>
      <c r="F59" s="239">
        <f t="shared" ref="F59" si="189">E59/100*$D$4</f>
        <v>0</v>
      </c>
      <c r="G59" s="11"/>
      <c r="H59" s="11">
        <f t="shared" ref="H59" si="190">F59+G59</f>
        <v>0</v>
      </c>
      <c r="I59" s="11"/>
      <c r="J59" s="11">
        <f t="shared" si="7"/>
        <v>0</v>
      </c>
      <c r="K59" s="208">
        <v>0</v>
      </c>
      <c r="L59" s="320">
        <f t="shared" ref="L59" si="191">F59+F60</f>
        <v>0</v>
      </c>
      <c r="M59" s="320">
        <f t="shared" ref="M59" si="192">G59+G60</f>
        <v>0</v>
      </c>
      <c r="N59" s="320">
        <f t="shared" ref="N59" si="193">L59+M59</f>
        <v>0</v>
      </c>
      <c r="O59" s="320">
        <f t="shared" ref="O59" si="194">I59+I60</f>
        <v>0</v>
      </c>
      <c r="P59" s="320">
        <f t="shared" ref="P59" si="195">N59-O59</f>
        <v>0</v>
      </c>
      <c r="Q59" s="321">
        <v>0</v>
      </c>
    </row>
    <row r="60" spans="2:17" ht="15" customHeight="1" x14ac:dyDescent="0.2">
      <c r="B60" s="432"/>
      <c r="C60" s="436"/>
      <c r="D60" s="271" t="s">
        <v>49</v>
      </c>
      <c r="E60" s="463"/>
      <c r="F60" s="240">
        <f t="shared" ref="F60" si="196">E59/100*$D$5</f>
        <v>0</v>
      </c>
      <c r="G60" s="11"/>
      <c r="H60" s="11">
        <f t="shared" ref="H60" si="197">F60+G60+J59</f>
        <v>0</v>
      </c>
      <c r="I60" s="11"/>
      <c r="J60" s="11">
        <f t="shared" si="7"/>
        <v>0</v>
      </c>
      <c r="K60" s="208">
        <v>0</v>
      </c>
      <c r="L60" s="415"/>
      <c r="M60" s="415"/>
      <c r="N60" s="415"/>
      <c r="O60" s="415"/>
      <c r="P60" s="415"/>
      <c r="Q60" s="321"/>
    </row>
    <row r="61" spans="2:17" ht="15" customHeight="1" x14ac:dyDescent="0.2">
      <c r="B61" s="432"/>
      <c r="C61" s="434" t="s">
        <v>75</v>
      </c>
      <c r="D61" s="270" t="s">
        <v>47</v>
      </c>
      <c r="E61" s="427">
        <v>3.6373000000000003E-2</v>
      </c>
      <c r="F61" s="36">
        <f t="shared" ref="F61" si="198">E61/100*$D$4</f>
        <v>0.46739305000000003</v>
      </c>
      <c r="G61" s="11"/>
      <c r="H61" s="11">
        <f t="shared" ref="H61" si="199">F61+G61</f>
        <v>0.46739305000000003</v>
      </c>
      <c r="I61" s="11"/>
      <c r="J61" s="11">
        <f t="shared" si="7"/>
        <v>0.46739305000000003</v>
      </c>
      <c r="K61" s="208">
        <f t="shared" si="8"/>
        <v>0</v>
      </c>
      <c r="L61" s="320">
        <f t="shared" ref="L61" si="200">F61+F62</f>
        <v>0.51940644000000002</v>
      </c>
      <c r="M61" s="320">
        <f t="shared" ref="M61" si="201">G61+G62</f>
        <v>0</v>
      </c>
      <c r="N61" s="320">
        <f t="shared" ref="N61" si="202">L61+M61</f>
        <v>0.51940644000000002</v>
      </c>
      <c r="O61" s="320">
        <f t="shared" ref="O61" si="203">I61+I62</f>
        <v>0</v>
      </c>
      <c r="P61" s="320">
        <f t="shared" ref="P61" si="204">N61-O61</f>
        <v>0.51940644000000002</v>
      </c>
      <c r="Q61" s="321">
        <f t="shared" ref="Q61" si="205">O61/N61</f>
        <v>0</v>
      </c>
    </row>
    <row r="62" spans="2:17" ht="15" customHeight="1" thickBot="1" x14ac:dyDescent="0.25">
      <c r="B62" s="432"/>
      <c r="C62" s="434"/>
      <c r="D62" s="270" t="s">
        <v>49</v>
      </c>
      <c r="E62" s="427"/>
      <c r="F62" s="11">
        <f t="shared" ref="F62" si="206">E61/100*$D$5</f>
        <v>5.2013390000000007E-2</v>
      </c>
      <c r="G62" s="11"/>
      <c r="H62" s="11">
        <f t="shared" ref="H62" si="207">F62+G62+J61</f>
        <v>0.51940644000000002</v>
      </c>
      <c r="I62" s="11"/>
      <c r="J62" s="11">
        <f t="shared" si="7"/>
        <v>0.51940644000000002</v>
      </c>
      <c r="K62" s="208">
        <f t="shared" si="8"/>
        <v>0</v>
      </c>
      <c r="L62" s="415"/>
      <c r="M62" s="415"/>
      <c r="N62" s="415"/>
      <c r="O62" s="415"/>
      <c r="P62" s="415"/>
      <c r="Q62" s="321"/>
    </row>
    <row r="63" spans="2:17" ht="15" customHeight="1" x14ac:dyDescent="0.2">
      <c r="B63" s="432"/>
      <c r="C63" s="434" t="s">
        <v>76</v>
      </c>
      <c r="D63" s="270" t="s">
        <v>47</v>
      </c>
      <c r="E63" s="427">
        <v>10.23349</v>
      </c>
      <c r="F63" s="36">
        <f t="shared" ref="F63" si="208">E63/100*$D$4</f>
        <v>131.50034649999998</v>
      </c>
      <c r="G63" s="11">
        <v>21.42</v>
      </c>
      <c r="H63" s="11">
        <f t="shared" ref="H63" si="209">F63+G63</f>
        <v>152.92034649999999</v>
      </c>
      <c r="I63" s="11">
        <v>6.7679999999999998</v>
      </c>
      <c r="J63" s="11">
        <f t="shared" si="7"/>
        <v>146.15234649999999</v>
      </c>
      <c r="K63" s="216">
        <f t="shared" si="8"/>
        <v>4.4258335498867055E-2</v>
      </c>
      <c r="L63" s="320">
        <f t="shared" ref="L63" si="210">F63+F64</f>
        <v>146.13423719999997</v>
      </c>
      <c r="M63" s="320">
        <f t="shared" ref="M63" si="211">G63+G64</f>
        <v>21.42</v>
      </c>
      <c r="N63" s="320">
        <f t="shared" ref="N63" si="212">L63+M63</f>
        <v>167.55423719999999</v>
      </c>
      <c r="O63" s="320">
        <f t="shared" ref="O63" si="213">I63+I64</f>
        <v>6.7679999999999998</v>
      </c>
      <c r="P63" s="320">
        <f t="shared" ref="P63" si="214">N63-O63</f>
        <v>160.78623719999999</v>
      </c>
      <c r="Q63" s="425">
        <f t="shared" ref="Q63" si="215">O63/N63</f>
        <v>4.0392890762418754E-2</v>
      </c>
    </row>
    <row r="64" spans="2:17" ht="15" customHeight="1" thickBot="1" x14ac:dyDescent="0.25">
      <c r="B64" s="432"/>
      <c r="C64" s="434"/>
      <c r="D64" s="270" t="s">
        <v>49</v>
      </c>
      <c r="E64" s="427"/>
      <c r="F64" s="11">
        <f t="shared" ref="F64" si="216">E63/100*$D$5</f>
        <v>14.633890699999998</v>
      </c>
      <c r="G64" s="11"/>
      <c r="H64" s="11">
        <f t="shared" ref="H64" si="217">F64+G64+J63</f>
        <v>160.78623719999999</v>
      </c>
      <c r="I64" s="11"/>
      <c r="J64" s="11">
        <f t="shared" si="7"/>
        <v>160.78623719999999</v>
      </c>
      <c r="K64" s="216">
        <f t="shared" si="8"/>
        <v>0</v>
      </c>
      <c r="L64" s="415"/>
      <c r="M64" s="415"/>
      <c r="N64" s="415"/>
      <c r="O64" s="415"/>
      <c r="P64" s="415"/>
      <c r="Q64" s="425"/>
    </row>
    <row r="65" spans="2:17" ht="15" customHeight="1" x14ac:dyDescent="0.2">
      <c r="B65" s="432"/>
      <c r="C65" s="434" t="s">
        <v>119</v>
      </c>
      <c r="D65" s="270" t="s">
        <v>47</v>
      </c>
      <c r="E65" s="427">
        <v>0.1</v>
      </c>
      <c r="F65" s="36">
        <f t="shared" ref="F65" si="218">E65/100*$D$4</f>
        <v>1.2849999999999999</v>
      </c>
      <c r="G65" s="11"/>
      <c r="H65" s="11">
        <f t="shared" ref="H65" si="219">F65+G65</f>
        <v>1.2849999999999999</v>
      </c>
      <c r="I65" s="11">
        <v>0.14199999999999999</v>
      </c>
      <c r="J65" s="11">
        <f t="shared" si="7"/>
        <v>1.143</v>
      </c>
      <c r="K65" s="208">
        <f t="shared" si="8"/>
        <v>0.11050583657587548</v>
      </c>
      <c r="L65" s="320">
        <f t="shared" ref="L65" si="220">F65+F66</f>
        <v>1.4279999999999999</v>
      </c>
      <c r="M65" s="320">
        <f t="shared" ref="M65" si="221">G65+G66</f>
        <v>0</v>
      </c>
      <c r="N65" s="320">
        <f t="shared" ref="N65" si="222">L65+M65</f>
        <v>1.4279999999999999</v>
      </c>
      <c r="O65" s="320">
        <f t="shared" ref="O65" si="223">I65+I66</f>
        <v>0.14199999999999999</v>
      </c>
      <c r="P65" s="320">
        <f t="shared" ref="P65" si="224">N65-O65</f>
        <v>1.286</v>
      </c>
      <c r="Q65" s="321">
        <f t="shared" ref="Q65" si="225">O65/N65</f>
        <v>9.9439775910364139E-2</v>
      </c>
    </row>
    <row r="66" spans="2:17" ht="15" customHeight="1" x14ac:dyDescent="0.2">
      <c r="B66" s="432"/>
      <c r="C66" s="434"/>
      <c r="D66" s="270" t="s">
        <v>49</v>
      </c>
      <c r="E66" s="427"/>
      <c r="F66" s="11">
        <f t="shared" ref="F66" si="226">E65/100*$D$5</f>
        <v>0.14300000000000002</v>
      </c>
      <c r="G66" s="11"/>
      <c r="H66" s="11">
        <f t="shared" ref="H66" si="227">F66+G66+J65</f>
        <v>1.286</v>
      </c>
      <c r="I66" s="11"/>
      <c r="J66" s="11">
        <f t="shared" si="7"/>
        <v>1.286</v>
      </c>
      <c r="K66" s="208">
        <f t="shared" si="8"/>
        <v>0</v>
      </c>
      <c r="L66" s="415"/>
      <c r="M66" s="415"/>
      <c r="N66" s="415"/>
      <c r="O66" s="415"/>
      <c r="P66" s="415"/>
      <c r="Q66" s="321"/>
    </row>
    <row r="67" spans="2:17" ht="15" customHeight="1" x14ac:dyDescent="0.2">
      <c r="B67" s="432"/>
      <c r="C67" s="434" t="s">
        <v>120</v>
      </c>
      <c r="D67" s="270" t="s">
        <v>47</v>
      </c>
      <c r="E67" s="427">
        <v>2.27</v>
      </c>
      <c r="F67" s="36">
        <f t="shared" ref="F67" si="228">E67/100*$D$4</f>
        <v>29.169500000000003</v>
      </c>
      <c r="G67" s="11">
        <f>-32.416</f>
        <v>-32.415999999999997</v>
      </c>
      <c r="H67" s="11">
        <f t="shared" ref="H67" si="229">F67+G67</f>
        <v>-3.2464999999999939</v>
      </c>
      <c r="I67" s="11"/>
      <c r="J67" s="11">
        <f t="shared" si="7"/>
        <v>-3.2464999999999939</v>
      </c>
      <c r="K67" s="208">
        <f t="shared" si="8"/>
        <v>0</v>
      </c>
      <c r="L67" s="320">
        <f t="shared" ref="L67" si="230">F67+F68</f>
        <v>32.415600000000005</v>
      </c>
      <c r="M67" s="320">
        <f t="shared" ref="M67" si="231">G67+G68</f>
        <v>-32.415999999999997</v>
      </c>
      <c r="N67" s="320">
        <f t="shared" ref="N67" si="232">L67+M67</f>
        <v>-3.9999999999196234E-4</v>
      </c>
      <c r="O67" s="320">
        <f t="shared" ref="O67" si="233">I67+I68</f>
        <v>0</v>
      </c>
      <c r="P67" s="320">
        <f t="shared" ref="P67" si="234">N67-O67</f>
        <v>-3.9999999999196234E-4</v>
      </c>
      <c r="Q67" s="321">
        <v>0</v>
      </c>
    </row>
    <row r="68" spans="2:17" ht="15" customHeight="1" thickBot="1" x14ac:dyDescent="0.25">
      <c r="B68" s="432"/>
      <c r="C68" s="434"/>
      <c r="D68" s="270" t="s">
        <v>49</v>
      </c>
      <c r="E68" s="427"/>
      <c r="F68" s="11">
        <f t="shared" ref="F68" si="235">E67/100*$D$5</f>
        <v>3.2461000000000002</v>
      </c>
      <c r="G68" s="11"/>
      <c r="H68" s="11">
        <f t="shared" ref="H68" si="236">F68+G68+J67</f>
        <v>-3.999999999937387E-4</v>
      </c>
      <c r="I68" s="11"/>
      <c r="J68" s="11">
        <f t="shared" si="7"/>
        <v>-3.999999999937387E-4</v>
      </c>
      <c r="K68" s="208">
        <v>0</v>
      </c>
      <c r="L68" s="415"/>
      <c r="M68" s="415"/>
      <c r="N68" s="415"/>
      <c r="O68" s="415"/>
      <c r="P68" s="415"/>
      <c r="Q68" s="321"/>
    </row>
    <row r="69" spans="2:17" ht="15" customHeight="1" x14ac:dyDescent="0.2">
      <c r="B69" s="432"/>
      <c r="C69" s="434" t="s">
        <v>121</v>
      </c>
      <c r="D69" s="270" t="s">
        <v>47</v>
      </c>
      <c r="E69" s="427">
        <v>3.1920000000000002</v>
      </c>
      <c r="F69" s="36">
        <f t="shared" ref="F69" si="237">E69/100*$D$4</f>
        <v>41.017200000000003</v>
      </c>
      <c r="G69" s="11"/>
      <c r="H69" s="11">
        <f t="shared" ref="H69" si="238">F69+G69</f>
        <v>41.017200000000003</v>
      </c>
      <c r="I69" s="11">
        <v>5.0010000000000003</v>
      </c>
      <c r="J69" s="11">
        <f t="shared" si="7"/>
        <v>36.016200000000005</v>
      </c>
      <c r="K69" s="216">
        <f t="shared" si="8"/>
        <v>0.12192446095784208</v>
      </c>
      <c r="L69" s="320">
        <f t="shared" ref="L69" si="239">F69+F70</f>
        <v>45.581760000000003</v>
      </c>
      <c r="M69" s="320">
        <f t="shared" ref="M69" si="240">G69+G70</f>
        <v>0</v>
      </c>
      <c r="N69" s="320">
        <f t="shared" ref="N69" si="241">L69+M69</f>
        <v>45.581760000000003</v>
      </c>
      <c r="O69" s="320">
        <f t="shared" ref="O69" si="242">I69+I70</f>
        <v>5.0010000000000003</v>
      </c>
      <c r="P69" s="320">
        <f t="shared" ref="P69" si="243">N69-O69</f>
        <v>40.580760000000005</v>
      </c>
      <c r="Q69" s="425">
        <f t="shared" ref="Q69" si="244">O69/N69</f>
        <v>0.10971493860702175</v>
      </c>
    </row>
    <row r="70" spans="2:17" ht="15" customHeight="1" thickBot="1" x14ac:dyDescent="0.25">
      <c r="B70" s="432"/>
      <c r="C70" s="434"/>
      <c r="D70" s="270" t="s">
        <v>49</v>
      </c>
      <c r="E70" s="427"/>
      <c r="F70" s="11">
        <f t="shared" ref="F70" si="245">E69/100*$D$5</f>
        <v>4.5645600000000002</v>
      </c>
      <c r="G70" s="11"/>
      <c r="H70" s="11">
        <f t="shared" ref="H70" si="246">F70+G70+J69</f>
        <v>40.580760000000005</v>
      </c>
      <c r="I70" s="11"/>
      <c r="J70" s="11">
        <f t="shared" si="7"/>
        <v>40.580760000000005</v>
      </c>
      <c r="K70" s="216">
        <f t="shared" si="8"/>
        <v>0</v>
      </c>
      <c r="L70" s="415"/>
      <c r="M70" s="415"/>
      <c r="N70" s="415"/>
      <c r="O70" s="415"/>
      <c r="P70" s="415"/>
      <c r="Q70" s="425"/>
    </row>
    <row r="71" spans="2:17" ht="15" customHeight="1" x14ac:dyDescent="0.2">
      <c r="B71" s="432"/>
      <c r="C71" s="434" t="s">
        <v>122</v>
      </c>
      <c r="D71" s="270" t="s">
        <v>47</v>
      </c>
      <c r="E71" s="427">
        <v>5.04E-2</v>
      </c>
      <c r="F71" s="36">
        <f t="shared" ref="F71" si="247">E71/100*$D$4</f>
        <v>0.64763999999999999</v>
      </c>
      <c r="G71" s="11"/>
      <c r="H71" s="11">
        <f t="shared" ref="H71" si="248">F71+G71</f>
        <v>0.64763999999999999</v>
      </c>
      <c r="I71" s="11"/>
      <c r="J71" s="11">
        <f t="shared" si="7"/>
        <v>0.64763999999999999</v>
      </c>
      <c r="K71" s="208">
        <f t="shared" si="8"/>
        <v>0</v>
      </c>
      <c r="L71" s="320">
        <f t="shared" ref="L71" si="249">F71+F72</f>
        <v>0.71971200000000002</v>
      </c>
      <c r="M71" s="320">
        <f t="shared" ref="M71" si="250">G71+G72</f>
        <v>0</v>
      </c>
      <c r="N71" s="320">
        <f t="shared" ref="N71" si="251">L71+M71</f>
        <v>0.71971200000000002</v>
      </c>
      <c r="O71" s="320">
        <f t="shared" ref="O71" si="252">I71+I72</f>
        <v>0</v>
      </c>
      <c r="P71" s="320">
        <f t="shared" ref="P71" si="253">N71-O71</f>
        <v>0.71971200000000002</v>
      </c>
      <c r="Q71" s="321">
        <f t="shared" ref="Q71" si="254">O71/N71</f>
        <v>0</v>
      </c>
    </row>
    <row r="72" spans="2:17" ht="15" customHeight="1" x14ac:dyDescent="0.2">
      <c r="B72" s="432"/>
      <c r="C72" s="434"/>
      <c r="D72" s="270" t="s">
        <v>49</v>
      </c>
      <c r="E72" s="427"/>
      <c r="F72" s="11">
        <f t="shared" ref="F72" si="255">E71/100*$D$5</f>
        <v>7.2071999999999997E-2</v>
      </c>
      <c r="G72" s="11"/>
      <c r="H72" s="11">
        <f t="shared" ref="H72" si="256">F72+G72+J71</f>
        <v>0.71971200000000002</v>
      </c>
      <c r="I72" s="11"/>
      <c r="J72" s="11">
        <f t="shared" si="7"/>
        <v>0.71971200000000002</v>
      </c>
      <c r="K72" s="208">
        <f t="shared" si="8"/>
        <v>0</v>
      </c>
      <c r="L72" s="415"/>
      <c r="M72" s="415"/>
      <c r="N72" s="415"/>
      <c r="O72" s="415"/>
      <c r="P72" s="415"/>
      <c r="Q72" s="321"/>
    </row>
    <row r="73" spans="2:17" ht="15" customHeight="1" x14ac:dyDescent="0.2">
      <c r="B73" s="432"/>
      <c r="C73" s="434" t="s">
        <v>123</v>
      </c>
      <c r="D73" s="270" t="s">
        <v>47</v>
      </c>
      <c r="E73" s="427">
        <v>0.406005</v>
      </c>
      <c r="F73" s="36">
        <f t="shared" ref="F73" si="257">E73/100*$D$4</f>
        <v>5.2171642499999997</v>
      </c>
      <c r="G73" s="11"/>
      <c r="H73" s="11">
        <f t="shared" ref="H73" si="258">F73+G73</f>
        <v>5.2171642499999997</v>
      </c>
      <c r="I73" s="11"/>
      <c r="J73" s="11">
        <f t="shared" si="7"/>
        <v>5.2171642499999997</v>
      </c>
      <c r="K73" s="208">
        <f t="shared" si="8"/>
        <v>0</v>
      </c>
      <c r="L73" s="320">
        <f t="shared" ref="L73" si="259">F73+F74</f>
        <v>5.7977513999999992</v>
      </c>
      <c r="M73" s="320">
        <f t="shared" ref="M73" si="260">G73+G74</f>
        <v>0</v>
      </c>
      <c r="N73" s="320">
        <f t="shared" ref="N73" si="261">L73+M73</f>
        <v>5.7977513999999992</v>
      </c>
      <c r="O73" s="320">
        <f t="shared" ref="O73" si="262">I73+I74</f>
        <v>0</v>
      </c>
      <c r="P73" s="320">
        <f t="shared" ref="P73" si="263">N73-O73</f>
        <v>5.7977513999999992</v>
      </c>
      <c r="Q73" s="321">
        <f t="shared" ref="Q73" si="264">O73/N73</f>
        <v>0</v>
      </c>
    </row>
    <row r="74" spans="2:17" ht="15" customHeight="1" x14ac:dyDescent="0.2">
      <c r="B74" s="432"/>
      <c r="C74" s="434"/>
      <c r="D74" s="270" t="s">
        <v>49</v>
      </c>
      <c r="E74" s="427"/>
      <c r="F74" s="11">
        <f t="shared" ref="F74" si="265">E73/100*$D$5</f>
        <v>0.58058714999999994</v>
      </c>
      <c r="G74" s="11"/>
      <c r="H74" s="11">
        <f t="shared" ref="H74" si="266">F74+G74+J73</f>
        <v>5.7977513999999992</v>
      </c>
      <c r="I74" s="11"/>
      <c r="J74" s="11">
        <f t="shared" si="7"/>
        <v>5.7977513999999992</v>
      </c>
      <c r="K74" s="208">
        <f t="shared" si="8"/>
        <v>0</v>
      </c>
      <c r="L74" s="415"/>
      <c r="M74" s="415"/>
      <c r="N74" s="415"/>
      <c r="O74" s="415"/>
      <c r="P74" s="415"/>
      <c r="Q74" s="321"/>
    </row>
    <row r="75" spans="2:17" ht="15" customHeight="1" x14ac:dyDescent="0.2">
      <c r="B75" s="432"/>
      <c r="C75" s="434" t="s">
        <v>124</v>
      </c>
      <c r="D75" s="270" t="s">
        <v>47</v>
      </c>
      <c r="E75" s="427">
        <v>0</v>
      </c>
      <c r="F75" s="36">
        <f t="shared" ref="F75" si="267">E75/100*$D$4</f>
        <v>0</v>
      </c>
      <c r="G75" s="11">
        <v>32.415999999999997</v>
      </c>
      <c r="H75" s="11">
        <f t="shared" ref="H75" si="268">F75+G75</f>
        <v>32.415999999999997</v>
      </c>
      <c r="I75" s="11"/>
      <c r="J75" s="11">
        <f t="shared" ref="J75:J76" si="269">H75-I75</f>
        <v>32.415999999999997</v>
      </c>
      <c r="K75" s="208">
        <v>0</v>
      </c>
      <c r="L75" s="320">
        <f t="shared" ref="L75" si="270">F75+F76</f>
        <v>0</v>
      </c>
      <c r="M75" s="320">
        <f t="shared" ref="M75" si="271">G75+G76</f>
        <v>32.415999999999997</v>
      </c>
      <c r="N75" s="320">
        <f t="shared" ref="N75" si="272">L75+M75</f>
        <v>32.415999999999997</v>
      </c>
      <c r="O75" s="320">
        <f t="shared" ref="O75" si="273">I75+I76</f>
        <v>0</v>
      </c>
      <c r="P75" s="320">
        <f t="shared" ref="P75" si="274">N75-O75</f>
        <v>32.415999999999997</v>
      </c>
      <c r="Q75" s="321">
        <v>0</v>
      </c>
    </row>
    <row r="76" spans="2:17" ht="15" customHeight="1" x14ac:dyDescent="0.2">
      <c r="B76" s="432"/>
      <c r="C76" s="434"/>
      <c r="D76" s="270" t="s">
        <v>49</v>
      </c>
      <c r="E76" s="427"/>
      <c r="F76" s="11">
        <f t="shared" ref="F76" si="275">E75/100*$D$5</f>
        <v>0</v>
      </c>
      <c r="G76" s="11"/>
      <c r="H76" s="11">
        <f t="shared" ref="H76" si="276">F76+G76+J75</f>
        <v>32.415999999999997</v>
      </c>
      <c r="I76" s="11"/>
      <c r="J76" s="11">
        <f t="shared" si="269"/>
        <v>32.415999999999997</v>
      </c>
      <c r="K76" s="208">
        <v>0</v>
      </c>
      <c r="L76" s="415"/>
      <c r="M76" s="415"/>
      <c r="N76" s="415"/>
      <c r="O76" s="415"/>
      <c r="P76" s="415"/>
      <c r="Q76" s="321"/>
    </row>
    <row r="77" spans="2:17" ht="15" customHeight="1" x14ac:dyDescent="0.2">
      <c r="B77" s="432"/>
      <c r="C77" s="434" t="s">
        <v>125</v>
      </c>
      <c r="D77" s="270" t="s">
        <v>47</v>
      </c>
      <c r="E77" s="427">
        <v>0.995</v>
      </c>
      <c r="F77" s="36">
        <f t="shared" ref="F77" si="277">E77/100*$D$4</f>
        <v>12.78575</v>
      </c>
      <c r="G77" s="11"/>
      <c r="H77" s="11">
        <f t="shared" ref="H77" si="278">F77+G77</f>
        <v>12.78575</v>
      </c>
      <c r="I77" s="11"/>
      <c r="J77" s="11">
        <f t="shared" ref="J77:J78" si="279">H77-I77</f>
        <v>12.78575</v>
      </c>
      <c r="K77" s="208">
        <f t="shared" ref="K77:K78" si="280">I77/H77</f>
        <v>0</v>
      </c>
      <c r="L77" s="320">
        <f t="shared" ref="L77" si="281">F77+F78</f>
        <v>14.208600000000001</v>
      </c>
      <c r="M77" s="320">
        <f t="shared" ref="M77" si="282">G77+G78</f>
        <v>0</v>
      </c>
      <c r="N77" s="320">
        <f t="shared" ref="N77" si="283">L77+M77</f>
        <v>14.208600000000001</v>
      </c>
      <c r="O77" s="320">
        <f t="shared" ref="O77" si="284">I77+I78</f>
        <v>0</v>
      </c>
      <c r="P77" s="320">
        <f t="shared" ref="P77" si="285">N77-O77</f>
        <v>14.208600000000001</v>
      </c>
      <c r="Q77" s="321">
        <f t="shared" ref="Q77" si="286">O77/N77</f>
        <v>0</v>
      </c>
    </row>
    <row r="78" spans="2:17" ht="15" customHeight="1" x14ac:dyDescent="0.2">
      <c r="B78" s="432"/>
      <c r="C78" s="434"/>
      <c r="D78" s="270" t="s">
        <v>49</v>
      </c>
      <c r="E78" s="427"/>
      <c r="F78" s="11">
        <f t="shared" ref="F78" si="287">E77/100*$D$5</f>
        <v>1.4228500000000002</v>
      </c>
      <c r="G78" s="11"/>
      <c r="H78" s="11">
        <f t="shared" ref="H78" si="288">F78+G78+J77</f>
        <v>14.208600000000001</v>
      </c>
      <c r="I78" s="11"/>
      <c r="J78" s="11">
        <f t="shared" si="279"/>
        <v>14.208600000000001</v>
      </c>
      <c r="K78" s="208">
        <f t="shared" si="280"/>
        <v>0</v>
      </c>
      <c r="L78" s="415"/>
      <c r="M78" s="415"/>
      <c r="N78" s="415"/>
      <c r="O78" s="415"/>
      <c r="P78" s="415"/>
      <c r="Q78" s="321"/>
    </row>
    <row r="79" spans="2:17" ht="15" customHeight="1" x14ac:dyDescent="0.2">
      <c r="B79" s="432"/>
      <c r="C79" s="434" t="s">
        <v>126</v>
      </c>
      <c r="D79" s="270" t="s">
        <v>47</v>
      </c>
      <c r="E79" s="427">
        <v>4.8279999999999998E-3</v>
      </c>
      <c r="F79" s="36">
        <f t="shared" ref="F79" si="289">E79/100*$D$4</f>
        <v>6.2039799999999999E-2</v>
      </c>
      <c r="G79" s="11"/>
      <c r="H79" s="11">
        <f t="shared" ref="H79" si="290">F79+G79</f>
        <v>6.2039799999999999E-2</v>
      </c>
      <c r="I79" s="11"/>
      <c r="J79" s="11">
        <f t="shared" ref="J79:J80" si="291">H79-I79</f>
        <v>6.2039799999999999E-2</v>
      </c>
      <c r="K79" s="208">
        <f t="shared" ref="K79:K80" si="292">I79/H79</f>
        <v>0</v>
      </c>
      <c r="L79" s="320">
        <f t="shared" ref="L79" si="293">F79+F80</f>
        <v>6.8943840000000006E-2</v>
      </c>
      <c r="M79" s="320">
        <f t="shared" ref="M79" si="294">G79+G80</f>
        <v>0</v>
      </c>
      <c r="N79" s="320">
        <f t="shared" ref="N79" si="295">L79+M79</f>
        <v>6.8943840000000006E-2</v>
      </c>
      <c r="O79" s="320">
        <f t="shared" ref="O79" si="296">I79+I80</f>
        <v>0</v>
      </c>
      <c r="P79" s="320">
        <f t="shared" ref="P79" si="297">N79-O79</f>
        <v>6.8943840000000006E-2</v>
      </c>
      <c r="Q79" s="321">
        <f t="shared" ref="Q79" si="298">O79/N79</f>
        <v>0</v>
      </c>
    </row>
    <row r="80" spans="2:17" ht="15" customHeight="1" x14ac:dyDescent="0.2">
      <c r="B80" s="432"/>
      <c r="C80" s="434"/>
      <c r="D80" s="270" t="s">
        <v>49</v>
      </c>
      <c r="E80" s="427"/>
      <c r="F80" s="11">
        <f t="shared" ref="F80" si="299">E79/100*$D$5</f>
        <v>6.9040400000000002E-3</v>
      </c>
      <c r="G80" s="11"/>
      <c r="H80" s="11">
        <f t="shared" ref="H80" si="300">F80+G80+J79</f>
        <v>6.8943840000000006E-2</v>
      </c>
      <c r="I80" s="11"/>
      <c r="J80" s="11">
        <f t="shared" si="291"/>
        <v>6.8943840000000006E-2</v>
      </c>
      <c r="K80" s="208">
        <f t="shared" si="292"/>
        <v>0</v>
      </c>
      <c r="L80" s="415"/>
      <c r="M80" s="415"/>
      <c r="N80" s="415"/>
      <c r="O80" s="415"/>
      <c r="P80" s="415"/>
      <c r="Q80" s="321"/>
    </row>
    <row r="81" spans="2:17" ht="15" customHeight="1" x14ac:dyDescent="0.2">
      <c r="B81" s="432"/>
      <c r="C81" s="434" t="s">
        <v>127</v>
      </c>
      <c r="D81" s="270" t="s">
        <v>47</v>
      </c>
      <c r="E81" s="427">
        <v>0</v>
      </c>
      <c r="F81" s="36">
        <f t="shared" ref="F81" si="301">E81/100*$D$4</f>
        <v>0</v>
      </c>
      <c r="G81" s="11"/>
      <c r="H81" s="11">
        <f t="shared" ref="H81" si="302">F81+G81</f>
        <v>0</v>
      </c>
      <c r="I81" s="11"/>
      <c r="J81" s="11">
        <f t="shared" si="7"/>
        <v>0</v>
      </c>
      <c r="K81" s="208">
        <v>0</v>
      </c>
      <c r="L81" s="320">
        <f t="shared" ref="L81" si="303">F81+F82</f>
        <v>0</v>
      </c>
      <c r="M81" s="320">
        <f t="shared" ref="M81" si="304">G81+G82</f>
        <v>0</v>
      </c>
      <c r="N81" s="320">
        <f t="shared" ref="N81" si="305">L81+M81</f>
        <v>0</v>
      </c>
      <c r="O81" s="320">
        <f t="shared" ref="O81" si="306">I81+I82</f>
        <v>0</v>
      </c>
      <c r="P81" s="320">
        <f t="shared" ref="P81" si="307">N81-O81</f>
        <v>0</v>
      </c>
      <c r="Q81" s="321">
        <v>0</v>
      </c>
    </row>
    <row r="82" spans="2:17" ht="15" customHeight="1" x14ac:dyDescent="0.2">
      <c r="B82" s="432"/>
      <c r="C82" s="434"/>
      <c r="D82" s="270" t="s">
        <v>49</v>
      </c>
      <c r="E82" s="427"/>
      <c r="F82" s="11">
        <f t="shared" ref="F82" si="308">E81/100*$D$5</f>
        <v>0</v>
      </c>
      <c r="G82" s="11"/>
      <c r="H82" s="11">
        <f t="shared" ref="H82" si="309">F82+G82+J81</f>
        <v>0</v>
      </c>
      <c r="I82" s="11"/>
      <c r="J82" s="11">
        <f>H82-I82</f>
        <v>0</v>
      </c>
      <c r="K82" s="208">
        <v>0</v>
      </c>
      <c r="L82" s="415"/>
      <c r="M82" s="415"/>
      <c r="N82" s="415"/>
      <c r="O82" s="415"/>
      <c r="P82" s="415"/>
      <c r="Q82" s="321"/>
    </row>
    <row r="83" spans="2:17" ht="15" customHeight="1" x14ac:dyDescent="0.2">
      <c r="B83" s="432"/>
      <c r="C83" s="434" t="s">
        <v>128</v>
      </c>
      <c r="D83" s="270" t="s">
        <v>47</v>
      </c>
      <c r="E83" s="427">
        <v>0</v>
      </c>
      <c r="F83" s="36">
        <f t="shared" ref="F83" si="310">E83/100*$D$4</f>
        <v>0</v>
      </c>
      <c r="G83" s="11"/>
      <c r="H83" s="11">
        <f t="shared" ref="H83" si="311">F83+G83</f>
        <v>0</v>
      </c>
      <c r="I83" s="11"/>
      <c r="J83" s="11">
        <f t="shared" ref="J83:J86" si="312">H83-I83</f>
        <v>0</v>
      </c>
      <c r="K83" s="208">
        <v>0</v>
      </c>
      <c r="L83" s="320">
        <f t="shared" ref="L83" si="313">F83+F84</f>
        <v>0</v>
      </c>
      <c r="M83" s="320">
        <f t="shared" ref="M83" si="314">G83+G84</f>
        <v>0</v>
      </c>
      <c r="N83" s="320">
        <f t="shared" ref="N83" si="315">L83+M83</f>
        <v>0</v>
      </c>
      <c r="O83" s="320">
        <f t="shared" ref="O83" si="316">I83+I84</f>
        <v>0</v>
      </c>
      <c r="P83" s="320">
        <f t="shared" ref="P83" si="317">N83-O83</f>
        <v>0</v>
      </c>
      <c r="Q83" s="321">
        <v>0</v>
      </c>
    </row>
    <row r="84" spans="2:17" ht="15" customHeight="1" thickBot="1" x14ac:dyDescent="0.25">
      <c r="B84" s="432"/>
      <c r="C84" s="434"/>
      <c r="D84" s="270" t="s">
        <v>49</v>
      </c>
      <c r="E84" s="427"/>
      <c r="F84" s="11">
        <f t="shared" ref="F84" si="318">E83/100*$D$5</f>
        <v>0</v>
      </c>
      <c r="G84" s="11"/>
      <c r="H84" s="11">
        <f t="shared" ref="H84" si="319">F84+G84+J83</f>
        <v>0</v>
      </c>
      <c r="I84" s="11"/>
      <c r="J84" s="11">
        <f t="shared" si="312"/>
        <v>0</v>
      </c>
      <c r="K84" s="208">
        <v>0</v>
      </c>
      <c r="L84" s="415"/>
      <c r="M84" s="415"/>
      <c r="N84" s="415"/>
      <c r="O84" s="415"/>
      <c r="P84" s="415"/>
      <c r="Q84" s="321"/>
    </row>
    <row r="85" spans="2:17" ht="15" customHeight="1" x14ac:dyDescent="0.2">
      <c r="B85" s="432"/>
      <c r="C85" s="434" t="s">
        <v>129</v>
      </c>
      <c r="D85" s="270" t="s">
        <v>47</v>
      </c>
      <c r="E85" s="427">
        <v>1.5</v>
      </c>
      <c r="F85" s="36">
        <f t="shared" ref="F85" si="320">E85/100*$D$4</f>
        <v>19.274999999999999</v>
      </c>
      <c r="G85" s="11">
        <v>-21.42</v>
      </c>
      <c r="H85" s="11">
        <f t="shared" ref="H85" si="321">F85+G85</f>
        <v>-2.1450000000000031</v>
      </c>
      <c r="I85" s="11"/>
      <c r="J85" s="11">
        <f t="shared" si="312"/>
        <v>-2.1450000000000031</v>
      </c>
      <c r="K85" s="216">
        <f t="shared" ref="K85" si="322">I85/H85</f>
        <v>0</v>
      </c>
      <c r="L85" s="320">
        <f t="shared" ref="L85" si="323">F85+F86</f>
        <v>21.419999999999998</v>
      </c>
      <c r="M85" s="320">
        <f t="shared" ref="M85" si="324">G85+G86</f>
        <v>-21.42</v>
      </c>
      <c r="N85" s="320">
        <f t="shared" ref="N85" si="325">L85+M85</f>
        <v>0</v>
      </c>
      <c r="O85" s="320">
        <f t="shared" ref="O85" si="326">I85+I86</f>
        <v>0</v>
      </c>
      <c r="P85" s="320">
        <f t="shared" ref="P85" si="327">N85-O85</f>
        <v>0</v>
      </c>
      <c r="Q85" s="425">
        <v>0</v>
      </c>
    </row>
    <row r="86" spans="2:17" ht="15" customHeight="1" thickBot="1" x14ac:dyDescent="0.25">
      <c r="B86" s="432"/>
      <c r="C86" s="434"/>
      <c r="D86" s="270" t="s">
        <v>49</v>
      </c>
      <c r="E86" s="427"/>
      <c r="F86" s="11">
        <f t="shared" ref="F86" si="328">E85/100*$D$5</f>
        <v>2.145</v>
      </c>
      <c r="G86" s="11"/>
      <c r="H86" s="11">
        <f t="shared" ref="H86" si="329">F86+G86+J85</f>
        <v>0</v>
      </c>
      <c r="I86" s="11"/>
      <c r="J86" s="11">
        <f t="shared" si="312"/>
        <v>0</v>
      </c>
      <c r="K86" s="216">
        <v>0</v>
      </c>
      <c r="L86" s="415"/>
      <c r="M86" s="415"/>
      <c r="N86" s="415"/>
      <c r="O86" s="415"/>
      <c r="P86" s="415"/>
      <c r="Q86" s="425"/>
    </row>
    <row r="87" spans="2:17" ht="15" customHeight="1" x14ac:dyDescent="0.2">
      <c r="B87" s="432"/>
      <c r="C87" s="420" t="s">
        <v>130</v>
      </c>
      <c r="D87" s="270" t="s">
        <v>47</v>
      </c>
      <c r="E87" s="422">
        <v>4.32653E-2</v>
      </c>
      <c r="F87" s="36">
        <f t="shared" ref="F87" si="330">E87/100*$D$4</f>
        <v>0.55595910500000001</v>
      </c>
      <c r="G87" s="11"/>
      <c r="H87" s="11">
        <f t="shared" ref="H87" si="331">F87+G87</f>
        <v>0.55595910500000001</v>
      </c>
      <c r="I87" s="11"/>
      <c r="J87" s="11">
        <f t="shared" ref="J87:J88" si="332">H87-I87</f>
        <v>0.55595910500000001</v>
      </c>
      <c r="K87" s="208">
        <f t="shared" ref="K87:K88" si="333">I87/H87</f>
        <v>0</v>
      </c>
      <c r="L87" s="320">
        <f t="shared" ref="L87" si="334">F87+F88</f>
        <v>0.61782848400000001</v>
      </c>
      <c r="M87" s="320">
        <f t="shared" ref="M87" si="335">G87+G88</f>
        <v>0</v>
      </c>
      <c r="N87" s="320">
        <f t="shared" ref="N87" si="336">L87+M87</f>
        <v>0.61782848400000001</v>
      </c>
      <c r="O87" s="320">
        <f t="shared" ref="O87" si="337">I87+I88</f>
        <v>0</v>
      </c>
      <c r="P87" s="320">
        <f t="shared" ref="P87" si="338">N87-O87</f>
        <v>0.61782848400000001</v>
      </c>
      <c r="Q87" s="321">
        <f t="shared" ref="Q87" si="339">O87/N87</f>
        <v>0</v>
      </c>
    </row>
    <row r="88" spans="2:17" ht="15.75" customHeight="1" x14ac:dyDescent="0.2">
      <c r="B88" s="432"/>
      <c r="C88" s="421"/>
      <c r="D88" s="270" t="s">
        <v>49</v>
      </c>
      <c r="E88" s="423"/>
      <c r="F88" s="11">
        <f t="shared" ref="F88" si="340">E87/100*$D$5</f>
        <v>6.1869379000000002E-2</v>
      </c>
      <c r="G88" s="11"/>
      <c r="H88" s="11">
        <f t="shared" ref="H88" si="341">F88+G88+J87</f>
        <v>0.61782848400000001</v>
      </c>
      <c r="I88" s="11"/>
      <c r="J88" s="11">
        <f t="shared" si="332"/>
        <v>0.61782848400000001</v>
      </c>
      <c r="K88" s="208">
        <f t="shared" si="333"/>
        <v>0</v>
      </c>
      <c r="L88" s="415"/>
      <c r="M88" s="415"/>
      <c r="N88" s="415"/>
      <c r="O88" s="415"/>
      <c r="P88" s="415"/>
      <c r="Q88" s="321"/>
    </row>
    <row r="89" spans="2:17" ht="15.75" customHeight="1" x14ac:dyDescent="0.2">
      <c r="B89" s="432"/>
      <c r="C89" s="420" t="s">
        <v>131</v>
      </c>
      <c r="D89" s="270" t="s">
        <v>47</v>
      </c>
      <c r="E89" s="422">
        <v>0.153061</v>
      </c>
      <c r="F89" s="28">
        <f>E89/100*$D$4</f>
        <v>1.96683385</v>
      </c>
      <c r="G89" s="11"/>
      <c r="H89" s="11">
        <f t="shared" ref="H89:H90" si="342">F89+G89+J88</f>
        <v>2.5846623339999999</v>
      </c>
      <c r="I89" s="11"/>
      <c r="J89" s="11">
        <f t="shared" ref="J89:J90" si="343">H89-I89</f>
        <v>2.5846623339999999</v>
      </c>
      <c r="K89" s="208">
        <f t="shared" ref="K89:K90" si="344">I89/H89</f>
        <v>0</v>
      </c>
      <c r="L89" s="320">
        <f t="shared" ref="L89" si="345">F89+F90</f>
        <v>2.1857110799999999</v>
      </c>
      <c r="M89" s="320">
        <f t="shared" ref="M89" si="346">G89+G90</f>
        <v>0</v>
      </c>
      <c r="N89" s="320">
        <f t="shared" ref="N89" si="347">L89+M89</f>
        <v>2.1857110799999999</v>
      </c>
      <c r="O89" s="320">
        <f t="shared" ref="O89" si="348">I89+I90</f>
        <v>0</v>
      </c>
      <c r="P89" s="320">
        <f t="shared" ref="P89" si="349">N89-O89</f>
        <v>2.1857110799999999</v>
      </c>
      <c r="Q89" s="321">
        <f t="shared" ref="Q89" si="350">O89/N89</f>
        <v>0</v>
      </c>
    </row>
    <row r="90" spans="2:17" ht="15.75" customHeight="1" thickBot="1" x14ac:dyDescent="0.25">
      <c r="B90" s="432"/>
      <c r="C90" s="421"/>
      <c r="D90" s="270" t="s">
        <v>49</v>
      </c>
      <c r="E90" s="423"/>
      <c r="F90" s="28">
        <f>E89/100*$D$5</f>
        <v>0.21887723000000001</v>
      </c>
      <c r="G90" s="11"/>
      <c r="H90" s="11">
        <f t="shared" si="342"/>
        <v>2.8035395639999998</v>
      </c>
      <c r="I90" s="11"/>
      <c r="J90" s="11">
        <f t="shared" si="343"/>
        <v>2.8035395639999998</v>
      </c>
      <c r="K90" s="208">
        <f t="shared" si="344"/>
        <v>0</v>
      </c>
      <c r="L90" s="415"/>
      <c r="M90" s="415"/>
      <c r="N90" s="415"/>
      <c r="O90" s="415"/>
      <c r="P90" s="415"/>
      <c r="Q90" s="321"/>
    </row>
    <row r="91" spans="2:17" ht="18.75" customHeight="1" x14ac:dyDescent="0.2">
      <c r="B91" s="432"/>
      <c r="C91" s="420" t="s">
        <v>132</v>
      </c>
      <c r="D91" s="270" t="s">
        <v>47</v>
      </c>
      <c r="E91" s="422">
        <v>23.406935000000001</v>
      </c>
      <c r="F91" s="36">
        <f t="shared" ref="F91" si="351">E91/100*$D$4</f>
        <v>300.77911475000002</v>
      </c>
      <c r="G91" s="11"/>
      <c r="H91" s="11">
        <f t="shared" ref="H91" si="352">F91+G91</f>
        <v>300.77911475000002</v>
      </c>
      <c r="I91" s="11">
        <v>226.66499999999999</v>
      </c>
      <c r="J91" s="11">
        <f t="shared" ref="J91:J92" si="353">H91-I91</f>
        <v>74.114114750000027</v>
      </c>
      <c r="K91" s="216">
        <f t="shared" ref="K91:K92" si="354">I91/H91</f>
        <v>0.75359288223319032</v>
      </c>
      <c r="L91" s="320">
        <f t="shared" ref="L91" si="355">F91+F92</f>
        <v>334.25103180000002</v>
      </c>
      <c r="M91" s="320">
        <f t="shared" ref="M91" si="356">G91+G92</f>
        <v>0</v>
      </c>
      <c r="N91" s="320">
        <f t="shared" ref="N91" si="357">L91+M91</f>
        <v>334.25103180000002</v>
      </c>
      <c r="O91" s="320">
        <f t="shared" ref="O91" si="358">I91+I92</f>
        <v>240.99299999999999</v>
      </c>
      <c r="P91" s="320">
        <f t="shared" ref="P91" si="359">N91-O91</f>
        <v>93.258031800000026</v>
      </c>
      <c r="Q91" s="425">
        <f t="shared" ref="Q91" si="360">O91/N91</f>
        <v>0.7209940346398056</v>
      </c>
    </row>
    <row r="92" spans="2:17" ht="15.75" customHeight="1" thickBot="1" x14ac:dyDescent="0.25">
      <c r="B92" s="433"/>
      <c r="C92" s="421"/>
      <c r="D92" s="270" t="s">
        <v>49</v>
      </c>
      <c r="E92" s="423"/>
      <c r="F92" s="11">
        <f t="shared" ref="F92" si="361">E91/100*$D$5</f>
        <v>33.471917050000002</v>
      </c>
      <c r="G92" s="169"/>
      <c r="H92" s="169">
        <f t="shared" ref="H92" si="362">F92+G92+J91</f>
        <v>107.58603180000003</v>
      </c>
      <c r="I92" s="169">
        <v>14.327999999999999</v>
      </c>
      <c r="J92" s="169">
        <f t="shared" si="353"/>
        <v>93.258031800000026</v>
      </c>
      <c r="K92" s="275">
        <f t="shared" si="354"/>
        <v>0.13317713982271809</v>
      </c>
      <c r="L92" s="424"/>
      <c r="M92" s="424"/>
      <c r="N92" s="424"/>
      <c r="O92" s="424"/>
      <c r="P92" s="424"/>
      <c r="Q92" s="426"/>
    </row>
    <row r="93" spans="2:17" ht="12.75" thickBot="1" x14ac:dyDescent="0.25">
      <c r="B93" s="458" t="s">
        <v>23</v>
      </c>
      <c r="C93" s="459"/>
      <c r="D93" s="69" t="s">
        <v>57</v>
      </c>
      <c r="E93" s="162">
        <f>SUM(E53:E92)</f>
        <v>93.690494299999997</v>
      </c>
      <c r="F93" s="162">
        <f>SUM(F13:F92)</f>
        <v>2432.2052320280009</v>
      </c>
      <c r="G93" s="162">
        <f>SUM(G13:G92)</f>
        <v>0</v>
      </c>
      <c r="H93" s="162">
        <f>F93+G93</f>
        <v>2432.2052320280009</v>
      </c>
      <c r="I93" s="162">
        <f>SUM(I13:I92)</f>
        <v>1372.771</v>
      </c>
      <c r="J93" s="162">
        <f>H93-I93</f>
        <v>1059.4342320280009</v>
      </c>
      <c r="K93" s="70">
        <f>I93/H93</f>
        <v>0.56441412999320273</v>
      </c>
      <c r="L93" s="162">
        <f>SUM(L13:L92)</f>
        <v>2432.2052320279995</v>
      </c>
      <c r="M93" s="162">
        <f>SUM(M13:M92)</f>
        <v>0</v>
      </c>
      <c r="N93" s="162">
        <f>L93+M93</f>
        <v>2432.2052320279995</v>
      </c>
      <c r="O93" s="162">
        <f>SUM(O13:O92)</f>
        <v>1372.771</v>
      </c>
      <c r="P93" s="162">
        <f>N93-O93</f>
        <v>1059.4342320279995</v>
      </c>
      <c r="Q93" s="195">
        <f>O93/N93</f>
        <v>0.56441412999320306</v>
      </c>
    </row>
    <row r="96" spans="2:17" x14ac:dyDescent="0.2">
      <c r="G96" s="3" t="s">
        <v>134</v>
      </c>
    </row>
  </sheetData>
  <mergeCells count="325">
    <mergeCell ref="L85:L86"/>
    <mergeCell ref="M85:M86"/>
    <mergeCell ref="N85:N86"/>
    <mergeCell ref="O85:O86"/>
    <mergeCell ref="E65:E66"/>
    <mergeCell ref="M67:M68"/>
    <mergeCell ref="N67:N68"/>
    <mergeCell ref="Q39:Q40"/>
    <mergeCell ref="Q61:Q62"/>
    <mergeCell ref="Q77:Q78"/>
    <mergeCell ref="L59:L60"/>
    <mergeCell ref="M59:M60"/>
    <mergeCell ref="N59:N60"/>
    <mergeCell ref="O59:O60"/>
    <mergeCell ref="P59:P60"/>
    <mergeCell ref="Q59:Q60"/>
    <mergeCell ref="L57:L58"/>
    <mergeCell ref="M57:M58"/>
    <mergeCell ref="E41:E42"/>
    <mergeCell ref="E59:E60"/>
    <mergeCell ref="N57:N58"/>
    <mergeCell ref="O57:O58"/>
    <mergeCell ref="P57:P58"/>
    <mergeCell ref="Q57:Q58"/>
    <mergeCell ref="C79:C80"/>
    <mergeCell ref="P39:P40"/>
    <mergeCell ref="P69:P70"/>
    <mergeCell ref="P67:P68"/>
    <mergeCell ref="P65:P66"/>
    <mergeCell ref="P75:P76"/>
    <mergeCell ref="E79:E80"/>
    <mergeCell ref="L79:L80"/>
    <mergeCell ref="M79:M80"/>
    <mergeCell ref="N79:N80"/>
    <mergeCell ref="N63:N64"/>
    <mergeCell ref="O63:O64"/>
    <mergeCell ref="P63:P64"/>
    <mergeCell ref="E75:E76"/>
    <mergeCell ref="L63:L64"/>
    <mergeCell ref="E53:E54"/>
    <mergeCell ref="N41:N42"/>
    <mergeCell ref="O41:O42"/>
    <mergeCell ref="P41:P42"/>
    <mergeCell ref="L77:L78"/>
    <mergeCell ref="M77:M78"/>
    <mergeCell ref="N77:N78"/>
    <mergeCell ref="O77:O78"/>
    <mergeCell ref="P77:P78"/>
    <mergeCell ref="B93:C93"/>
    <mergeCell ref="C65:C66"/>
    <mergeCell ref="C67:C68"/>
    <mergeCell ref="C69:C70"/>
    <mergeCell ref="C71:C72"/>
    <mergeCell ref="C73:C74"/>
    <mergeCell ref="C81:C82"/>
    <mergeCell ref="O65:O66"/>
    <mergeCell ref="L61:L62"/>
    <mergeCell ref="M61:M62"/>
    <mergeCell ref="N61:N62"/>
    <mergeCell ref="O61:O62"/>
    <mergeCell ref="N69:N70"/>
    <mergeCell ref="O69:O70"/>
    <mergeCell ref="M65:M66"/>
    <mergeCell ref="L67:L68"/>
    <mergeCell ref="L87:L88"/>
    <mergeCell ref="M87:M88"/>
    <mergeCell ref="N87:N88"/>
    <mergeCell ref="O87:O88"/>
    <mergeCell ref="C87:C88"/>
    <mergeCell ref="E87:E88"/>
    <mergeCell ref="C83:C84"/>
    <mergeCell ref="C85:C86"/>
    <mergeCell ref="B9:Q9"/>
    <mergeCell ref="B10:Q10"/>
    <mergeCell ref="L81:L82"/>
    <mergeCell ref="M81:M82"/>
    <mergeCell ref="N81:N82"/>
    <mergeCell ref="O81:O82"/>
    <mergeCell ref="P81:P82"/>
    <mergeCell ref="Q81:Q82"/>
    <mergeCell ref="Q69:Q70"/>
    <mergeCell ref="L71:L72"/>
    <mergeCell ref="M71:M72"/>
    <mergeCell ref="N71:N72"/>
    <mergeCell ref="O71:O72"/>
    <mergeCell ref="P71:P72"/>
    <mergeCell ref="Q71:Q72"/>
    <mergeCell ref="L73:L74"/>
    <mergeCell ref="M73:M74"/>
    <mergeCell ref="N73:N74"/>
    <mergeCell ref="M43:M44"/>
    <mergeCell ref="N43:N44"/>
    <mergeCell ref="O43:O44"/>
    <mergeCell ref="N55:N56"/>
    <mergeCell ref="L47:L48"/>
    <mergeCell ref="M47:M48"/>
    <mergeCell ref="C13:C14"/>
    <mergeCell ref="C15:C16"/>
    <mergeCell ref="C17:C18"/>
    <mergeCell ref="C19:C20"/>
    <mergeCell ref="C21:C22"/>
    <mergeCell ref="C53:C54"/>
    <mergeCell ref="C41:C42"/>
    <mergeCell ref="C23:C24"/>
    <mergeCell ref="C25:C26"/>
    <mergeCell ref="C27:C28"/>
    <mergeCell ref="C29:C30"/>
    <mergeCell ref="C35:C36"/>
    <mergeCell ref="C37:C38"/>
    <mergeCell ref="C39:C40"/>
    <mergeCell ref="C43:C44"/>
    <mergeCell ref="C45:C46"/>
    <mergeCell ref="C31:C32"/>
    <mergeCell ref="C47:C48"/>
    <mergeCell ref="L23:L24"/>
    <mergeCell ref="L29:L30"/>
    <mergeCell ref="L31:L32"/>
    <mergeCell ref="L27:L28"/>
    <mergeCell ref="P25:P26"/>
    <mergeCell ref="E21:E22"/>
    <mergeCell ref="E23:E24"/>
    <mergeCell ref="E25:E26"/>
    <mergeCell ref="P23:P24"/>
    <mergeCell ref="L21:L22"/>
    <mergeCell ref="L25:L26"/>
    <mergeCell ref="E13:E14"/>
    <mergeCell ref="E15:E16"/>
    <mergeCell ref="E17:E18"/>
    <mergeCell ref="E19:E20"/>
    <mergeCell ref="L17:L18"/>
    <mergeCell ref="L19:L20"/>
    <mergeCell ref="M21:M22"/>
    <mergeCell ref="N21:N22"/>
    <mergeCell ref="Q13:Q14"/>
    <mergeCell ref="L15:L16"/>
    <mergeCell ref="M15:M16"/>
    <mergeCell ref="N15:N16"/>
    <mergeCell ref="O15:O16"/>
    <mergeCell ref="P15:P16"/>
    <mergeCell ref="Q15:Q16"/>
    <mergeCell ref="L13:L14"/>
    <mergeCell ref="Q17:Q18"/>
    <mergeCell ref="M17:M18"/>
    <mergeCell ref="N17:N18"/>
    <mergeCell ref="O17:O18"/>
    <mergeCell ref="P17:P18"/>
    <mergeCell ref="M13:M14"/>
    <mergeCell ref="N13:N14"/>
    <mergeCell ref="O13:O14"/>
    <mergeCell ref="P13:P14"/>
    <mergeCell ref="Q25:Q26"/>
    <mergeCell ref="M27:M28"/>
    <mergeCell ref="N27:N28"/>
    <mergeCell ref="O27:O28"/>
    <mergeCell ref="P27:P28"/>
    <mergeCell ref="Q27:Q28"/>
    <mergeCell ref="Q21:Q22"/>
    <mergeCell ref="M19:M20"/>
    <mergeCell ref="N19:N20"/>
    <mergeCell ref="O19:O20"/>
    <mergeCell ref="P19:P20"/>
    <mergeCell ref="M23:M24"/>
    <mergeCell ref="N23:N24"/>
    <mergeCell ref="O23:O24"/>
    <mergeCell ref="Q23:Q24"/>
    <mergeCell ref="Q19:Q20"/>
    <mergeCell ref="O25:O26"/>
    <mergeCell ref="O21:O22"/>
    <mergeCell ref="P21:P22"/>
    <mergeCell ref="M25:M26"/>
    <mergeCell ref="N25:N26"/>
    <mergeCell ref="Q29:Q30"/>
    <mergeCell ref="Q31:Q32"/>
    <mergeCell ref="L41:L42"/>
    <mergeCell ref="L35:L36"/>
    <mergeCell ref="L37:L38"/>
    <mergeCell ref="M35:M36"/>
    <mergeCell ref="N35:N36"/>
    <mergeCell ref="O35:O36"/>
    <mergeCell ref="P35:P36"/>
    <mergeCell ref="N33:N34"/>
    <mergeCell ref="O33:O34"/>
    <mergeCell ref="P33:P34"/>
    <mergeCell ref="M29:M30"/>
    <mergeCell ref="N29:N30"/>
    <mergeCell ref="O29:O30"/>
    <mergeCell ref="P29:P30"/>
    <mergeCell ref="M31:M32"/>
    <mergeCell ref="N31:N32"/>
    <mergeCell ref="O31:O32"/>
    <mergeCell ref="P31:P32"/>
    <mergeCell ref="O39:O40"/>
    <mergeCell ref="Q35:Q36"/>
    <mergeCell ref="M41:M42"/>
    <mergeCell ref="Q41:Q42"/>
    <mergeCell ref="Q33:Q34"/>
    <mergeCell ref="P47:P48"/>
    <mergeCell ref="Q47:Q48"/>
    <mergeCell ref="E43:E44"/>
    <mergeCell ref="E45:E46"/>
    <mergeCell ref="L43:L44"/>
    <mergeCell ref="M37:M38"/>
    <mergeCell ref="N37:N38"/>
    <mergeCell ref="O37:O38"/>
    <mergeCell ref="P37:P38"/>
    <mergeCell ref="Q37:Q38"/>
    <mergeCell ref="E35:E36"/>
    <mergeCell ref="E37:E38"/>
    <mergeCell ref="P43:P44"/>
    <mergeCell ref="Q43:Q44"/>
    <mergeCell ref="O45:O46"/>
    <mergeCell ref="P45:P46"/>
    <mergeCell ref="Q45:Q46"/>
    <mergeCell ref="N39:N40"/>
    <mergeCell ref="L45:L46"/>
    <mergeCell ref="M45:M46"/>
    <mergeCell ref="N45:N46"/>
    <mergeCell ref="L55:L56"/>
    <mergeCell ref="E33:E34"/>
    <mergeCell ref="L33:L34"/>
    <mergeCell ref="M33:M34"/>
    <mergeCell ref="N47:N48"/>
    <mergeCell ref="C63:C64"/>
    <mergeCell ref="L69:L70"/>
    <mergeCell ref="M69:M70"/>
    <mergeCell ref="E27:E28"/>
    <mergeCell ref="E29:E30"/>
    <mergeCell ref="E31:E32"/>
    <mergeCell ref="E61:E62"/>
    <mergeCell ref="E63:E64"/>
    <mergeCell ref="L53:L54"/>
    <mergeCell ref="C33:C34"/>
    <mergeCell ref="E39:E40"/>
    <mergeCell ref="L39:L40"/>
    <mergeCell ref="M39:M40"/>
    <mergeCell ref="P79:P80"/>
    <mergeCell ref="Q79:Q80"/>
    <mergeCell ref="Q75:Q76"/>
    <mergeCell ref="Q65:Q66"/>
    <mergeCell ref="Q67:Q68"/>
    <mergeCell ref="M55:M56"/>
    <mergeCell ref="O73:O74"/>
    <mergeCell ref="P73:P74"/>
    <mergeCell ref="Q73:Q74"/>
    <mergeCell ref="Q63:Q64"/>
    <mergeCell ref="N65:N66"/>
    <mergeCell ref="O67:O68"/>
    <mergeCell ref="M75:M76"/>
    <mergeCell ref="N75:N76"/>
    <mergeCell ref="M63:M64"/>
    <mergeCell ref="O55:O56"/>
    <mergeCell ref="P55:P56"/>
    <mergeCell ref="Q55:Q56"/>
    <mergeCell ref="B13:B52"/>
    <mergeCell ref="C51:C52"/>
    <mergeCell ref="B53:B92"/>
    <mergeCell ref="C91:C92"/>
    <mergeCell ref="E91:E92"/>
    <mergeCell ref="L91:L92"/>
    <mergeCell ref="M91:M92"/>
    <mergeCell ref="N91:N92"/>
    <mergeCell ref="O91:O92"/>
    <mergeCell ref="C77:C78"/>
    <mergeCell ref="E77:E78"/>
    <mergeCell ref="C75:C76"/>
    <mergeCell ref="E67:E68"/>
    <mergeCell ref="E69:E70"/>
    <mergeCell ref="E71:E72"/>
    <mergeCell ref="E73:E74"/>
    <mergeCell ref="C55:C56"/>
    <mergeCell ref="C57:C58"/>
    <mergeCell ref="C59:C60"/>
    <mergeCell ref="E55:E56"/>
    <mergeCell ref="E57:E58"/>
    <mergeCell ref="C61:C62"/>
    <mergeCell ref="O47:O48"/>
    <mergeCell ref="E47:E48"/>
    <mergeCell ref="P91:P92"/>
    <mergeCell ref="Q91:Q92"/>
    <mergeCell ref="E51:E52"/>
    <mergeCell ref="L51:L52"/>
    <mergeCell ref="M51:M52"/>
    <mergeCell ref="N51:N52"/>
    <mergeCell ref="O51:O52"/>
    <mergeCell ref="P51:P52"/>
    <mergeCell ref="Q51:Q52"/>
    <mergeCell ref="Q85:Q86"/>
    <mergeCell ref="P85:P86"/>
    <mergeCell ref="L65:L66"/>
    <mergeCell ref="L75:L76"/>
    <mergeCell ref="O75:O76"/>
    <mergeCell ref="E81:E82"/>
    <mergeCell ref="P87:P88"/>
    <mergeCell ref="Q87:Q88"/>
    <mergeCell ref="E83:E84"/>
    <mergeCell ref="E85:E86"/>
    <mergeCell ref="L83:L84"/>
    <mergeCell ref="M83:M84"/>
    <mergeCell ref="N83:N84"/>
    <mergeCell ref="O83:O84"/>
    <mergeCell ref="P83:P84"/>
    <mergeCell ref="Q89:Q90"/>
    <mergeCell ref="L49:L50"/>
    <mergeCell ref="M49:M50"/>
    <mergeCell ref="N49:N50"/>
    <mergeCell ref="O49:O50"/>
    <mergeCell ref="P49:P50"/>
    <mergeCell ref="Q49:Q50"/>
    <mergeCell ref="E49:E50"/>
    <mergeCell ref="C49:C50"/>
    <mergeCell ref="C89:C90"/>
    <mergeCell ref="E89:E90"/>
    <mergeCell ref="L89:L90"/>
    <mergeCell ref="M89:M90"/>
    <mergeCell ref="N89:N90"/>
    <mergeCell ref="O89:O90"/>
    <mergeCell ref="P89:P90"/>
    <mergeCell ref="Q83:Q84"/>
    <mergeCell ref="Q53:Q54"/>
    <mergeCell ref="N53:N54"/>
    <mergeCell ref="O53:O54"/>
    <mergeCell ref="P53:P54"/>
    <mergeCell ref="M53:M54"/>
    <mergeCell ref="P61:P62"/>
    <mergeCell ref="O79:O80"/>
  </mergeCells>
  <conditionalFormatting sqref="K13:K92">
    <cfRule type="cellIs" dxfId="3" priority="5" operator="greaterThan">
      <formula>0.95</formula>
    </cfRule>
  </conditionalFormatting>
  <conditionalFormatting sqref="Q13:Q92">
    <cfRule type="cellIs" dxfId="2" priority="3" operator="greaterThan">
      <formula>1</formula>
    </cfRule>
  </conditionalFormatting>
  <conditionalFormatting sqref="Q13:Q93">
    <cfRule type="cellIs" dxfId="1" priority="26" operator="greaterThan">
      <formula>1</formula>
    </cfRule>
    <cfRule type="dataBar" priority="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{E306D713-3B5F-4993-BA84-978D96DC8A33}</x14:id>
        </ext>
      </extLst>
    </cfRule>
  </conditionalFormatting>
  <pageMargins left="0.7" right="0.7" top="0.75" bottom="0.75" header="0.3" footer="0.3"/>
  <pageSetup orientation="portrait" r:id="rId1"/>
  <ignoredErrors>
    <ignoredError sqref="N81:N82 H14:H18 H19:H22 H81:H82 H24:H28 H30:H34 N13:N18 H53:H58 N53:N58 N41:N42 H41:H42 H59:H74 N59:N74 N19:N34" formula="1"/>
  </ignoredErrors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306D713-3B5F-4993-BA84-978D96DC8A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Q13:Q93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6E380-ABD0-44A5-BD67-4819C3E0092D}">
  <dimension ref="B2:Q27"/>
  <sheetViews>
    <sheetView zoomScale="130" zoomScaleNormal="130" workbookViewId="0">
      <selection activeCell="G22" sqref="G22"/>
    </sheetView>
  </sheetViews>
  <sheetFormatPr baseColWidth="10" defaultColWidth="11.42578125" defaultRowHeight="12" x14ac:dyDescent="0.25"/>
  <cols>
    <col min="1" max="1" width="11.42578125" style="3"/>
    <col min="2" max="2" width="20.28515625" style="3" bestFit="1" customWidth="1"/>
    <col min="3" max="3" width="14.28515625" style="3" customWidth="1"/>
    <col min="4" max="4" width="8.28515625" style="3" customWidth="1"/>
    <col min="5" max="5" width="19" style="3" customWidth="1"/>
    <col min="6" max="6" width="15.5703125" style="3" customWidth="1"/>
    <col min="7" max="7" width="18" style="3" customWidth="1"/>
    <col min="8" max="8" width="12.42578125" style="3" bestFit="1" customWidth="1"/>
    <col min="9" max="9" width="10.5703125" style="3" bestFit="1" customWidth="1"/>
    <col min="10" max="10" width="12" style="3" bestFit="1" customWidth="1"/>
    <col min="11" max="11" width="11.140625" style="3" bestFit="1" customWidth="1"/>
    <col min="12" max="12" width="19" style="3" bestFit="1" customWidth="1"/>
    <col min="13" max="13" width="15.5703125" style="3" bestFit="1" customWidth="1"/>
    <col min="14" max="14" width="18" style="3" bestFit="1" customWidth="1"/>
    <col min="15" max="15" width="12.42578125" style="3" bestFit="1" customWidth="1"/>
    <col min="16" max="16" width="10.5703125" style="3" bestFit="1" customWidth="1"/>
    <col min="17" max="17" width="10.42578125" style="3" bestFit="1" customWidth="1"/>
    <col min="18" max="16384" width="11.42578125" style="3"/>
  </cols>
  <sheetData>
    <row r="2" spans="2:17" ht="19.5" customHeight="1" x14ac:dyDescent="0.25">
      <c r="B2" s="311" t="s">
        <v>41</v>
      </c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3"/>
    </row>
    <row r="3" spans="2:17" x14ac:dyDescent="0.25">
      <c r="B3" s="314">
        <f>'RESUMEN '!B3</f>
        <v>46324</v>
      </c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6"/>
    </row>
    <row r="4" spans="2:17" ht="12.75" thickBot="1" x14ac:dyDescent="0.3"/>
    <row r="5" spans="2:17" ht="12.75" thickBot="1" x14ac:dyDescent="0.3">
      <c r="B5" s="221" t="s">
        <v>42</v>
      </c>
      <c r="C5" s="223" t="s">
        <v>43</v>
      </c>
      <c r="D5" s="224" t="s">
        <v>44</v>
      </c>
      <c r="E5" s="225" t="s">
        <v>4</v>
      </c>
      <c r="F5" s="225" t="s">
        <v>5</v>
      </c>
      <c r="G5" s="225" t="s">
        <v>6</v>
      </c>
      <c r="H5" s="225" t="s">
        <v>7</v>
      </c>
      <c r="I5" s="225" t="s">
        <v>8</v>
      </c>
      <c r="J5" s="226" t="s">
        <v>9</v>
      </c>
      <c r="K5" s="225" t="s">
        <v>45</v>
      </c>
      <c r="L5" s="225" t="s">
        <v>4</v>
      </c>
      <c r="M5" s="225" t="s">
        <v>5</v>
      </c>
      <c r="N5" s="225" t="s">
        <v>6</v>
      </c>
      <c r="O5" s="225" t="s">
        <v>7</v>
      </c>
      <c r="P5" s="225" t="s">
        <v>8</v>
      </c>
      <c r="Q5" s="223" t="s">
        <v>35</v>
      </c>
    </row>
    <row r="6" spans="2:17" x14ac:dyDescent="0.25">
      <c r="B6" s="466" t="s">
        <v>135</v>
      </c>
      <c r="C6" s="464" t="s">
        <v>42</v>
      </c>
      <c r="D6" s="4" t="s">
        <v>47</v>
      </c>
      <c r="E6" s="222">
        <v>0.81899999999999995</v>
      </c>
      <c r="F6" s="222"/>
      <c r="G6" s="28">
        <f t="shared" ref="G6:G11" si="0">E6+F6</f>
        <v>0.81899999999999995</v>
      </c>
      <c r="H6" s="222"/>
      <c r="I6" s="28">
        <f t="shared" ref="I6:I11" si="1">G6-H6</f>
        <v>0.81899999999999995</v>
      </c>
      <c r="J6" s="207">
        <f t="shared" ref="J6:J11" si="2">H6/G6</f>
        <v>0</v>
      </c>
      <c r="K6" s="48" t="s">
        <v>48</v>
      </c>
      <c r="L6" s="310">
        <f t="shared" ref="L6" si="3">E6+E7</f>
        <v>0.90999999999999992</v>
      </c>
      <c r="M6" s="310">
        <f t="shared" ref="M6" si="4">F6+F7</f>
        <v>0</v>
      </c>
      <c r="N6" s="310">
        <f t="shared" ref="N6" si="5">L6+M6</f>
        <v>0.90999999999999992</v>
      </c>
      <c r="O6" s="310">
        <f t="shared" ref="O6" si="6">H6+H7</f>
        <v>0</v>
      </c>
      <c r="P6" s="310">
        <f t="shared" ref="P6" si="7">N6-O6</f>
        <v>0.90999999999999992</v>
      </c>
      <c r="Q6" s="318">
        <f t="shared" ref="Q6" si="8">O6/N6</f>
        <v>0</v>
      </c>
    </row>
    <row r="7" spans="2:17" ht="12.75" thickBot="1" x14ac:dyDescent="0.3">
      <c r="B7" s="467"/>
      <c r="C7" s="465"/>
      <c r="D7" s="4" t="s">
        <v>49</v>
      </c>
      <c r="E7" s="222">
        <v>9.0999999999999998E-2</v>
      </c>
      <c r="F7" s="222"/>
      <c r="G7" s="28">
        <f t="shared" si="0"/>
        <v>9.0999999999999998E-2</v>
      </c>
      <c r="H7" s="222"/>
      <c r="I7" s="28">
        <f t="shared" si="1"/>
        <v>9.0999999999999998E-2</v>
      </c>
      <c r="J7" s="207">
        <f t="shared" si="2"/>
        <v>0</v>
      </c>
      <c r="K7" s="48" t="s">
        <v>48</v>
      </c>
      <c r="L7" s="309"/>
      <c r="M7" s="309"/>
      <c r="N7" s="309"/>
      <c r="O7" s="309"/>
      <c r="P7" s="309"/>
      <c r="Q7" s="307"/>
    </row>
    <row r="8" spans="2:17" x14ac:dyDescent="0.25">
      <c r="B8" s="468" t="s">
        <v>136</v>
      </c>
      <c r="C8" s="464" t="s">
        <v>42</v>
      </c>
      <c r="D8" s="4" t="s">
        <v>47</v>
      </c>
      <c r="E8" s="222">
        <v>0.81899999999999995</v>
      </c>
      <c r="F8" s="222"/>
      <c r="G8" s="28">
        <f t="shared" si="0"/>
        <v>0.81899999999999995</v>
      </c>
      <c r="H8" s="222"/>
      <c r="I8" s="28">
        <f t="shared" si="1"/>
        <v>0.81899999999999995</v>
      </c>
      <c r="J8" s="207">
        <f t="shared" si="2"/>
        <v>0</v>
      </c>
      <c r="K8" s="48" t="s">
        <v>48</v>
      </c>
      <c r="L8" s="310">
        <f t="shared" ref="L8" si="9">E8+E9</f>
        <v>0.90999999999999992</v>
      </c>
      <c r="M8" s="310">
        <f t="shared" ref="M8" si="10">F8+F9</f>
        <v>0</v>
      </c>
      <c r="N8" s="310">
        <f t="shared" ref="N8" si="11">L8+M8</f>
        <v>0.90999999999999992</v>
      </c>
      <c r="O8" s="310">
        <f t="shared" ref="O8" si="12">H8+H9</f>
        <v>0</v>
      </c>
      <c r="P8" s="310">
        <f t="shared" ref="P8" si="13">N8-O8</f>
        <v>0.90999999999999992</v>
      </c>
      <c r="Q8" s="318">
        <f t="shared" ref="Q8" si="14">O8/N8</f>
        <v>0</v>
      </c>
    </row>
    <row r="9" spans="2:17" ht="12.75" thickBot="1" x14ac:dyDescent="0.3">
      <c r="B9" s="469"/>
      <c r="C9" s="465"/>
      <c r="D9" s="4" t="s">
        <v>49</v>
      </c>
      <c r="E9" s="222">
        <v>9.0999999999999998E-2</v>
      </c>
      <c r="F9" s="222"/>
      <c r="G9" s="28">
        <f t="shared" si="0"/>
        <v>9.0999999999999998E-2</v>
      </c>
      <c r="H9" s="222"/>
      <c r="I9" s="28">
        <f t="shared" si="1"/>
        <v>9.0999999999999998E-2</v>
      </c>
      <c r="J9" s="207">
        <f t="shared" si="2"/>
        <v>0</v>
      </c>
      <c r="K9" s="48" t="s">
        <v>48</v>
      </c>
      <c r="L9" s="309"/>
      <c r="M9" s="309"/>
      <c r="N9" s="309"/>
      <c r="O9" s="309"/>
      <c r="P9" s="309"/>
      <c r="Q9" s="307"/>
    </row>
    <row r="10" spans="2:17" x14ac:dyDescent="0.25">
      <c r="B10" s="468" t="s">
        <v>137</v>
      </c>
      <c r="C10" s="464" t="s">
        <v>42</v>
      </c>
      <c r="D10" s="4" t="s">
        <v>47</v>
      </c>
      <c r="E10" s="222">
        <v>0.81899999999999995</v>
      </c>
      <c r="F10" s="222"/>
      <c r="G10" s="28">
        <f t="shared" si="0"/>
        <v>0.81899999999999995</v>
      </c>
      <c r="H10" s="222"/>
      <c r="I10" s="28">
        <f t="shared" si="1"/>
        <v>0.81899999999999995</v>
      </c>
      <c r="J10" s="207">
        <f t="shared" si="2"/>
        <v>0</v>
      </c>
      <c r="K10" s="48" t="s">
        <v>48</v>
      </c>
      <c r="L10" s="310">
        <f t="shared" ref="L10" si="15">E10+E11</f>
        <v>0.90999999999999992</v>
      </c>
      <c r="M10" s="310">
        <f t="shared" ref="M10" si="16">F10+F11</f>
        <v>0</v>
      </c>
      <c r="N10" s="310">
        <f t="shared" ref="N10" si="17">L10+M10</f>
        <v>0.90999999999999992</v>
      </c>
      <c r="O10" s="310">
        <f t="shared" ref="O10" si="18">H10+H11</f>
        <v>0</v>
      </c>
      <c r="P10" s="310">
        <f t="shared" ref="P10" si="19">N10-O10</f>
        <v>0.90999999999999992</v>
      </c>
      <c r="Q10" s="318">
        <f t="shared" ref="Q10" si="20">O10/N10</f>
        <v>0</v>
      </c>
    </row>
    <row r="11" spans="2:17" ht="15" customHeight="1" thickBot="1" x14ac:dyDescent="0.3">
      <c r="B11" s="469"/>
      <c r="C11" s="465"/>
      <c r="D11" s="4" t="s">
        <v>49</v>
      </c>
      <c r="E11" s="222">
        <v>9.0999999999999998E-2</v>
      </c>
      <c r="F11" s="222"/>
      <c r="G11" s="28">
        <f t="shared" si="0"/>
        <v>9.0999999999999998E-2</v>
      </c>
      <c r="H11" s="222"/>
      <c r="I11" s="28">
        <f t="shared" si="1"/>
        <v>9.0999999999999998E-2</v>
      </c>
      <c r="J11" s="207">
        <f t="shared" si="2"/>
        <v>0</v>
      </c>
      <c r="K11" s="48" t="s">
        <v>48</v>
      </c>
      <c r="L11" s="309"/>
      <c r="M11" s="309"/>
      <c r="N11" s="309"/>
      <c r="O11" s="309"/>
      <c r="P11" s="309"/>
      <c r="Q11" s="307"/>
    </row>
    <row r="12" spans="2:17" x14ac:dyDescent="0.25">
      <c r="B12" s="294" t="s">
        <v>46</v>
      </c>
      <c r="C12" s="294" t="s">
        <v>42</v>
      </c>
      <c r="D12" s="47" t="s">
        <v>47</v>
      </c>
      <c r="E12" s="28">
        <v>1.143</v>
      </c>
      <c r="F12" s="28"/>
      <c r="G12" s="28">
        <f>E12+F12</f>
        <v>1.143</v>
      </c>
      <c r="H12" s="28"/>
      <c r="I12" s="28">
        <f>G12-H12</f>
        <v>1.143</v>
      </c>
      <c r="J12" s="207">
        <f>H12/G12</f>
        <v>0</v>
      </c>
      <c r="K12" s="48" t="s">
        <v>48</v>
      </c>
      <c r="L12" s="310">
        <f>E12+E13</f>
        <v>1.27</v>
      </c>
      <c r="M12" s="310">
        <f>F12+F13</f>
        <v>0</v>
      </c>
      <c r="N12" s="310">
        <f>L12+M12</f>
        <v>1.27</v>
      </c>
      <c r="O12" s="310">
        <f>H12+H13</f>
        <v>0</v>
      </c>
      <c r="P12" s="310">
        <f>N12-O12</f>
        <v>1.27</v>
      </c>
      <c r="Q12" s="318">
        <f>O12/N12</f>
        <v>0</v>
      </c>
    </row>
    <row r="13" spans="2:17" ht="12.75" thickBot="1" x14ac:dyDescent="0.3">
      <c r="B13" s="296"/>
      <c r="C13" s="296"/>
      <c r="D13" s="46" t="s">
        <v>49</v>
      </c>
      <c r="E13" s="11">
        <v>0.127</v>
      </c>
      <c r="F13" s="11"/>
      <c r="G13" s="11">
        <f>E13+F13+I12</f>
        <v>1.27</v>
      </c>
      <c r="H13" s="11"/>
      <c r="I13" s="11">
        <f>G13-H13</f>
        <v>1.27</v>
      </c>
      <c r="J13" s="208">
        <f>H13/G13</f>
        <v>0</v>
      </c>
      <c r="K13" s="48" t="s">
        <v>48</v>
      </c>
      <c r="L13" s="309"/>
      <c r="M13" s="309"/>
      <c r="N13" s="309"/>
      <c r="O13" s="309"/>
      <c r="P13" s="309"/>
      <c r="Q13" s="307"/>
    </row>
    <row r="14" spans="2:17" x14ac:dyDescent="0.25">
      <c r="B14" s="294" t="s">
        <v>50</v>
      </c>
      <c r="C14" s="294" t="s">
        <v>42</v>
      </c>
      <c r="D14" s="257" t="s">
        <v>47</v>
      </c>
      <c r="E14" s="258">
        <v>78.3</v>
      </c>
      <c r="F14" s="258"/>
      <c r="G14" s="258">
        <f t="shared" ref="G14" si="21">E14+F14</f>
        <v>78.3</v>
      </c>
      <c r="H14" s="258">
        <v>77.293999999999997</v>
      </c>
      <c r="I14" s="11">
        <f t="shared" ref="I14:I15" si="22">G14-H14</f>
        <v>1.0060000000000002</v>
      </c>
      <c r="J14" s="208">
        <f t="shared" ref="J14:J15" si="23">H14/G14</f>
        <v>0.98715197956577272</v>
      </c>
      <c r="K14" s="263">
        <v>46156</v>
      </c>
      <c r="L14" s="308">
        <f t="shared" ref="L14:M14" si="24">E14+E15</f>
        <v>87</v>
      </c>
      <c r="M14" s="308">
        <f t="shared" si="24"/>
        <v>0</v>
      </c>
      <c r="N14" s="308">
        <f t="shared" ref="N14" si="25">L14+M14</f>
        <v>87</v>
      </c>
      <c r="O14" s="308">
        <f t="shared" ref="O14" si="26">H14+H15</f>
        <v>77.293999999999997</v>
      </c>
      <c r="P14" s="308">
        <f t="shared" ref="P14" si="27">N14-O14</f>
        <v>9.7060000000000031</v>
      </c>
      <c r="Q14" s="306">
        <f t="shared" ref="Q14" si="28">O14/N14</f>
        <v>0.88843678160919537</v>
      </c>
    </row>
    <row r="15" spans="2:17" ht="12.75" thickBot="1" x14ac:dyDescent="0.3">
      <c r="B15" s="295"/>
      <c r="C15" s="296"/>
      <c r="D15" s="46" t="s">
        <v>49</v>
      </c>
      <c r="E15" s="11">
        <v>8.6999999999999993</v>
      </c>
      <c r="F15" s="11"/>
      <c r="G15" s="11">
        <f t="shared" ref="G15" si="29">E15+F15+I14</f>
        <v>9.7059999999999995</v>
      </c>
      <c r="H15" s="11"/>
      <c r="I15" s="11">
        <f t="shared" si="22"/>
        <v>9.7059999999999995</v>
      </c>
      <c r="J15" s="208">
        <f t="shared" si="23"/>
        <v>0</v>
      </c>
      <c r="K15" s="48" t="s">
        <v>48</v>
      </c>
      <c r="L15" s="309"/>
      <c r="M15" s="309"/>
      <c r="N15" s="309"/>
      <c r="O15" s="309"/>
      <c r="P15" s="309"/>
      <c r="Q15" s="307"/>
    </row>
    <row r="16" spans="2:17" ht="12.75" thickBot="1" x14ac:dyDescent="0.3">
      <c r="B16" s="298" t="s">
        <v>23</v>
      </c>
      <c r="C16" s="317"/>
      <c r="D16" s="45" t="s">
        <v>57</v>
      </c>
      <c r="E16" s="56">
        <f>SUM(E6:E15)</f>
        <v>91</v>
      </c>
      <c r="F16" s="56">
        <f>SUM(F12:F15)</f>
        <v>0</v>
      </c>
      <c r="G16" s="56">
        <f>E16+F16</f>
        <v>91</v>
      </c>
      <c r="H16" s="56">
        <f>SUM(H6:H15)</f>
        <v>77.293999999999997</v>
      </c>
      <c r="I16" s="56">
        <f>G16-H16</f>
        <v>13.706000000000003</v>
      </c>
      <c r="J16" s="198">
        <f>H16/G16</f>
        <v>0.8493846153846154</v>
      </c>
      <c r="K16" s="57" t="s">
        <v>48</v>
      </c>
      <c r="L16" s="56">
        <f>SUM(L12:L15)</f>
        <v>88.27</v>
      </c>
      <c r="M16" s="56">
        <f>SUM(M12:M15)</f>
        <v>0</v>
      </c>
      <c r="N16" s="56">
        <f>L16+M16</f>
        <v>88.27</v>
      </c>
      <c r="O16" s="56">
        <f>SUM(O12:O15)</f>
        <v>77.293999999999997</v>
      </c>
      <c r="P16" s="56">
        <f>N16-O16</f>
        <v>10.975999999999999</v>
      </c>
      <c r="Q16" s="198">
        <f>O16/N16</f>
        <v>0.87565424266455194</v>
      </c>
    </row>
    <row r="19" spans="2:8" x14ac:dyDescent="0.25">
      <c r="B19" s="26" t="s">
        <v>138</v>
      </c>
    </row>
    <row r="27" spans="2:8" x14ac:dyDescent="0.25">
      <c r="H27" s="81"/>
    </row>
  </sheetData>
  <mergeCells count="43">
    <mergeCell ref="P6:P7"/>
    <mergeCell ref="P8:P9"/>
    <mergeCell ref="P10:P11"/>
    <mergeCell ref="Q6:Q7"/>
    <mergeCell ref="Q8:Q9"/>
    <mergeCell ref="Q10:Q11"/>
    <mergeCell ref="N6:N7"/>
    <mergeCell ref="N8:N9"/>
    <mergeCell ref="N10:N11"/>
    <mergeCell ref="O6:O7"/>
    <mergeCell ref="O8:O9"/>
    <mergeCell ref="O10:O11"/>
    <mergeCell ref="B16:C16"/>
    <mergeCell ref="C6:C7"/>
    <mergeCell ref="B6:B7"/>
    <mergeCell ref="B8:B9"/>
    <mergeCell ref="C8:C9"/>
    <mergeCell ref="C10:C11"/>
    <mergeCell ref="B10:B11"/>
    <mergeCell ref="P14:P15"/>
    <mergeCell ref="Q14:Q15"/>
    <mergeCell ref="B14:B15"/>
    <mergeCell ref="C14:C15"/>
    <mergeCell ref="L14:L15"/>
    <mergeCell ref="M14:M15"/>
    <mergeCell ref="N14:N15"/>
    <mergeCell ref="O14:O15"/>
    <mergeCell ref="B2:Q2"/>
    <mergeCell ref="B3:Q3"/>
    <mergeCell ref="B12:B13"/>
    <mergeCell ref="C12:C13"/>
    <mergeCell ref="L12:L13"/>
    <mergeCell ref="M12:M13"/>
    <mergeCell ref="N12:N13"/>
    <mergeCell ref="O12:O13"/>
    <mergeCell ref="P12:P13"/>
    <mergeCell ref="Q12:Q13"/>
    <mergeCell ref="L6:L7"/>
    <mergeCell ref="L8:L9"/>
    <mergeCell ref="L10:L11"/>
    <mergeCell ref="M6:M7"/>
    <mergeCell ref="M8:M9"/>
    <mergeCell ref="M10:M11"/>
  </mergeCells>
  <conditionalFormatting sqref="J6:J15">
    <cfRule type="cellIs" dxfId="0" priority="1" operator="greaterThan">
      <formula>95%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H11"/>
  <sheetViews>
    <sheetView showGridLines="0" workbookViewId="0">
      <selection activeCell="I16" sqref="I16"/>
    </sheetView>
  </sheetViews>
  <sheetFormatPr baseColWidth="10" defaultColWidth="11.42578125" defaultRowHeight="15" x14ac:dyDescent="0.25"/>
  <cols>
    <col min="1" max="1" width="18.140625" customWidth="1"/>
    <col min="2" max="2" width="12.42578125" bestFit="1" customWidth="1"/>
    <col min="3" max="3" width="18.28515625" bestFit="1" customWidth="1"/>
    <col min="4" max="4" width="6" bestFit="1" customWidth="1"/>
    <col min="5" max="5" width="7.7109375" bestFit="1" customWidth="1"/>
    <col min="6" max="6" width="12.7109375" bestFit="1" customWidth="1"/>
    <col min="7" max="7" width="7" bestFit="1" customWidth="1"/>
    <col min="8" max="8" width="8.7109375" bestFit="1" customWidth="1"/>
  </cols>
  <sheetData>
    <row r="4" spans="2:8" x14ac:dyDescent="0.25">
      <c r="B4" s="473" t="s">
        <v>139</v>
      </c>
      <c r="C4" s="474"/>
      <c r="D4" s="474"/>
      <c r="E4" s="474"/>
      <c r="F4" s="474"/>
      <c r="G4" s="474"/>
      <c r="H4" s="475"/>
    </row>
    <row r="5" spans="2:8" x14ac:dyDescent="0.25">
      <c r="B5" s="470"/>
      <c r="C5" s="471"/>
      <c r="D5" s="471"/>
      <c r="E5" s="471"/>
      <c r="F5" s="471"/>
      <c r="G5" s="471"/>
      <c r="H5" s="472"/>
    </row>
    <row r="6" spans="2:8" x14ac:dyDescent="0.25">
      <c r="B6" s="26"/>
      <c r="C6" s="26"/>
      <c r="D6" s="26"/>
      <c r="E6" s="26"/>
      <c r="F6" s="26"/>
      <c r="G6" s="26"/>
      <c r="H6" s="26"/>
    </row>
    <row r="7" spans="2:8" x14ac:dyDescent="0.25">
      <c r="B7" s="476" t="s">
        <v>139</v>
      </c>
      <c r="C7" s="477"/>
      <c r="D7" s="477"/>
      <c r="E7" s="477"/>
      <c r="F7" s="477"/>
      <c r="G7" s="477"/>
      <c r="H7" s="478"/>
    </row>
    <row r="8" spans="2:8" x14ac:dyDescent="0.25">
      <c r="B8" s="185" t="s">
        <v>140</v>
      </c>
      <c r="C8" s="185" t="s">
        <v>141</v>
      </c>
      <c r="D8" s="185" t="s">
        <v>142</v>
      </c>
      <c r="E8" s="185" t="s">
        <v>143</v>
      </c>
      <c r="F8" s="185" t="s">
        <v>144</v>
      </c>
      <c r="G8" s="185" t="s">
        <v>145</v>
      </c>
      <c r="H8" s="185" t="s">
        <v>146</v>
      </c>
    </row>
    <row r="9" spans="2:8" x14ac:dyDescent="0.25">
      <c r="B9" s="479"/>
      <c r="C9" s="174"/>
      <c r="D9" s="479"/>
      <c r="E9" s="176"/>
      <c r="F9" s="479"/>
      <c r="G9" s="479"/>
      <c r="H9" s="482"/>
    </row>
    <row r="10" spans="2:8" x14ac:dyDescent="0.25">
      <c r="B10" s="480"/>
      <c r="C10" s="174"/>
      <c r="D10" s="480"/>
      <c r="E10" s="176"/>
      <c r="F10" s="480"/>
      <c r="G10" s="480"/>
      <c r="H10" s="483"/>
    </row>
    <row r="11" spans="2:8" x14ac:dyDescent="0.25">
      <c r="B11" s="481"/>
      <c r="C11" s="174"/>
      <c r="D11" s="481"/>
      <c r="E11" s="176"/>
      <c r="F11" s="481"/>
      <c r="G11" s="481"/>
      <c r="H11" s="484"/>
    </row>
  </sheetData>
  <mergeCells count="8">
    <mergeCell ref="B5:H5"/>
    <mergeCell ref="B4:H4"/>
    <mergeCell ref="B7:H7"/>
    <mergeCell ref="B9:B11"/>
    <mergeCell ref="D9:D11"/>
    <mergeCell ref="F9:F11"/>
    <mergeCell ref="G9:G11"/>
    <mergeCell ref="H9:H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H4"/>
  <sheetViews>
    <sheetView showGridLines="0" workbookViewId="0">
      <selection activeCell="C10" sqref="C10"/>
    </sheetView>
  </sheetViews>
  <sheetFormatPr baseColWidth="10" defaultColWidth="11.42578125" defaultRowHeight="15" x14ac:dyDescent="0.25"/>
  <cols>
    <col min="2" max="2" width="13.28515625" bestFit="1" customWidth="1"/>
    <col min="3" max="3" width="7" bestFit="1" customWidth="1"/>
    <col min="4" max="4" width="12.140625" bestFit="1" customWidth="1"/>
    <col min="5" max="5" width="6.5703125" bestFit="1" customWidth="1"/>
    <col min="6" max="6" width="7.85546875" bestFit="1" customWidth="1"/>
    <col min="7" max="7" width="6.5703125" bestFit="1" customWidth="1"/>
    <col min="8" max="8" width="9.28515625" bestFit="1" customWidth="1"/>
  </cols>
  <sheetData>
    <row r="3" spans="2:8" ht="15.75" x14ac:dyDescent="0.25">
      <c r="B3" s="485" t="s">
        <v>58</v>
      </c>
      <c r="C3" s="485"/>
      <c r="D3" s="485"/>
      <c r="E3" s="485"/>
      <c r="F3" s="485"/>
      <c r="G3" s="485"/>
      <c r="H3" s="485"/>
    </row>
    <row r="4" spans="2:8" x14ac:dyDescent="0.25">
      <c r="B4" s="170" t="s">
        <v>59</v>
      </c>
      <c r="C4" s="170" t="s">
        <v>60</v>
      </c>
      <c r="D4" s="170" t="s">
        <v>61</v>
      </c>
      <c r="E4" s="170" t="s">
        <v>62</v>
      </c>
      <c r="F4" s="170" t="s">
        <v>63</v>
      </c>
      <c r="G4" s="170" t="s">
        <v>64</v>
      </c>
      <c r="H4" s="170" t="s">
        <v>65</v>
      </c>
    </row>
  </sheetData>
  <mergeCells count="1">
    <mergeCell ref="B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35"/>
  <sheetViews>
    <sheetView topLeftCell="M1" workbookViewId="0">
      <selection activeCell="T3" sqref="T3:V4"/>
    </sheetView>
  </sheetViews>
  <sheetFormatPr baseColWidth="10" defaultColWidth="11.42578125" defaultRowHeight="15" x14ac:dyDescent="0.25"/>
  <cols>
    <col min="1" max="1" width="0" hidden="1" customWidth="1"/>
    <col min="2" max="2" width="27.140625" hidden="1" customWidth="1"/>
    <col min="3" max="3" width="21.5703125" hidden="1" customWidth="1"/>
    <col min="4" max="4" width="19.5703125" hidden="1" customWidth="1"/>
    <col min="5" max="5" width="16.28515625" hidden="1" customWidth="1"/>
    <col min="6" max="6" width="14.42578125" hidden="1" customWidth="1"/>
    <col min="7" max="7" width="15.28515625" hidden="1" customWidth="1"/>
    <col min="8" max="12" width="0" hidden="1" customWidth="1"/>
    <col min="16" max="17" width="21" bestFit="1" customWidth="1"/>
    <col min="18" max="18" width="14.7109375" style="152" customWidth="1"/>
    <col min="19" max="20" width="12.42578125" style="152" bestFit="1" customWidth="1"/>
    <col min="21" max="21" width="11.42578125" style="152"/>
  </cols>
  <sheetData>
    <row r="1" spans="1:27" ht="15.75" thickBot="1" x14ac:dyDescent="0.3">
      <c r="C1" t="s">
        <v>147</v>
      </c>
      <c r="D1" t="s">
        <v>148</v>
      </c>
      <c r="E1" t="s">
        <v>149</v>
      </c>
      <c r="F1" t="s">
        <v>150</v>
      </c>
      <c r="G1">
        <v>98</v>
      </c>
      <c r="X1" t="s">
        <v>151</v>
      </c>
    </row>
    <row r="2" spans="1:27" x14ac:dyDescent="0.25">
      <c r="A2" s="487" t="s">
        <v>152</v>
      </c>
      <c r="B2" s="489" t="s">
        <v>71</v>
      </c>
      <c r="C2" s="489">
        <v>0.33248030000000001</v>
      </c>
      <c r="D2" s="489">
        <f>0.00975+0.00975+0.002+0.01425</f>
        <v>3.5749999999999997E-2</v>
      </c>
      <c r="E2" s="489">
        <f>C2+D2</f>
        <v>0.36823030000000001</v>
      </c>
      <c r="F2" s="489">
        <f>E2*$G$1</f>
        <v>36.086569400000002</v>
      </c>
      <c r="G2" s="489">
        <v>36.086570000000002</v>
      </c>
      <c r="H2" s="495">
        <f>F2-G2</f>
        <v>-5.999999999062311E-7</v>
      </c>
      <c r="K2" s="72" t="s">
        <v>153</v>
      </c>
      <c r="L2" s="73">
        <v>2022</v>
      </c>
      <c r="N2" s="153" t="s">
        <v>44</v>
      </c>
      <c r="O2" s="154" t="s">
        <v>112</v>
      </c>
      <c r="P2" s="154" t="s">
        <v>113</v>
      </c>
      <c r="Q2" s="189" t="s">
        <v>67</v>
      </c>
      <c r="S2" s="153" t="s">
        <v>44</v>
      </c>
      <c r="T2" s="154" t="s">
        <v>85</v>
      </c>
      <c r="U2" s="154" t="s">
        <v>87</v>
      </c>
      <c r="V2" s="78" t="s">
        <v>67</v>
      </c>
      <c r="X2" t="s">
        <v>154</v>
      </c>
      <c r="Y2">
        <v>65</v>
      </c>
    </row>
    <row r="3" spans="1:27" ht="15.75" thickBot="1" x14ac:dyDescent="0.3">
      <c r="A3" s="488"/>
      <c r="B3" s="490"/>
      <c r="C3" s="490"/>
      <c r="D3" s="490"/>
      <c r="E3" s="490"/>
      <c r="F3" s="490"/>
      <c r="G3" s="490"/>
      <c r="H3" s="496"/>
      <c r="K3" s="74" t="s">
        <v>155</v>
      </c>
      <c r="L3" s="75">
        <v>20.604255900000002</v>
      </c>
      <c r="N3" s="79" t="s">
        <v>47</v>
      </c>
      <c r="O3" s="156"/>
      <c r="P3" s="156"/>
      <c r="Q3" s="186"/>
      <c r="S3" s="155" t="s">
        <v>47</v>
      </c>
      <c r="T3" s="156"/>
      <c r="U3" s="156"/>
      <c r="V3" s="214"/>
      <c r="X3" t="s">
        <v>87</v>
      </c>
      <c r="Y3">
        <v>737</v>
      </c>
    </row>
    <row r="4" spans="1:27" x14ac:dyDescent="0.25">
      <c r="A4" s="488"/>
      <c r="B4" s="490" t="s">
        <v>72</v>
      </c>
      <c r="C4" s="490">
        <f>0.0239553+0.0058632+0.0026566+0.027652</f>
        <v>6.0127100000000003E-2</v>
      </c>
      <c r="D4" s="490">
        <f>0.00645</f>
        <v>6.45E-3</v>
      </c>
      <c r="E4" s="489">
        <f>C4+D4</f>
        <v>6.65771E-2</v>
      </c>
      <c r="F4" s="489">
        <f t="shared" ref="F4" si="0">E4*$G$1</f>
        <v>6.5245557999999999</v>
      </c>
      <c r="G4" s="490">
        <v>6.5245600000000001</v>
      </c>
      <c r="H4" s="495">
        <f t="shared" ref="H4" si="1">F4-G4</f>
        <v>-4.2000000002317961E-6</v>
      </c>
      <c r="K4" s="74" t="s">
        <v>156</v>
      </c>
      <c r="L4" s="75">
        <v>3.3374200000000003</v>
      </c>
      <c r="N4" s="79" t="s">
        <v>49</v>
      </c>
      <c r="O4" s="156"/>
      <c r="P4" s="156"/>
      <c r="Q4" s="186"/>
      <c r="S4" s="155" t="s">
        <v>49</v>
      </c>
      <c r="T4" s="156"/>
      <c r="U4" s="156"/>
      <c r="V4" s="214"/>
    </row>
    <row r="5" spans="1:27" ht="15.75" thickBot="1" x14ac:dyDescent="0.3">
      <c r="A5" s="488"/>
      <c r="B5" s="490"/>
      <c r="C5" s="490"/>
      <c r="D5" s="490"/>
      <c r="E5" s="490"/>
      <c r="F5" s="490"/>
      <c r="G5" s="490"/>
      <c r="H5" s="496"/>
      <c r="K5" s="74" t="s">
        <v>157</v>
      </c>
      <c r="L5" s="75">
        <v>20.394539999999999</v>
      </c>
      <c r="N5" s="172" t="s">
        <v>67</v>
      </c>
      <c r="O5" s="187">
        <f>SUM(O3:O4)</f>
        <v>0</v>
      </c>
      <c r="P5" s="187">
        <f>SUM(P3:P4)</f>
        <v>0</v>
      </c>
      <c r="Q5" s="188">
        <f t="shared" ref="Q5" si="2">SUM(O5:P5)</f>
        <v>0</v>
      </c>
      <c r="S5" s="157" t="s">
        <v>67</v>
      </c>
      <c r="T5" s="158">
        <f>SUM(T3:T4)</f>
        <v>0</v>
      </c>
      <c r="U5" s="158">
        <f>SUM(U3:U4)</f>
        <v>0</v>
      </c>
      <c r="V5" s="215">
        <f>SUM(V3:V4)</f>
        <v>0</v>
      </c>
    </row>
    <row r="6" spans="1:27" x14ac:dyDescent="0.25">
      <c r="A6" s="488"/>
      <c r="B6" s="490" t="s">
        <v>73</v>
      </c>
      <c r="C6" s="490">
        <v>3.0000000000000001E-5</v>
      </c>
      <c r="D6" s="490"/>
      <c r="E6" s="489">
        <f t="shared" ref="E6" si="3">C6+D6</f>
        <v>3.0000000000000001E-5</v>
      </c>
      <c r="F6" s="489">
        <f t="shared" ref="F6" si="4">E6*$G$1</f>
        <v>2.9399999999999999E-3</v>
      </c>
      <c r="G6" s="490">
        <v>2.9400000000000003E-3</v>
      </c>
      <c r="H6" s="495">
        <f t="shared" ref="H6" si="5">F6-G6</f>
        <v>0</v>
      </c>
      <c r="K6" s="74" t="s">
        <v>158</v>
      </c>
      <c r="L6" s="75">
        <v>16.654620000000001</v>
      </c>
      <c r="X6" s="213" t="s">
        <v>159</v>
      </c>
      <c r="Y6" s="213" t="s">
        <v>154</v>
      </c>
      <c r="Z6" s="213" t="s">
        <v>87</v>
      </c>
      <c r="AA6" s="213" t="s">
        <v>160</v>
      </c>
    </row>
    <row r="7" spans="1:27" ht="15.75" thickBot="1" x14ac:dyDescent="0.3">
      <c r="A7" s="488"/>
      <c r="B7" s="490"/>
      <c r="C7" s="490"/>
      <c r="D7" s="490"/>
      <c r="E7" s="490"/>
      <c r="F7" s="490"/>
      <c r="G7" s="490"/>
      <c r="H7" s="496"/>
      <c r="K7" s="74" t="s">
        <v>161</v>
      </c>
      <c r="L7" s="75">
        <v>7.59</v>
      </c>
      <c r="X7" s="175">
        <v>0.14962590000000001</v>
      </c>
      <c r="Y7" s="177">
        <f>X7*Y2</f>
        <v>9.7256835000000006</v>
      </c>
      <c r="Z7" s="177">
        <f>X7*Y3</f>
        <v>110.27428830000001</v>
      </c>
      <c r="AA7" s="177">
        <f>Y7+Z7</f>
        <v>119.99997180000001</v>
      </c>
    </row>
    <row r="8" spans="1:27" x14ac:dyDescent="0.25">
      <c r="A8" s="488"/>
      <c r="B8" s="490" t="s">
        <v>74</v>
      </c>
      <c r="C8" s="490">
        <v>0.34622619999999998</v>
      </c>
      <c r="D8" s="490">
        <f>0.00775+0.00026+0.01125+0.01425</f>
        <v>3.3509999999999998E-2</v>
      </c>
      <c r="E8" s="489">
        <f t="shared" ref="E8" si="6">C8+D8</f>
        <v>0.37973619999999997</v>
      </c>
      <c r="F8" s="489">
        <f t="shared" ref="F8" si="7">E8*$G$1</f>
        <v>37.214147599999997</v>
      </c>
      <c r="G8" s="490">
        <v>37.214149999999997</v>
      </c>
      <c r="H8" s="495">
        <f t="shared" ref="H8" si="8">F8-G8</f>
        <v>-2.3999999996249244E-6</v>
      </c>
      <c r="K8" s="74" t="s">
        <v>162</v>
      </c>
      <c r="L8" s="75">
        <v>8.0000000000000002E-3</v>
      </c>
      <c r="N8" s="486" t="s">
        <v>163</v>
      </c>
      <c r="O8" s="486"/>
      <c r="P8" s="486"/>
      <c r="Q8" s="486"/>
      <c r="R8" s="486"/>
      <c r="S8" s="486"/>
      <c r="T8" s="486"/>
      <c r="U8" s="486"/>
      <c r="X8" s="176"/>
      <c r="Y8" s="177"/>
      <c r="Z8" s="177"/>
      <c r="AA8" s="177"/>
    </row>
    <row r="9" spans="1:27" ht="15.75" thickBot="1" x14ac:dyDescent="0.3">
      <c r="A9" s="488"/>
      <c r="B9" s="490"/>
      <c r="C9" s="490"/>
      <c r="D9" s="490"/>
      <c r="E9" s="490"/>
      <c r="F9" s="490"/>
      <c r="G9" s="490"/>
      <c r="H9" s="496"/>
      <c r="K9" s="74" t="s">
        <v>164</v>
      </c>
      <c r="L9" s="76">
        <v>0.26877200000000001</v>
      </c>
      <c r="N9" s="213" t="s">
        <v>165</v>
      </c>
      <c r="O9" s="213" t="s">
        <v>166</v>
      </c>
      <c r="P9" s="213" t="s">
        <v>167</v>
      </c>
      <c r="Q9" s="213" t="s">
        <v>168</v>
      </c>
      <c r="R9" s="213" t="s">
        <v>159</v>
      </c>
      <c r="S9" s="213" t="s">
        <v>112</v>
      </c>
      <c r="T9" s="213" t="s">
        <v>169</v>
      </c>
      <c r="U9" s="213" t="s">
        <v>160</v>
      </c>
      <c r="X9" s="176"/>
      <c r="Y9" s="176"/>
      <c r="Z9" s="176"/>
      <c r="AA9" s="176"/>
    </row>
    <row r="10" spans="1:27" x14ac:dyDescent="0.25">
      <c r="A10" s="488"/>
      <c r="B10" s="490" t="s">
        <v>101</v>
      </c>
      <c r="C10" s="490">
        <v>6.0000000000000002E-5</v>
      </c>
      <c r="D10" s="490"/>
      <c r="E10" s="489">
        <f t="shared" ref="E10" si="9">C10+D10</f>
        <v>6.0000000000000002E-5</v>
      </c>
      <c r="F10" s="489">
        <f t="shared" ref="F10" si="10">E10*$G$1</f>
        <v>5.8799999999999998E-3</v>
      </c>
      <c r="G10" s="490">
        <v>5.8800000000000007E-3</v>
      </c>
      <c r="H10" s="495">
        <f t="shared" ref="H10" si="11">F10-G10</f>
        <v>0</v>
      </c>
      <c r="K10" s="72" t="s">
        <v>67</v>
      </c>
      <c r="L10" s="77">
        <v>80.000299899999973</v>
      </c>
      <c r="N10" s="176"/>
      <c r="O10" s="191"/>
      <c r="P10" s="210"/>
      <c r="Q10" s="210"/>
      <c r="R10" s="175"/>
      <c r="S10" s="177"/>
      <c r="T10" s="177"/>
      <c r="U10" s="176"/>
      <c r="X10" s="176"/>
      <c r="Y10" s="177"/>
      <c r="Z10" s="177"/>
      <c r="AA10" s="176"/>
    </row>
    <row r="11" spans="1:27" ht="15.75" thickBot="1" x14ac:dyDescent="0.3">
      <c r="A11" s="488"/>
      <c r="B11" s="490"/>
      <c r="C11" s="490"/>
      <c r="D11" s="490"/>
      <c r="E11" s="490"/>
      <c r="F11" s="490"/>
      <c r="G11" s="490"/>
      <c r="H11" s="496"/>
      <c r="N11" s="212"/>
      <c r="O11" s="190"/>
      <c r="P11" s="211"/>
      <c r="Q11" s="211"/>
      <c r="R11" s="176"/>
      <c r="S11" s="177"/>
      <c r="T11" s="177"/>
      <c r="U11" s="177"/>
    </row>
    <row r="12" spans="1:27" x14ac:dyDescent="0.25">
      <c r="A12" s="488"/>
      <c r="B12" s="490" t="s">
        <v>170</v>
      </c>
      <c r="C12" s="490">
        <v>2.2440600000000002E-2</v>
      </c>
      <c r="D12" s="490">
        <f>0.00075+0.00375+0.00375+0.00525+0.00525+0.00675+0.00825+0.00405+0.00006+0.00069+0.01425</f>
        <v>5.28E-2</v>
      </c>
      <c r="E12" s="489">
        <f t="shared" ref="E12" si="12">C12+D12</f>
        <v>7.5240600000000005E-2</v>
      </c>
      <c r="F12" s="489">
        <f t="shared" ref="F12" si="13">E12*$G$1</f>
        <v>7.3735788000000007</v>
      </c>
      <c r="G12" s="490">
        <v>7.3735699999999991</v>
      </c>
      <c r="H12" s="495">
        <f t="shared" ref="H12" si="14">F12-G12</f>
        <v>8.8000000015853175E-6</v>
      </c>
      <c r="N12" s="212"/>
      <c r="O12" s="190"/>
      <c r="P12" s="211"/>
      <c r="Q12" s="211"/>
      <c r="R12" s="176"/>
      <c r="S12" s="176"/>
      <c r="T12" s="176"/>
      <c r="U12" s="176"/>
    </row>
    <row r="13" spans="1:27" x14ac:dyDescent="0.25">
      <c r="A13" s="488"/>
      <c r="B13" s="490"/>
      <c r="C13" s="490"/>
      <c r="D13" s="490"/>
      <c r="E13" s="490"/>
      <c r="F13" s="490"/>
      <c r="G13" s="490"/>
      <c r="H13" s="496"/>
      <c r="N13" s="212"/>
      <c r="O13" s="190"/>
      <c r="P13" s="211"/>
      <c r="Q13" s="211"/>
      <c r="R13" s="176"/>
      <c r="S13" s="177"/>
      <c r="T13" s="177"/>
      <c r="U13" s="176"/>
    </row>
    <row r="14" spans="1:27" ht="15.75" thickBot="1" x14ac:dyDescent="0.3">
      <c r="A14" s="488"/>
      <c r="B14" s="82"/>
      <c r="C14" s="82"/>
      <c r="D14" s="82"/>
      <c r="E14" s="82"/>
      <c r="F14" s="82"/>
      <c r="G14" s="82"/>
      <c r="H14" s="151"/>
    </row>
    <row r="15" spans="1:27" x14ac:dyDescent="0.25">
      <c r="A15" s="488"/>
      <c r="B15" s="490" t="s">
        <v>72</v>
      </c>
      <c r="C15" s="490">
        <f>0.0239553+0.0058632+0.0026566+0.027652</f>
        <v>6.0127100000000003E-2</v>
      </c>
      <c r="D15" s="490">
        <f>0.00645</f>
        <v>6.45E-3</v>
      </c>
      <c r="E15" s="489">
        <f>C15+D15</f>
        <v>6.65771E-2</v>
      </c>
      <c r="F15" s="489" t="e">
        <f>E15*#REF!</f>
        <v>#REF!</v>
      </c>
      <c r="G15" s="490">
        <v>58.85416</v>
      </c>
      <c r="H15" s="493" t="e">
        <f t="shared" ref="H15" si="15">F15-G15</f>
        <v>#REF!</v>
      </c>
    </row>
    <row r="16" spans="1:27" ht="15.75" thickBot="1" x14ac:dyDescent="0.3">
      <c r="A16" s="488"/>
      <c r="B16" s="490"/>
      <c r="C16" s="490"/>
      <c r="D16" s="490"/>
      <c r="E16" s="490"/>
      <c r="F16" s="490"/>
      <c r="G16" s="490"/>
      <c r="H16" s="494"/>
    </row>
    <row r="17" spans="1:8" x14ac:dyDescent="0.25">
      <c r="A17" s="488"/>
      <c r="B17" s="490" t="s">
        <v>73</v>
      </c>
      <c r="C17" s="490">
        <v>3.0000000000000001E-5</v>
      </c>
      <c r="D17" s="490"/>
      <c r="E17" s="489">
        <f t="shared" ref="E17" si="16">C17+D17</f>
        <v>3.0000000000000001E-5</v>
      </c>
      <c r="F17" s="489" t="e">
        <f>E17*#REF!</f>
        <v>#REF!</v>
      </c>
      <c r="G17" s="490">
        <v>2.6519999999999998E-2</v>
      </c>
      <c r="H17" s="493" t="e">
        <f t="shared" ref="H17" si="17">F17-G17</f>
        <v>#REF!</v>
      </c>
    </row>
    <row r="18" spans="1:8" ht="15.75" thickBot="1" x14ac:dyDescent="0.3">
      <c r="A18" s="488"/>
      <c r="B18" s="490"/>
      <c r="C18" s="490"/>
      <c r="D18" s="490"/>
      <c r="E18" s="490"/>
      <c r="F18" s="490"/>
      <c r="G18" s="490"/>
      <c r="H18" s="494"/>
    </row>
    <row r="19" spans="1:8" x14ac:dyDescent="0.25">
      <c r="A19" s="488"/>
      <c r="B19" s="490" t="s">
        <v>74</v>
      </c>
      <c r="C19" s="490">
        <v>0.34622619999999998</v>
      </c>
      <c r="D19" s="490">
        <f>0.00775+0.00026+0.01125+0.01425</f>
        <v>3.3509999999999998E-2</v>
      </c>
      <c r="E19" s="489">
        <f>C19+D19</f>
        <v>0.37973619999999997</v>
      </c>
      <c r="F19" s="489" t="e">
        <f>E19*#REF!</f>
        <v>#REF!</v>
      </c>
      <c r="G19" s="490">
        <v>338.50676999999996</v>
      </c>
      <c r="H19" s="493" t="e">
        <f t="shared" ref="H19" si="18">F19-G19</f>
        <v>#REF!</v>
      </c>
    </row>
    <row r="20" spans="1:8" ht="15.75" thickBot="1" x14ac:dyDescent="0.3">
      <c r="A20" s="488"/>
      <c r="B20" s="490"/>
      <c r="C20" s="490"/>
      <c r="D20" s="490"/>
      <c r="E20" s="490"/>
      <c r="F20" s="490"/>
      <c r="G20" s="490"/>
      <c r="H20" s="494"/>
    </row>
    <row r="21" spans="1:8" x14ac:dyDescent="0.25">
      <c r="A21" s="488"/>
      <c r="B21" s="490" t="s">
        <v>75</v>
      </c>
      <c r="C21" s="490">
        <v>1.7310000000000001E-4</v>
      </c>
      <c r="D21" s="490"/>
      <c r="E21" s="489">
        <f t="shared" ref="E21" si="19">C21+D21</f>
        <v>1.7310000000000001E-4</v>
      </c>
      <c r="F21" s="489" t="e">
        <f>E21*#REF!</f>
        <v>#REF!</v>
      </c>
      <c r="G21" s="490">
        <v>0.15301999999999999</v>
      </c>
      <c r="H21" s="493" t="e">
        <f t="shared" ref="H21" si="20">F21-G21</f>
        <v>#REF!</v>
      </c>
    </row>
    <row r="22" spans="1:8" ht="15.75" thickBot="1" x14ac:dyDescent="0.3">
      <c r="A22" s="488"/>
      <c r="B22" s="490"/>
      <c r="C22" s="490"/>
      <c r="D22" s="490"/>
      <c r="E22" s="490"/>
      <c r="F22" s="490"/>
      <c r="G22" s="490"/>
      <c r="H22" s="494"/>
    </row>
    <row r="23" spans="1:8" x14ac:dyDescent="0.25">
      <c r="A23" s="488"/>
      <c r="B23" s="490" t="s">
        <v>76</v>
      </c>
      <c r="C23" s="490">
        <f>0.0438706+0.022+0.0216617</f>
        <v>8.7532300000000007E-2</v>
      </c>
      <c r="D23" s="490">
        <f>0.00225+0.009+0.00705</f>
        <v>1.83E-2</v>
      </c>
      <c r="E23" s="489">
        <f t="shared" ref="E23" si="21">C23+D23</f>
        <v>0.1058323</v>
      </c>
      <c r="F23" s="489" t="e">
        <f>E23*#REF!</f>
        <v>#REF!</v>
      </c>
      <c r="G23" s="490">
        <v>93.555749999999989</v>
      </c>
      <c r="H23" s="493" t="e">
        <f t="shared" ref="H23" si="22">F23-G23</f>
        <v>#REF!</v>
      </c>
    </row>
    <row r="24" spans="1:8" ht="15.75" thickBot="1" x14ac:dyDescent="0.3">
      <c r="A24" s="488"/>
      <c r="B24" s="490"/>
      <c r="C24" s="490"/>
      <c r="D24" s="490"/>
      <c r="E24" s="490"/>
      <c r="F24" s="490"/>
      <c r="G24" s="490"/>
      <c r="H24" s="494"/>
    </row>
    <row r="25" spans="1:8" x14ac:dyDescent="0.25">
      <c r="A25" s="488"/>
      <c r="B25" s="490" t="s">
        <v>77</v>
      </c>
      <c r="C25" s="490">
        <v>1.0009999999999999E-4</v>
      </c>
      <c r="D25" s="490"/>
      <c r="E25" s="489">
        <f t="shared" ref="E25" si="23">C25+D25</f>
        <v>1.0009999999999999E-4</v>
      </c>
      <c r="F25" s="489" t="e">
        <f>E25*#REF!</f>
        <v>#REF!</v>
      </c>
      <c r="G25" s="490">
        <v>8.8489999999999999E-2</v>
      </c>
      <c r="H25" s="493" t="e">
        <f t="shared" ref="H25" si="24">F25-G25</f>
        <v>#REF!</v>
      </c>
    </row>
    <row r="26" spans="1:8" ht="15.75" thickBot="1" x14ac:dyDescent="0.3">
      <c r="A26" s="488"/>
      <c r="B26" s="490"/>
      <c r="C26" s="490"/>
      <c r="D26" s="490"/>
      <c r="E26" s="490"/>
      <c r="F26" s="490"/>
      <c r="G26" s="490"/>
      <c r="H26" s="494"/>
    </row>
    <row r="27" spans="1:8" x14ac:dyDescent="0.25">
      <c r="A27" s="488"/>
      <c r="B27" s="490" t="s">
        <v>78</v>
      </c>
      <c r="C27" s="490">
        <v>2.0100000000000001E-5</v>
      </c>
      <c r="D27" s="490"/>
      <c r="E27" s="489">
        <f t="shared" ref="E27" si="25">C27+D27</f>
        <v>2.0100000000000001E-5</v>
      </c>
      <c r="F27" s="489" t="e">
        <f>E27*#REF!</f>
        <v>#REF!</v>
      </c>
      <c r="G27" s="490">
        <v>1.7770000000000001E-2</v>
      </c>
      <c r="H27" s="493" t="e">
        <f t="shared" ref="H27" si="26">F27-G27</f>
        <v>#REF!</v>
      </c>
    </row>
    <row r="28" spans="1:8" ht="15.75" thickBot="1" x14ac:dyDescent="0.3">
      <c r="A28" s="488"/>
      <c r="B28" s="490"/>
      <c r="C28" s="490"/>
      <c r="D28" s="490"/>
      <c r="E28" s="490"/>
      <c r="F28" s="490"/>
      <c r="G28" s="490"/>
      <c r="H28" s="494"/>
    </row>
    <row r="29" spans="1:8" x14ac:dyDescent="0.25">
      <c r="A29" s="488"/>
      <c r="B29" s="490" t="s">
        <v>101</v>
      </c>
      <c r="C29" s="490">
        <v>6.0000000000000002E-5</v>
      </c>
      <c r="D29" s="490"/>
      <c r="E29" s="489">
        <f t="shared" ref="E29" si="27">C29+D29</f>
        <v>6.0000000000000002E-5</v>
      </c>
      <c r="F29" s="489" t="e">
        <f>E29*#REF!</f>
        <v>#REF!</v>
      </c>
      <c r="G29" s="490">
        <v>5.3039999999999997E-2</v>
      </c>
      <c r="H29" s="493" t="e">
        <f t="shared" ref="H29" si="28">F29-G29</f>
        <v>#REF!</v>
      </c>
    </row>
    <row r="30" spans="1:8" ht="15.75" thickBot="1" x14ac:dyDescent="0.3">
      <c r="A30" s="488"/>
      <c r="B30" s="490"/>
      <c r="C30" s="490"/>
      <c r="D30" s="490"/>
      <c r="E30" s="490"/>
      <c r="F30" s="490"/>
      <c r="G30" s="490"/>
      <c r="H30" s="494"/>
    </row>
    <row r="31" spans="1:8" x14ac:dyDescent="0.25">
      <c r="A31" s="488"/>
      <c r="B31" s="490" t="s">
        <v>170</v>
      </c>
      <c r="C31" s="490">
        <v>2.2440600000000002E-2</v>
      </c>
      <c r="D31" s="490">
        <f>0.00075+0.00375+0.00375+0.00525+0.00525+0.00675+0.00825+0.00405+0.00006+0.00069+0.01425</f>
        <v>5.28E-2</v>
      </c>
      <c r="E31" s="489">
        <f t="shared" ref="E31" si="29">C31+D31</f>
        <v>7.5240600000000005E-2</v>
      </c>
      <c r="F31" s="489" t="e">
        <f>E31*#REF!</f>
        <v>#REF!</v>
      </c>
      <c r="G31" s="490">
        <v>66.511089999999982</v>
      </c>
      <c r="H31" s="493" t="e">
        <f t="shared" ref="H31" si="30">F31-G31</f>
        <v>#REF!</v>
      </c>
    </row>
    <row r="32" spans="1:8" ht="15.75" thickBot="1" x14ac:dyDescent="0.3">
      <c r="A32" s="488"/>
      <c r="B32" s="490"/>
      <c r="C32" s="490"/>
      <c r="D32" s="490"/>
      <c r="E32" s="490"/>
      <c r="F32" s="490"/>
      <c r="G32" s="490"/>
      <c r="H32" s="494"/>
    </row>
    <row r="33" spans="1:8" x14ac:dyDescent="0.25">
      <c r="A33" s="488"/>
      <c r="B33" s="490" t="s">
        <v>81</v>
      </c>
      <c r="C33" s="490">
        <v>8.1010000000000001E-4</v>
      </c>
      <c r="D33" s="490"/>
      <c r="E33" s="489">
        <f t="shared" ref="E33" si="31">C33+D33</f>
        <v>8.1010000000000001E-4</v>
      </c>
      <c r="F33" s="489" t="e">
        <f>E33*#REF!</f>
        <v>#REF!</v>
      </c>
      <c r="G33" s="490">
        <v>0.71612999999999993</v>
      </c>
      <c r="H33" s="493" t="e">
        <f t="shared" ref="H33" si="32">F33-G33</f>
        <v>#REF!</v>
      </c>
    </row>
    <row r="34" spans="1:8" ht="15.75" thickBot="1" x14ac:dyDescent="0.3">
      <c r="A34" s="491"/>
      <c r="B34" s="492"/>
      <c r="C34" s="492"/>
      <c r="D34" s="492"/>
      <c r="E34" s="490"/>
      <c r="F34" s="490"/>
      <c r="G34" s="492"/>
      <c r="H34" s="494"/>
    </row>
    <row r="35" spans="1:8" x14ac:dyDescent="0.25">
      <c r="C35">
        <f t="shared" ref="C35:H35" si="33">SUM(C14:C34)</f>
        <v>0.51751960000000008</v>
      </c>
      <c r="D35">
        <f t="shared" si="33"/>
        <v>0.11105999999999999</v>
      </c>
      <c r="E35">
        <f t="shared" si="33"/>
        <v>0.62857960000000002</v>
      </c>
      <c r="F35" t="e">
        <f t="shared" si="33"/>
        <v>#REF!</v>
      </c>
      <c r="G35">
        <f t="shared" si="33"/>
        <v>558.48273999999992</v>
      </c>
      <c r="H35" t="e">
        <f t="shared" si="33"/>
        <v>#REF!</v>
      </c>
    </row>
  </sheetData>
  <mergeCells count="115">
    <mergeCell ref="H33:H34"/>
    <mergeCell ref="H15:H16"/>
    <mergeCell ref="H17:H18"/>
    <mergeCell ref="H19:H20"/>
    <mergeCell ref="H21:H22"/>
    <mergeCell ref="H23:H24"/>
    <mergeCell ref="H25:H26"/>
    <mergeCell ref="H2:H3"/>
    <mergeCell ref="H4:H5"/>
    <mergeCell ref="H6:H7"/>
    <mergeCell ref="H8:H9"/>
    <mergeCell ref="H27:H28"/>
    <mergeCell ref="H29:H30"/>
    <mergeCell ref="H31:H32"/>
    <mergeCell ref="H10:H11"/>
    <mergeCell ref="H12:H13"/>
    <mergeCell ref="D15:D16"/>
    <mergeCell ref="E10:E11"/>
    <mergeCell ref="E12:E13"/>
    <mergeCell ref="F25:F26"/>
    <mergeCell ref="G25:G26"/>
    <mergeCell ref="G15:G16"/>
    <mergeCell ref="C15:C16"/>
    <mergeCell ref="C12:C13"/>
    <mergeCell ref="D12:D13"/>
    <mergeCell ref="E15:E16"/>
    <mergeCell ref="F15:F16"/>
    <mergeCell ref="F12:F13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B21:B22"/>
    <mergeCell ref="C21:C22"/>
    <mergeCell ref="D21:D22"/>
    <mergeCell ref="E21:E22"/>
    <mergeCell ref="F21:F22"/>
    <mergeCell ref="G21:G22"/>
    <mergeCell ref="C27:C28"/>
    <mergeCell ref="D27:D28"/>
    <mergeCell ref="E27:E28"/>
    <mergeCell ref="F27:F28"/>
    <mergeCell ref="G27:G28"/>
    <mergeCell ref="B19:B20"/>
    <mergeCell ref="A14:A34"/>
    <mergeCell ref="B23:B24"/>
    <mergeCell ref="C23:C24"/>
    <mergeCell ref="D23:D24"/>
    <mergeCell ref="B25:B26"/>
    <mergeCell ref="E23:E24"/>
    <mergeCell ref="F23:F24"/>
    <mergeCell ref="G23:G24"/>
    <mergeCell ref="C19:C20"/>
    <mergeCell ref="D19:D20"/>
    <mergeCell ref="E19:E20"/>
    <mergeCell ref="F19:F20"/>
    <mergeCell ref="G19:G20"/>
    <mergeCell ref="G17:G18"/>
    <mergeCell ref="C25:C26"/>
    <mergeCell ref="D25:D26"/>
    <mergeCell ref="E25:E26"/>
    <mergeCell ref="B17:B18"/>
    <mergeCell ref="C17:C18"/>
    <mergeCell ref="D17:D18"/>
    <mergeCell ref="E17:E18"/>
    <mergeCell ref="F17:F18"/>
    <mergeCell ref="B15:B16"/>
    <mergeCell ref="D6:D7"/>
    <mergeCell ref="G10:G11"/>
    <mergeCell ref="G12:G13"/>
    <mergeCell ref="B12:B13"/>
    <mergeCell ref="C10:C11"/>
    <mergeCell ref="G6:G7"/>
    <mergeCell ref="G8:G9"/>
    <mergeCell ref="F10:F11"/>
    <mergeCell ref="D10:D11"/>
    <mergeCell ref="N8:U8"/>
    <mergeCell ref="A2:A13"/>
    <mergeCell ref="B2:B3"/>
    <mergeCell ref="B4:B5"/>
    <mergeCell ref="B6:B7"/>
    <mergeCell ref="B8:B9"/>
    <mergeCell ref="B10:B11"/>
    <mergeCell ref="E2:E3"/>
    <mergeCell ref="E4:E5"/>
    <mergeCell ref="E6:E7"/>
    <mergeCell ref="E8:E9"/>
    <mergeCell ref="C6:C7"/>
    <mergeCell ref="C8:C9"/>
    <mergeCell ref="G2:G3"/>
    <mergeCell ref="G4:G5"/>
    <mergeCell ref="C2:C3"/>
    <mergeCell ref="C4:C5"/>
    <mergeCell ref="F2:F3"/>
    <mergeCell ref="F4:F5"/>
    <mergeCell ref="F6:F7"/>
    <mergeCell ref="F8:F9"/>
    <mergeCell ref="D8:D9"/>
    <mergeCell ref="D2:D3"/>
    <mergeCell ref="D4:D5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91"/>
  <sheetViews>
    <sheetView showGridLines="0" topLeftCell="A69" zoomScaleNormal="100" workbookViewId="0">
      <selection activeCell="O199" sqref="O199"/>
    </sheetView>
  </sheetViews>
  <sheetFormatPr baseColWidth="10" defaultColWidth="11.42578125" defaultRowHeight="12" x14ac:dyDescent="0.2"/>
  <cols>
    <col min="1" max="1" width="23.28515625" style="12" bestFit="1" customWidth="1"/>
    <col min="2" max="2" width="18.85546875" style="12" bestFit="1" customWidth="1"/>
    <col min="3" max="3" width="4.85546875" style="12" bestFit="1" customWidth="1"/>
    <col min="4" max="4" width="14.42578125" style="12" bestFit="1" customWidth="1"/>
    <col min="5" max="5" width="33" style="12" bestFit="1" customWidth="1"/>
    <col min="6" max="6" width="10.85546875" style="12" bestFit="1" customWidth="1"/>
    <col min="7" max="7" width="10.28515625" style="12" bestFit="1" customWidth="1"/>
    <col min="8" max="8" width="17.28515625" style="13" bestFit="1" customWidth="1"/>
    <col min="9" max="9" width="16" style="13" bestFit="1" customWidth="1"/>
    <col min="10" max="10" width="11.7109375" style="13" bestFit="1" customWidth="1"/>
    <col min="11" max="11" width="6.5703125" style="13" bestFit="1" customWidth="1"/>
    <col min="12" max="12" width="7.42578125" style="13" bestFit="1" customWidth="1"/>
    <col min="13" max="13" width="15.85546875" style="21" bestFit="1" customWidth="1"/>
    <col min="14" max="14" width="10.85546875" style="25" customWidth="1"/>
    <col min="15" max="15" width="9" style="12" bestFit="1" customWidth="1"/>
    <col min="16" max="16" width="4.42578125" style="12" bestFit="1" customWidth="1"/>
    <col min="17" max="16384" width="11.42578125" style="12"/>
  </cols>
  <sheetData>
    <row r="1" spans="1:22" x14ac:dyDescent="0.2">
      <c r="A1" s="5" t="s">
        <v>171</v>
      </c>
      <c r="B1" s="5" t="s">
        <v>172</v>
      </c>
      <c r="C1" s="5" t="s">
        <v>173</v>
      </c>
      <c r="D1" s="6" t="s">
        <v>174</v>
      </c>
      <c r="E1" s="5" t="s">
        <v>175</v>
      </c>
      <c r="F1" s="5" t="s">
        <v>176</v>
      </c>
      <c r="G1" s="5" t="s">
        <v>177</v>
      </c>
      <c r="H1" s="7" t="s">
        <v>178</v>
      </c>
      <c r="I1" s="7" t="s">
        <v>179</v>
      </c>
      <c r="J1" s="7" t="s">
        <v>180</v>
      </c>
      <c r="K1" s="7" t="s">
        <v>181</v>
      </c>
      <c r="L1" s="7" t="s">
        <v>182</v>
      </c>
      <c r="M1" s="20" t="s">
        <v>183</v>
      </c>
      <c r="N1" s="8" t="s">
        <v>184</v>
      </c>
      <c r="O1" s="9" t="s">
        <v>185</v>
      </c>
      <c r="P1" s="10" t="s">
        <v>186</v>
      </c>
      <c r="Q1" s="10" t="s">
        <v>187</v>
      </c>
    </row>
    <row r="2" spans="1:22" x14ac:dyDescent="0.2">
      <c r="A2" s="14" t="s">
        <v>10</v>
      </c>
      <c r="B2" s="14" t="s">
        <v>188</v>
      </c>
      <c r="C2" s="14" t="s">
        <v>85</v>
      </c>
      <c r="D2" s="14" t="s">
        <v>189</v>
      </c>
      <c r="E2" s="14" t="s">
        <v>189</v>
      </c>
      <c r="F2" s="238">
        <v>46082</v>
      </c>
      <c r="G2" s="238">
        <v>46265</v>
      </c>
      <c r="H2" s="15">
        <f>'CUOTA ARTESANAL'!E6</f>
        <v>8</v>
      </c>
      <c r="I2" s="15">
        <f>'CUOTA ARTESANAL'!F6</f>
        <v>0</v>
      </c>
      <c r="J2" s="15">
        <f>'CUOTA ARTESANAL'!G6</f>
        <v>8</v>
      </c>
      <c r="K2" s="15">
        <f>'CUOTA ARTESANAL'!H6</f>
        <v>0</v>
      </c>
      <c r="L2" s="15">
        <f>'CUOTA ARTESANAL'!I6</f>
        <v>8</v>
      </c>
      <c r="M2" s="192">
        <f>'CUOTA ARTESANAL'!J6</f>
        <v>0</v>
      </c>
      <c r="N2" s="16" t="str">
        <f>'CUOTA ARTESANAL'!K6</f>
        <v>-</v>
      </c>
      <c r="O2" s="16">
        <f>'RESUMEN '!$B$3</f>
        <v>46324</v>
      </c>
      <c r="P2" s="14">
        <v>2026</v>
      </c>
      <c r="Q2" s="14"/>
    </row>
    <row r="3" spans="1:22" x14ac:dyDescent="0.2">
      <c r="A3" s="14" t="s">
        <v>10</v>
      </c>
      <c r="B3" s="14" t="s">
        <v>188</v>
      </c>
      <c r="C3" s="14" t="s">
        <v>85</v>
      </c>
      <c r="D3" s="14" t="s">
        <v>189</v>
      </c>
      <c r="E3" s="14" t="s">
        <v>189</v>
      </c>
      <c r="F3" s="238">
        <v>46296</v>
      </c>
      <c r="G3" s="238">
        <v>46387</v>
      </c>
      <c r="H3" s="15">
        <f>'CUOTA ARTESANAL'!E7</f>
        <v>1</v>
      </c>
      <c r="I3" s="15">
        <f>'CUOTA ARTESANAL'!F7</f>
        <v>0</v>
      </c>
      <c r="J3" s="15">
        <f>'CUOTA ARTESANAL'!G7</f>
        <v>9</v>
      </c>
      <c r="K3" s="15">
        <f>'CUOTA ARTESANAL'!H7</f>
        <v>0</v>
      </c>
      <c r="L3" s="15">
        <f>'CUOTA ARTESANAL'!I7</f>
        <v>9</v>
      </c>
      <c r="M3" s="192">
        <f>'CUOTA ARTESANAL'!J7</f>
        <v>0</v>
      </c>
      <c r="N3" s="16" t="str">
        <f>'CUOTA ARTESANAL'!K7</f>
        <v>-</v>
      </c>
      <c r="O3" s="16">
        <f>'RESUMEN '!$B$3</f>
        <v>46324</v>
      </c>
      <c r="P3" s="14">
        <v>2026</v>
      </c>
      <c r="Q3" s="14"/>
    </row>
    <row r="4" spans="1:22" s="244" customFormat="1" x14ac:dyDescent="0.2">
      <c r="A4" s="242" t="s">
        <v>10</v>
      </c>
      <c r="B4" s="242" t="s">
        <v>188</v>
      </c>
      <c r="C4" s="242" t="s">
        <v>85</v>
      </c>
      <c r="D4" s="242" t="s">
        <v>189</v>
      </c>
      <c r="E4" s="242" t="s">
        <v>190</v>
      </c>
      <c r="F4" s="241">
        <v>46023</v>
      </c>
      <c r="G4" s="241">
        <v>46387</v>
      </c>
      <c r="H4" s="243">
        <f>'CUOTA ARTESANAL'!L6</f>
        <v>9</v>
      </c>
      <c r="I4" s="243">
        <f>'CUOTA ARTESANAL'!M6</f>
        <v>0</v>
      </c>
      <c r="J4" s="243">
        <f>'CUOTA ARTESANAL'!N6</f>
        <v>9</v>
      </c>
      <c r="K4" s="243">
        <f>'CUOTA ARTESANAL'!O6</f>
        <v>0</v>
      </c>
      <c r="L4" s="243">
        <f>'CUOTA ARTESANAL'!P6</f>
        <v>9</v>
      </c>
      <c r="M4" s="243">
        <f>'CUOTA ARTESANAL'!Q6</f>
        <v>0</v>
      </c>
      <c r="N4" s="243" t="s">
        <v>48</v>
      </c>
      <c r="O4" s="241">
        <f>'RESUMEN '!$B$3</f>
        <v>46324</v>
      </c>
      <c r="P4" s="242">
        <v>2026</v>
      </c>
      <c r="Q4" s="242"/>
      <c r="R4" s="12"/>
      <c r="S4" s="12"/>
      <c r="T4" s="12"/>
      <c r="U4" s="12"/>
      <c r="V4" s="12"/>
    </row>
    <row r="5" spans="1:22" x14ac:dyDescent="0.2">
      <c r="A5" s="14" t="s">
        <v>10</v>
      </c>
      <c r="B5" s="14" t="s">
        <v>188</v>
      </c>
      <c r="C5" s="14" t="s">
        <v>87</v>
      </c>
      <c r="D5" s="14" t="s">
        <v>191</v>
      </c>
      <c r="E5" s="14" t="str">
        <f>'CUOTA ARTESANAL'!C8</f>
        <v>PUNTA TALCA</v>
      </c>
      <c r="F5" s="238">
        <v>46082</v>
      </c>
      <c r="G5" s="238">
        <v>46265</v>
      </c>
      <c r="H5" s="15">
        <f>'CUOTA ARTESANAL'!E8</f>
        <v>106.31399999999999</v>
      </c>
      <c r="I5" s="15">
        <f>'CUOTA ARTESANAL'!F8</f>
        <v>-59.079000000000001</v>
      </c>
      <c r="J5" s="15">
        <f>'CUOTA ARTESANAL'!G8</f>
        <v>47.234999999999992</v>
      </c>
      <c r="K5" s="15">
        <f>'CUOTA ARTESANAL'!H8</f>
        <v>46.289000000000001</v>
      </c>
      <c r="L5" s="15">
        <f>'CUOTA ARTESANAL'!I8</f>
        <v>0.94599999999999085</v>
      </c>
      <c r="M5" s="192">
        <f>'CUOTA ARTESANAL'!J8</f>
        <v>0.97997247803535537</v>
      </c>
      <c r="N5" s="16">
        <f>'CUOTA ARTESANAL'!K8</f>
        <v>46119</v>
      </c>
      <c r="O5" s="16">
        <f>'RESUMEN '!$B$3</f>
        <v>46324</v>
      </c>
      <c r="P5" s="14">
        <v>2026</v>
      </c>
      <c r="Q5" s="14"/>
    </row>
    <row r="6" spans="1:22" x14ac:dyDescent="0.2">
      <c r="A6" s="14" t="s">
        <v>10</v>
      </c>
      <c r="B6" s="14" t="s">
        <v>188</v>
      </c>
      <c r="C6" s="14" t="s">
        <v>87</v>
      </c>
      <c r="D6" s="14" t="s">
        <v>191</v>
      </c>
      <c r="E6" s="14" t="str">
        <f>'CUOTA ARTESANAL'!C8</f>
        <v>PUNTA TALCA</v>
      </c>
      <c r="F6" s="238">
        <v>46296</v>
      </c>
      <c r="G6" s="238">
        <v>46387</v>
      </c>
      <c r="H6" s="15">
        <f>'CUOTA ARTESANAL'!E9</f>
        <v>11.843999999999999</v>
      </c>
      <c r="I6" s="15">
        <f>'CUOTA ARTESANAL'!F9</f>
        <v>0</v>
      </c>
      <c r="J6" s="15">
        <f>'CUOTA ARTESANAL'!G9</f>
        <v>12.78999999999999</v>
      </c>
      <c r="K6" s="15">
        <f>'CUOTA ARTESANAL'!H9</f>
        <v>11.798</v>
      </c>
      <c r="L6" s="15">
        <f>'CUOTA ARTESANAL'!I9</f>
        <v>0.99199999999999022</v>
      </c>
      <c r="M6" s="192">
        <f>'CUOTA ARTESANAL'!J9</f>
        <v>0.92243940578577088</v>
      </c>
      <c r="N6" s="16">
        <f>'CUOTA ARTESANAL'!K9</f>
        <v>46300</v>
      </c>
      <c r="O6" s="16">
        <f>'RESUMEN '!$B$3</f>
        <v>46324</v>
      </c>
      <c r="P6" s="14">
        <v>2026</v>
      </c>
      <c r="Q6" s="14"/>
    </row>
    <row r="7" spans="1:22" s="244" customFormat="1" x14ac:dyDescent="0.2">
      <c r="A7" s="242" t="s">
        <v>10</v>
      </c>
      <c r="B7" s="242" t="s">
        <v>188</v>
      </c>
      <c r="C7" s="242" t="s">
        <v>87</v>
      </c>
      <c r="D7" s="242" t="s">
        <v>191</v>
      </c>
      <c r="E7" s="242" t="s">
        <v>51</v>
      </c>
      <c r="F7" s="241">
        <v>46023</v>
      </c>
      <c r="G7" s="241">
        <v>46387</v>
      </c>
      <c r="H7" s="243">
        <f>'CUOTA ARTESANAL'!L8</f>
        <v>118.15799999999999</v>
      </c>
      <c r="I7" s="243">
        <f>'CUOTA ARTESANAL'!M8</f>
        <v>-59.079000000000001</v>
      </c>
      <c r="J7" s="243">
        <f>'CUOTA ARTESANAL'!N8</f>
        <v>59.078999999999986</v>
      </c>
      <c r="K7" s="243">
        <f>'CUOTA ARTESANAL'!O8</f>
        <v>58.087000000000003</v>
      </c>
      <c r="L7" s="243">
        <f>'CUOTA ARTESANAL'!P8</f>
        <v>0.99199999999998312</v>
      </c>
      <c r="M7" s="243">
        <f>'CUOTA ARTESANAL'!Q8</f>
        <v>0.98320892364461177</v>
      </c>
      <c r="N7" s="241" t="s">
        <v>48</v>
      </c>
      <c r="O7" s="241">
        <f>'RESUMEN '!$B$3</f>
        <v>46324</v>
      </c>
      <c r="P7" s="242">
        <v>2026</v>
      </c>
      <c r="Q7" s="242"/>
      <c r="R7" s="12"/>
      <c r="S7" s="12"/>
      <c r="T7" s="12"/>
      <c r="U7" s="12"/>
      <c r="V7" s="12"/>
    </row>
    <row r="8" spans="1:22" x14ac:dyDescent="0.2">
      <c r="A8" s="14" t="s">
        <v>10</v>
      </c>
      <c r="B8" s="14" t="s">
        <v>188</v>
      </c>
      <c r="C8" s="14" t="s">
        <v>87</v>
      </c>
      <c r="D8" s="14" t="s">
        <v>191</v>
      </c>
      <c r="E8" s="14" t="str">
        <f>'CUOTA ARTESANAL'!C10</f>
        <v>TRAUWUN I</v>
      </c>
      <c r="F8" s="238">
        <v>46082</v>
      </c>
      <c r="G8" s="238">
        <v>46265</v>
      </c>
      <c r="H8" s="15">
        <f>'CUOTA ARTESANAL'!E10</f>
        <v>99.150999999999996</v>
      </c>
      <c r="I8" s="15">
        <f>'CUOTA ARTESANAL'!F10</f>
        <v>0</v>
      </c>
      <c r="J8" s="15">
        <f>'CUOTA ARTESANAL'!G10</f>
        <v>99.150999999999996</v>
      </c>
      <c r="K8" s="15">
        <f>'CUOTA ARTESANAL'!H10</f>
        <v>78.17</v>
      </c>
      <c r="L8" s="15">
        <f>'CUOTA ARTESANAL'!I10</f>
        <v>20.980999999999995</v>
      </c>
      <c r="M8" s="192">
        <f>'CUOTA ARTESANAL'!J10</f>
        <v>0.78839346047947079</v>
      </c>
      <c r="N8" s="16" t="str">
        <f>'CUOTA ARTESANAL'!K10</f>
        <v>-</v>
      </c>
      <c r="O8" s="16">
        <f>'RESUMEN '!$B$3</f>
        <v>46324</v>
      </c>
      <c r="P8" s="14">
        <v>2026</v>
      </c>
      <c r="Q8" s="14"/>
    </row>
    <row r="9" spans="1:22" x14ac:dyDescent="0.2">
      <c r="A9" s="14" t="s">
        <v>10</v>
      </c>
      <c r="B9" s="14" t="s">
        <v>188</v>
      </c>
      <c r="C9" s="14" t="s">
        <v>87</v>
      </c>
      <c r="D9" s="14" t="s">
        <v>191</v>
      </c>
      <c r="E9" s="14" t="str">
        <f>'CUOTA ARTESANAL'!C10</f>
        <v>TRAUWUN I</v>
      </c>
      <c r="F9" s="238">
        <v>46296</v>
      </c>
      <c r="G9" s="238">
        <v>46387</v>
      </c>
      <c r="H9" s="15">
        <f>'CUOTA ARTESANAL'!E11</f>
        <v>11.045999999999999</v>
      </c>
      <c r="I9" s="15">
        <f>'CUOTA ARTESANAL'!F11</f>
        <v>0</v>
      </c>
      <c r="J9" s="15">
        <f>'CUOTA ARTESANAL'!G11</f>
        <v>32.026999999999994</v>
      </c>
      <c r="K9" s="15">
        <f>'CUOTA ARTESANAL'!H11</f>
        <v>0</v>
      </c>
      <c r="L9" s="15">
        <f>'CUOTA ARTESANAL'!I11</f>
        <v>32.026999999999994</v>
      </c>
      <c r="M9" s="192">
        <f>'CUOTA ARTESANAL'!J11</f>
        <v>0</v>
      </c>
      <c r="N9" s="16" t="str">
        <f>'CUOTA ARTESANAL'!K11</f>
        <v>-</v>
      </c>
      <c r="O9" s="16">
        <f>'RESUMEN '!$B$3</f>
        <v>46324</v>
      </c>
      <c r="P9" s="14">
        <v>2026</v>
      </c>
      <c r="Q9" s="14"/>
    </row>
    <row r="10" spans="1:22" s="244" customFormat="1" x14ac:dyDescent="0.2">
      <c r="A10" s="242" t="s">
        <v>10</v>
      </c>
      <c r="B10" s="242" t="s">
        <v>188</v>
      </c>
      <c r="C10" s="242" t="s">
        <v>87</v>
      </c>
      <c r="D10" s="242" t="s">
        <v>191</v>
      </c>
      <c r="E10" s="242" t="s">
        <v>52</v>
      </c>
      <c r="F10" s="241">
        <v>46023</v>
      </c>
      <c r="G10" s="241">
        <v>46387</v>
      </c>
      <c r="H10" s="243">
        <f>'CUOTA ARTESANAL'!L10</f>
        <v>110.197</v>
      </c>
      <c r="I10" s="243">
        <f>'CUOTA ARTESANAL'!M10</f>
        <v>0</v>
      </c>
      <c r="J10" s="243">
        <f>'CUOTA ARTESANAL'!N10</f>
        <v>110.197</v>
      </c>
      <c r="K10" s="243">
        <f>'CUOTA ARTESANAL'!O10</f>
        <v>78.17</v>
      </c>
      <c r="L10" s="243">
        <f>'CUOTA ARTESANAL'!P10</f>
        <v>32.027000000000001</v>
      </c>
      <c r="M10" s="243">
        <f>'CUOTA ARTESANAL'!Q10</f>
        <v>0.70936595370109889</v>
      </c>
      <c r="N10" s="241"/>
      <c r="O10" s="241">
        <f>'RESUMEN '!$B$3</f>
        <v>46324</v>
      </c>
      <c r="P10" s="242">
        <v>2026</v>
      </c>
      <c r="Q10" s="242"/>
      <c r="R10" s="12"/>
      <c r="S10" s="12"/>
      <c r="T10" s="12"/>
      <c r="U10" s="12"/>
      <c r="V10" s="12"/>
    </row>
    <row r="11" spans="1:22" x14ac:dyDescent="0.2">
      <c r="A11" s="14" t="s">
        <v>10</v>
      </c>
      <c r="B11" s="14" t="s">
        <v>188</v>
      </c>
      <c r="C11" s="14" t="s">
        <v>87</v>
      </c>
      <c r="D11" s="14" t="s">
        <v>191</v>
      </c>
      <c r="E11" s="14" t="str">
        <f>'CUOTA ARTESANAL'!C12</f>
        <v>CHAFIC I</v>
      </c>
      <c r="F11" s="238">
        <v>46082</v>
      </c>
      <c r="G11" s="238">
        <v>46265</v>
      </c>
      <c r="H11" s="15">
        <f>'CUOTA ARTESANAL'!E12</f>
        <v>76.531000000000006</v>
      </c>
      <c r="I11" s="15">
        <f>'CUOTA ARTESANAL'!F12</f>
        <v>0</v>
      </c>
      <c r="J11" s="15">
        <f>'CUOTA ARTESANAL'!G12</f>
        <v>76.531000000000006</v>
      </c>
      <c r="K11" s="15">
        <f>'CUOTA ARTESANAL'!H12</f>
        <v>73.274000000000001</v>
      </c>
      <c r="L11" s="15">
        <f>'CUOTA ARTESANAL'!I12</f>
        <v>3.257000000000005</v>
      </c>
      <c r="M11" s="192">
        <f>'CUOTA ARTESANAL'!J12</f>
        <v>0.95744208229344963</v>
      </c>
      <c r="N11" s="16" t="str">
        <f>'CUOTA ARTESANAL'!K12</f>
        <v>-</v>
      </c>
      <c r="O11" s="16">
        <f>'RESUMEN '!$B$3</f>
        <v>46324</v>
      </c>
      <c r="P11" s="14">
        <v>2026</v>
      </c>
      <c r="Q11" s="14"/>
    </row>
    <row r="12" spans="1:22" x14ac:dyDescent="0.2">
      <c r="A12" s="14" t="s">
        <v>10</v>
      </c>
      <c r="B12" s="14" t="s">
        <v>188</v>
      </c>
      <c r="C12" s="14" t="s">
        <v>87</v>
      </c>
      <c r="D12" s="14" t="s">
        <v>191</v>
      </c>
      <c r="E12" s="14" t="str">
        <f>'CUOTA ARTESANAL'!C12</f>
        <v>CHAFIC I</v>
      </c>
      <c r="F12" s="238">
        <v>46296</v>
      </c>
      <c r="G12" s="238">
        <v>46387</v>
      </c>
      <c r="H12" s="15">
        <f>'CUOTA ARTESANAL'!E13</f>
        <v>8.5259999999999998</v>
      </c>
      <c r="I12" s="15">
        <f>'CUOTA ARTESANAL'!F13</f>
        <v>0</v>
      </c>
      <c r="J12" s="15">
        <f>'CUOTA ARTESANAL'!G13</f>
        <v>11.783000000000005</v>
      </c>
      <c r="K12" s="15">
        <f>'CUOTA ARTESANAL'!H13</f>
        <v>10.736000000000001</v>
      </c>
      <c r="L12" s="15">
        <f>'CUOTA ARTESANAL'!I13</f>
        <v>1.0470000000000041</v>
      </c>
      <c r="M12" s="192">
        <f>'CUOTA ARTESANAL'!J13</f>
        <v>0.91114317236696907</v>
      </c>
      <c r="N12" s="16" t="str">
        <f>'CUOTA ARTESANAL'!K13</f>
        <v>-</v>
      </c>
      <c r="O12" s="16">
        <f>'RESUMEN '!$B$3</f>
        <v>46324</v>
      </c>
      <c r="P12" s="14">
        <v>2026</v>
      </c>
      <c r="Q12" s="14"/>
    </row>
    <row r="13" spans="1:22" s="244" customFormat="1" x14ac:dyDescent="0.2">
      <c r="A13" s="242" t="s">
        <v>10</v>
      </c>
      <c r="B13" s="242" t="s">
        <v>188</v>
      </c>
      <c r="C13" s="242" t="s">
        <v>87</v>
      </c>
      <c r="D13" s="242" t="s">
        <v>191</v>
      </c>
      <c r="E13" s="242" t="s">
        <v>53</v>
      </c>
      <c r="F13" s="241">
        <v>46023</v>
      </c>
      <c r="G13" s="241">
        <v>46387</v>
      </c>
      <c r="H13" s="243">
        <f>'CUOTA ARTESANAL'!L12</f>
        <v>85.057000000000002</v>
      </c>
      <c r="I13" s="243">
        <f>'CUOTA ARTESANAL'!M12</f>
        <v>0</v>
      </c>
      <c r="J13" s="243">
        <f>'CUOTA ARTESANAL'!N12</f>
        <v>85.057000000000002</v>
      </c>
      <c r="K13" s="243">
        <f>'CUOTA ARTESANAL'!O12</f>
        <v>84.01</v>
      </c>
      <c r="L13" s="243">
        <f>'CUOTA ARTESANAL'!P12</f>
        <v>1.046999999999997</v>
      </c>
      <c r="M13" s="243">
        <f>'CUOTA ARTESANAL'!Q12</f>
        <v>0.98769060747498738</v>
      </c>
      <c r="N13" s="241" t="s">
        <v>48</v>
      </c>
      <c r="O13" s="16">
        <f>'RESUMEN '!$B$3</f>
        <v>46324</v>
      </c>
      <c r="P13" s="242">
        <v>2026</v>
      </c>
      <c r="Q13" s="242"/>
      <c r="R13" s="12"/>
      <c r="S13" s="12"/>
      <c r="T13" s="12"/>
      <c r="U13" s="12"/>
      <c r="V13" s="12"/>
    </row>
    <row r="14" spans="1:22" x14ac:dyDescent="0.2">
      <c r="A14" s="14" t="s">
        <v>10</v>
      </c>
      <c r="B14" s="14" t="s">
        <v>188</v>
      </c>
      <c r="C14" s="14" t="s">
        <v>87</v>
      </c>
      <c r="D14" s="14" t="s">
        <v>191</v>
      </c>
      <c r="E14" s="14" t="str">
        <f>'CUOTA ARTESANAL'!C14</f>
        <v>ISLA TABON</v>
      </c>
      <c r="F14" s="238">
        <v>46082</v>
      </c>
      <c r="G14" s="238">
        <v>46265</v>
      </c>
      <c r="H14" s="15">
        <f>'CUOTA ARTESANAL'!E14</f>
        <v>72.384</v>
      </c>
      <c r="I14" s="15">
        <f>'CUOTA ARTESANAL'!F15</f>
        <v>0</v>
      </c>
      <c r="J14" s="15">
        <f>'CUOTA ARTESANAL'!G15</f>
        <v>0.29600000000000115</v>
      </c>
      <c r="K14" s="15">
        <f>'CUOTA ARTESANAL'!H15</f>
        <v>0</v>
      </c>
      <c r="L14" s="15">
        <f>'CUOTA ARTESANAL'!I15</f>
        <v>0.29600000000000115</v>
      </c>
      <c r="M14" s="192">
        <f>'CUOTA ARTESANAL'!J15</f>
        <v>0</v>
      </c>
      <c r="N14" s="16" t="str">
        <f>'CUOTA ARTESANAL'!K15</f>
        <v>-</v>
      </c>
      <c r="O14" s="16">
        <f>'RESUMEN '!$B$3</f>
        <v>46324</v>
      </c>
      <c r="P14" s="14">
        <v>2026</v>
      </c>
      <c r="Q14" s="14"/>
    </row>
    <row r="15" spans="1:22" x14ac:dyDescent="0.2">
      <c r="A15" s="14" t="s">
        <v>10</v>
      </c>
      <c r="B15" s="14" t="s">
        <v>188</v>
      </c>
      <c r="C15" s="14" t="s">
        <v>87</v>
      </c>
      <c r="D15" s="14" t="s">
        <v>191</v>
      </c>
      <c r="E15" s="14" t="str">
        <f>'CUOTA ARTESANAL'!C14</f>
        <v>ISLA TABON</v>
      </c>
      <c r="F15" s="16">
        <v>46296</v>
      </c>
      <c r="G15" s="16">
        <v>46387</v>
      </c>
      <c r="H15" s="15">
        <f>'CUOTA ARTESANAL'!E15</f>
        <v>8.0640000000000001</v>
      </c>
      <c r="I15" s="15">
        <f>'CUOTA ARTESANAL'!M14</f>
        <v>-70</v>
      </c>
      <c r="J15" s="15">
        <f>'CUOTA ARTESANAL'!N14</f>
        <v>10.448000000000008</v>
      </c>
      <c r="K15" s="15">
        <f>'CUOTA ARTESANAL'!O14</f>
        <v>10.151999999999999</v>
      </c>
      <c r="L15" s="15">
        <f>'CUOTA ARTESANAL'!P14</f>
        <v>0.29600000000000826</v>
      </c>
      <c r="M15" s="245">
        <f>'CUOTA ARTESANAL'!Q14</f>
        <v>0.97166921898927949</v>
      </c>
      <c r="N15" s="16" t="s">
        <v>48</v>
      </c>
      <c r="O15" s="16">
        <f>'RESUMEN '!$B$3</f>
        <v>46324</v>
      </c>
      <c r="P15" s="14">
        <v>2026</v>
      </c>
      <c r="Q15" s="14"/>
    </row>
    <row r="16" spans="1:22" s="244" customFormat="1" x14ac:dyDescent="0.2">
      <c r="A16" s="242" t="s">
        <v>10</v>
      </c>
      <c r="B16" s="242" t="s">
        <v>188</v>
      </c>
      <c r="C16" s="242" t="s">
        <v>87</v>
      </c>
      <c r="D16" s="242" t="s">
        <v>191</v>
      </c>
      <c r="E16" s="242" t="s">
        <v>54</v>
      </c>
      <c r="F16" s="241">
        <v>46023</v>
      </c>
      <c r="G16" s="241">
        <v>46387</v>
      </c>
      <c r="H16" s="243">
        <f>'CUOTA ARTESANAL'!L14</f>
        <v>80.448000000000008</v>
      </c>
      <c r="I16" s="15">
        <f>'CUOTA ARTESANAL'!M15</f>
        <v>0</v>
      </c>
      <c r="J16" s="15">
        <f>'CUOTA ARTESANAL'!N15</f>
        <v>0</v>
      </c>
      <c r="K16" s="15">
        <f>'CUOTA ARTESANAL'!O15</f>
        <v>0</v>
      </c>
      <c r="L16" s="15">
        <f>'CUOTA ARTESANAL'!P15</f>
        <v>0</v>
      </c>
      <c r="M16" s="245">
        <f>'CUOTA ARTESANAL'!Q15</f>
        <v>0</v>
      </c>
      <c r="N16" s="16" t="s">
        <v>48</v>
      </c>
      <c r="O16" s="16">
        <f>'RESUMEN '!$B$3</f>
        <v>46324</v>
      </c>
      <c r="P16" s="242">
        <v>2026</v>
      </c>
      <c r="Q16" s="242"/>
      <c r="R16" s="12"/>
      <c r="S16" s="12"/>
      <c r="T16" s="12"/>
      <c r="U16" s="12"/>
      <c r="V16" s="12"/>
    </row>
    <row r="17" spans="1:22" x14ac:dyDescent="0.2">
      <c r="A17" s="14" t="s">
        <v>10</v>
      </c>
      <c r="B17" s="14" t="s">
        <v>188</v>
      </c>
      <c r="C17" s="14" t="s">
        <v>87</v>
      </c>
      <c r="D17" s="14" t="s">
        <v>191</v>
      </c>
      <c r="E17" s="14" t="str">
        <f>'CUOTA ARTESANAL'!C16</f>
        <v>RESIDUAL</v>
      </c>
      <c r="F17" s="238">
        <v>46082</v>
      </c>
      <c r="G17" s="238">
        <v>46265</v>
      </c>
      <c r="H17" s="15">
        <f>'CUOTA ARTESANAL'!E16</f>
        <v>22.62</v>
      </c>
      <c r="I17" s="15">
        <f>'CUOTA ARTESANAL'!F16</f>
        <v>0</v>
      </c>
      <c r="J17" s="15">
        <f>'CUOTA ARTESANAL'!G16</f>
        <v>22.62</v>
      </c>
      <c r="K17" s="15">
        <f>'CUOTA ARTESANAL'!H16</f>
        <v>22.664000000000001</v>
      </c>
      <c r="L17" s="15">
        <f>'CUOTA ARTESANAL'!I16</f>
        <v>-4.4000000000000483E-2</v>
      </c>
      <c r="M17" s="192">
        <f>'CUOTA ARTESANAL'!J16</f>
        <v>1.001945181255526</v>
      </c>
      <c r="N17" s="16">
        <f>'CUOTA ARTESANAL'!K16</f>
        <v>46150</v>
      </c>
      <c r="O17" s="16">
        <f>'RESUMEN '!$B$3</f>
        <v>46324</v>
      </c>
      <c r="P17" s="14">
        <v>2026</v>
      </c>
      <c r="Q17" s="14"/>
    </row>
    <row r="18" spans="1:22" x14ac:dyDescent="0.2">
      <c r="A18" s="14" t="s">
        <v>10</v>
      </c>
      <c r="B18" s="14" t="s">
        <v>188</v>
      </c>
      <c r="C18" s="14" t="s">
        <v>87</v>
      </c>
      <c r="D18" s="14" t="s">
        <v>191</v>
      </c>
      <c r="E18" s="14" t="str">
        <f>'CUOTA ARTESANAL'!C16</f>
        <v>RESIDUAL</v>
      </c>
      <c r="F18" s="238">
        <v>46296</v>
      </c>
      <c r="G18" s="238">
        <v>46387</v>
      </c>
      <c r="H18" s="15">
        <f>'CUOTA ARTESANAL'!E17</f>
        <v>2.52</v>
      </c>
      <c r="I18" s="15">
        <f>'CUOTA ARTESANAL'!F17</f>
        <v>0</v>
      </c>
      <c r="J18" s="15">
        <f>'CUOTA ARTESANAL'!G17</f>
        <v>2.4759999999999995</v>
      </c>
      <c r="K18" s="15">
        <f>'CUOTA ARTESANAL'!H17</f>
        <v>0</v>
      </c>
      <c r="L18" s="15">
        <f>'CUOTA ARTESANAL'!I17</f>
        <v>2.4759999999999995</v>
      </c>
      <c r="M18" s="192">
        <f>'CUOTA ARTESANAL'!J17</f>
        <v>0</v>
      </c>
      <c r="N18" s="16" t="str">
        <f>'CUOTA ARTESANAL'!K17</f>
        <v>-</v>
      </c>
      <c r="O18" s="16">
        <f>'RESUMEN '!$B$3</f>
        <v>46324</v>
      </c>
      <c r="P18" s="14">
        <v>2026</v>
      </c>
      <c r="Q18" s="14"/>
    </row>
    <row r="19" spans="1:22" s="244" customFormat="1" x14ac:dyDescent="0.2">
      <c r="A19" s="242" t="s">
        <v>10</v>
      </c>
      <c r="B19" s="242" t="s">
        <v>188</v>
      </c>
      <c r="C19" s="242" t="s">
        <v>87</v>
      </c>
      <c r="D19" s="242" t="s">
        <v>191</v>
      </c>
      <c r="E19" s="242" t="s">
        <v>55</v>
      </c>
      <c r="F19" s="241">
        <v>46023</v>
      </c>
      <c r="G19" s="241">
        <v>46387</v>
      </c>
      <c r="H19" s="243">
        <f>'CUOTA ARTESANAL'!L16</f>
        <v>25.14</v>
      </c>
      <c r="I19" s="15">
        <f>'CUOTA ARTESANAL'!F18</f>
        <v>0</v>
      </c>
      <c r="J19" s="15">
        <f>'CUOTA ARTESANAL'!G18</f>
        <v>15</v>
      </c>
      <c r="K19" s="15">
        <f>'CUOTA ARTESANAL'!H18</f>
        <v>0</v>
      </c>
      <c r="L19" s="15">
        <f>'CUOTA ARTESANAL'!I18</f>
        <v>15</v>
      </c>
      <c r="M19" s="192">
        <f>'CUOTA ARTESANAL'!J18</f>
        <v>0</v>
      </c>
      <c r="N19" s="16" t="str">
        <f>'CUOTA ARTESANAL'!K18</f>
        <v>-</v>
      </c>
      <c r="O19" s="16">
        <f>'RESUMEN '!$B$3</f>
        <v>46324</v>
      </c>
      <c r="P19" s="242">
        <v>2026</v>
      </c>
      <c r="Q19" s="242"/>
      <c r="R19" s="12"/>
      <c r="S19" s="12"/>
      <c r="T19" s="12"/>
      <c r="U19" s="12"/>
      <c r="V19" s="12"/>
    </row>
    <row r="20" spans="1:22" x14ac:dyDescent="0.2">
      <c r="A20" s="14" t="s">
        <v>10</v>
      </c>
      <c r="B20" s="14" t="s">
        <v>188</v>
      </c>
      <c r="C20" s="14" t="s">
        <v>192</v>
      </c>
      <c r="D20" s="14" t="s">
        <v>11</v>
      </c>
      <c r="E20" s="14" t="s">
        <v>14</v>
      </c>
      <c r="F20" s="238">
        <v>46023</v>
      </c>
      <c r="G20" s="238">
        <v>46387</v>
      </c>
      <c r="H20" s="15">
        <f>'CUOTA ARTESANAL'!E18</f>
        <v>15</v>
      </c>
      <c r="I20" s="15">
        <f>'CUOTA ARTESANAL'!F18</f>
        <v>0</v>
      </c>
      <c r="J20" s="15">
        <f>'CUOTA ARTESANAL'!G18</f>
        <v>15</v>
      </c>
      <c r="K20" s="15">
        <f>'CUOTA ARTESANAL'!H18</f>
        <v>0</v>
      </c>
      <c r="L20" s="15">
        <f>'CUOTA ARTESANAL'!I18</f>
        <v>15</v>
      </c>
      <c r="M20" s="192">
        <f>'CUOTA ARTESANAL'!J18</f>
        <v>0</v>
      </c>
      <c r="N20" s="16" t="str">
        <f>'CUOTA ARTESANAL'!K18</f>
        <v>-</v>
      </c>
      <c r="O20" s="16">
        <f>'RESUMEN '!$B$3</f>
        <v>46324</v>
      </c>
      <c r="P20" s="14">
        <v>2026</v>
      </c>
      <c r="Q20" s="14"/>
    </row>
    <row r="21" spans="1:22" x14ac:dyDescent="0.2">
      <c r="A21" s="246" t="s">
        <v>10</v>
      </c>
      <c r="B21" s="246" t="s">
        <v>188</v>
      </c>
      <c r="C21" s="246" t="s">
        <v>192</v>
      </c>
      <c r="D21" s="246" t="s">
        <v>193</v>
      </c>
      <c r="E21" s="246" t="s">
        <v>194</v>
      </c>
      <c r="F21" s="247">
        <v>46023</v>
      </c>
      <c r="G21" s="247">
        <v>46387</v>
      </c>
      <c r="H21" s="248">
        <f>'CUOTA ARTESANAL'!E19</f>
        <v>443</v>
      </c>
      <c r="I21" s="248">
        <f>'CUOTA ARTESANAL'!F19</f>
        <v>-129.07900000000001</v>
      </c>
      <c r="J21" s="248">
        <f>'CUOTA ARTESANAL'!G19</f>
        <v>313.92099999999999</v>
      </c>
      <c r="K21" s="248">
        <f>'CUOTA ARTESANAL'!H19</f>
        <v>253.08299999999997</v>
      </c>
      <c r="L21" s="248">
        <f>'CUOTA ARTESANAL'!I19</f>
        <v>60.838000000000022</v>
      </c>
      <c r="M21" s="249">
        <f>'CUOTA ARTESANAL'!J19</f>
        <v>0.80619964895626595</v>
      </c>
      <c r="N21" s="247" t="str">
        <f>'CUOTA ARTESANAL'!K19</f>
        <v>-</v>
      </c>
      <c r="O21" s="247">
        <f>'RESUMEN '!$B$3</f>
        <v>46324</v>
      </c>
      <c r="P21" s="246">
        <v>2026</v>
      </c>
      <c r="Q21" s="14"/>
    </row>
    <row r="22" spans="1:22" x14ac:dyDescent="0.2">
      <c r="A22" s="14" t="s">
        <v>10</v>
      </c>
      <c r="B22" s="14" t="s">
        <v>188</v>
      </c>
      <c r="C22" s="14" t="s">
        <v>85</v>
      </c>
      <c r="D22" s="14" t="s">
        <v>195</v>
      </c>
      <c r="E22" s="14" t="str">
        <f>'CUOTA LTP -INDUSTRIAL'!C6</f>
        <v>ANTARTIC SEAFOOD S.A.</v>
      </c>
      <c r="F22" s="16">
        <v>46082</v>
      </c>
      <c r="G22" s="16">
        <v>46265</v>
      </c>
      <c r="H22" s="15">
        <f>'CUOTA LTP -INDUSTRIAL'!E6</f>
        <v>21.72559</v>
      </c>
      <c r="I22" s="15">
        <f>'CUOTA LTP -INDUSTRIAL'!F6</f>
        <v>-9.7260000000000009</v>
      </c>
      <c r="J22" s="15">
        <f>'CUOTA LTP -INDUSTRIAL'!G6</f>
        <v>11.99959</v>
      </c>
      <c r="K22" s="15">
        <f>'CUOTA LTP -INDUSTRIAL'!H6</f>
        <v>0</v>
      </c>
      <c r="L22" s="15">
        <f>'CUOTA LTP -INDUSTRIAL'!I6</f>
        <v>11.99959</v>
      </c>
      <c r="M22" s="192">
        <f>'CUOTA LTP -INDUSTRIAL'!J6</f>
        <v>0</v>
      </c>
      <c r="N22" s="16" t="s">
        <v>48</v>
      </c>
      <c r="O22" s="16">
        <f>'RESUMEN '!$B$3</f>
        <v>46324</v>
      </c>
      <c r="P22" s="14">
        <v>2026</v>
      </c>
      <c r="Q22" s="14"/>
    </row>
    <row r="23" spans="1:22" x14ac:dyDescent="0.2">
      <c r="A23" s="14" t="s">
        <v>10</v>
      </c>
      <c r="B23" s="14" t="s">
        <v>188</v>
      </c>
      <c r="C23" s="14" t="s">
        <v>85</v>
      </c>
      <c r="D23" s="14" t="s">
        <v>195</v>
      </c>
      <c r="E23" s="14" t="str">
        <f>'CUOTA LTP -INDUSTRIAL'!C6</f>
        <v>ANTARTIC SEAFOOD S.A.</v>
      </c>
      <c r="F23" s="16">
        <v>46296</v>
      </c>
      <c r="G23" s="16">
        <v>46387</v>
      </c>
      <c r="H23" s="15">
        <f>'CUOTA LTP -INDUSTRIAL'!E7</f>
        <v>2.2093799999999999</v>
      </c>
      <c r="I23" s="15">
        <f>'CUOTA LTP -INDUSTRIAL'!F7</f>
        <v>0</v>
      </c>
      <c r="J23" s="15">
        <f>'CUOTA LTP -INDUSTRIAL'!G7</f>
        <v>14.208969999999999</v>
      </c>
      <c r="K23" s="15">
        <f>'CUOTA LTP -INDUSTRIAL'!H7</f>
        <v>0</v>
      </c>
      <c r="L23" s="15">
        <f>'CUOTA LTP -INDUSTRIAL'!I7</f>
        <v>14.208969999999999</v>
      </c>
      <c r="M23" s="192">
        <f>'CUOTA LTP -INDUSTRIAL'!J7</f>
        <v>0</v>
      </c>
      <c r="N23" s="16" t="s">
        <v>48</v>
      </c>
      <c r="O23" s="16">
        <f>'RESUMEN '!$B$3</f>
        <v>46324</v>
      </c>
      <c r="P23" s="14">
        <v>2026</v>
      </c>
      <c r="Q23" s="14"/>
    </row>
    <row r="24" spans="1:22" x14ac:dyDescent="0.2">
      <c r="A24" s="14" t="s">
        <v>10</v>
      </c>
      <c r="B24" s="14" t="s">
        <v>188</v>
      </c>
      <c r="C24" s="14" t="s">
        <v>85</v>
      </c>
      <c r="D24" s="14" t="s">
        <v>195</v>
      </c>
      <c r="E24" s="14" t="str">
        <f>'CUOTA LTP -INDUSTRIAL'!C6</f>
        <v>ANTARTIC SEAFOOD S.A.</v>
      </c>
      <c r="F24" s="16">
        <v>46023</v>
      </c>
      <c r="G24" s="16">
        <v>46387</v>
      </c>
      <c r="H24" s="15">
        <f>'CUOTA LTP -INDUSTRIAL'!K6</f>
        <v>23.93497</v>
      </c>
      <c r="I24" s="15">
        <f>'CUOTA LTP -INDUSTRIAL'!L6</f>
        <v>-9.7260000000000009</v>
      </c>
      <c r="J24" s="15">
        <f>'CUOTA LTP -INDUSTRIAL'!M6</f>
        <v>14.208969999999999</v>
      </c>
      <c r="K24" s="15">
        <f>'CUOTA LTP -INDUSTRIAL'!N6</f>
        <v>0</v>
      </c>
      <c r="L24" s="15">
        <f>'CUOTA LTP -INDUSTRIAL'!O6</f>
        <v>14.208969999999999</v>
      </c>
      <c r="M24" s="192">
        <f>'CUOTA LTP -INDUSTRIAL'!P6</f>
        <v>0</v>
      </c>
      <c r="N24" s="16" t="s">
        <v>48</v>
      </c>
      <c r="O24" s="16">
        <f>'RESUMEN '!$B$3</f>
        <v>46324</v>
      </c>
      <c r="P24" s="14">
        <v>2026</v>
      </c>
      <c r="Q24" s="14"/>
    </row>
    <row r="25" spans="1:22" x14ac:dyDescent="0.2">
      <c r="A25" s="14" t="s">
        <v>10</v>
      </c>
      <c r="B25" s="14" t="s">
        <v>188</v>
      </c>
      <c r="C25" s="14" t="s">
        <v>85</v>
      </c>
      <c r="D25" s="14" t="s">
        <v>195</v>
      </c>
      <c r="E25" s="14" t="str">
        <f>'CUOTA LTP -INDUSTRIAL'!C8</f>
        <v>QUINTERO S.A. PESQ.</v>
      </c>
      <c r="F25" s="16">
        <v>46082</v>
      </c>
      <c r="G25" s="16">
        <v>46265</v>
      </c>
      <c r="H25" s="15">
        <f>'CUOTA LTP -INDUSTRIAL'!E8</f>
        <v>1.9160299999999999</v>
      </c>
      <c r="I25" s="15">
        <f>'CUOTA LTP -INDUSTRIAL'!F8</f>
        <v>0</v>
      </c>
      <c r="J25" s="15">
        <f>'CUOTA LTP -INDUSTRIAL'!G8</f>
        <v>1.9160299999999999</v>
      </c>
      <c r="K25" s="15">
        <f>'CUOTA LTP -INDUSTRIAL'!H8</f>
        <v>0</v>
      </c>
      <c r="L25" s="15">
        <f>'CUOTA LTP -INDUSTRIAL'!I8</f>
        <v>1.9160299999999999</v>
      </c>
      <c r="M25" s="192">
        <f>'CUOTA LTP -INDUSTRIAL'!J8</f>
        <v>0</v>
      </c>
      <c r="N25" s="16" t="s">
        <v>48</v>
      </c>
      <c r="O25" s="16">
        <f>'RESUMEN '!$B$3</f>
        <v>46324</v>
      </c>
      <c r="P25" s="14">
        <v>2026</v>
      </c>
      <c r="Q25" s="14"/>
    </row>
    <row r="26" spans="1:22" x14ac:dyDescent="0.2">
      <c r="A26" s="14" t="s">
        <v>10</v>
      </c>
      <c r="B26" s="14" t="s">
        <v>188</v>
      </c>
      <c r="C26" s="14" t="s">
        <v>85</v>
      </c>
      <c r="D26" s="14" t="s">
        <v>195</v>
      </c>
      <c r="E26" s="14" t="str">
        <f>'CUOTA LTP -INDUSTRIAL'!C8</f>
        <v>QUINTERO S.A. PESQ.</v>
      </c>
      <c r="F26" s="16">
        <v>46296</v>
      </c>
      <c r="G26" s="16">
        <v>46387</v>
      </c>
      <c r="H26" s="15">
        <f>'CUOTA LTP -INDUSTRIAL'!E9</f>
        <v>0.19485</v>
      </c>
      <c r="I26" s="15">
        <f>'CUOTA LTP -INDUSTRIAL'!F9</f>
        <v>0</v>
      </c>
      <c r="J26" s="15">
        <f>'CUOTA LTP -INDUSTRIAL'!G9</f>
        <v>2.1108799999999999</v>
      </c>
      <c r="K26" s="15">
        <f>'CUOTA LTP -INDUSTRIAL'!H9</f>
        <v>0</v>
      </c>
      <c r="L26" s="15">
        <f>'CUOTA LTP -INDUSTRIAL'!I9</f>
        <v>2.1108799999999999</v>
      </c>
      <c r="M26" s="192">
        <f>'CUOTA LTP -INDUSTRIAL'!J9</f>
        <v>0</v>
      </c>
      <c r="N26" s="16" t="s">
        <v>48</v>
      </c>
      <c r="O26" s="16">
        <f>'RESUMEN '!$B$3</f>
        <v>46324</v>
      </c>
      <c r="P26" s="14">
        <v>2026</v>
      </c>
      <c r="Q26" s="14"/>
    </row>
    <row r="27" spans="1:22" x14ac:dyDescent="0.2">
      <c r="A27" s="14" t="s">
        <v>10</v>
      </c>
      <c r="B27" s="14" t="s">
        <v>188</v>
      </c>
      <c r="C27" s="14" t="s">
        <v>85</v>
      </c>
      <c r="D27" s="14" t="s">
        <v>195</v>
      </c>
      <c r="E27" s="14" t="str">
        <f>'CUOTA LTP -INDUSTRIAL'!C8</f>
        <v>QUINTERO S.A. PESQ.</v>
      </c>
      <c r="F27" s="16">
        <v>46023</v>
      </c>
      <c r="G27" s="16">
        <v>46387</v>
      </c>
      <c r="H27" s="15">
        <f>'CUOTA LTP -INDUSTRIAL'!K8</f>
        <v>2.1108799999999999</v>
      </c>
      <c r="I27" s="15">
        <f>'CUOTA LTP -INDUSTRIAL'!L8</f>
        <v>0</v>
      </c>
      <c r="J27" s="15">
        <f>'CUOTA LTP -INDUSTRIAL'!M8</f>
        <v>2.1108799999999999</v>
      </c>
      <c r="K27" s="15">
        <f>'CUOTA LTP -INDUSTRIAL'!N8</f>
        <v>0</v>
      </c>
      <c r="L27" s="15">
        <f>'CUOTA LTP -INDUSTRIAL'!O8</f>
        <v>2.1108799999999999</v>
      </c>
      <c r="M27" s="192">
        <f>'CUOTA LTP -INDUSTRIAL'!P8</f>
        <v>0</v>
      </c>
      <c r="N27" s="16" t="s">
        <v>48</v>
      </c>
      <c r="O27" s="16">
        <f>'RESUMEN '!$B$3</f>
        <v>46324</v>
      </c>
      <c r="P27" s="14">
        <v>2026</v>
      </c>
      <c r="Q27" s="14"/>
    </row>
    <row r="28" spans="1:22" x14ac:dyDescent="0.2">
      <c r="A28" s="14" t="s">
        <v>10</v>
      </c>
      <c r="B28" s="14" t="s">
        <v>188</v>
      </c>
      <c r="C28" s="14" t="s">
        <v>85</v>
      </c>
      <c r="D28" s="14" t="s">
        <v>195</v>
      </c>
      <c r="E28" s="14" t="str">
        <f>'CUOTA LTP -INDUSTRIAL'!C10</f>
        <v>BAYCIC BAYCIC MARIA</v>
      </c>
      <c r="F28" s="16">
        <v>46082</v>
      </c>
      <c r="G28" s="16">
        <v>46265</v>
      </c>
      <c r="H28" s="15">
        <f>'CUOTA LTP -INDUSTRIAL'!E10</f>
        <v>1.7700000000000001E-3</v>
      </c>
      <c r="I28" s="15">
        <f>'CUOTA LTP -INDUSTRIAL'!F10</f>
        <v>0</v>
      </c>
      <c r="J28" s="15">
        <f>'CUOTA LTP -INDUSTRIAL'!G10</f>
        <v>1.7700000000000001E-3</v>
      </c>
      <c r="K28" s="15">
        <f>'CUOTA LTP -INDUSTRIAL'!H10</f>
        <v>0</v>
      </c>
      <c r="L28" s="15">
        <f>'CUOTA LTP -INDUSTRIAL'!I10</f>
        <v>1.7700000000000001E-3</v>
      </c>
      <c r="M28" s="192">
        <f>'CUOTA LTP -INDUSTRIAL'!J10</f>
        <v>0</v>
      </c>
      <c r="N28" s="16" t="s">
        <v>48</v>
      </c>
      <c r="O28" s="16">
        <f>'RESUMEN '!$B$3</f>
        <v>46324</v>
      </c>
      <c r="P28" s="14">
        <v>2026</v>
      </c>
      <c r="Q28" s="14"/>
    </row>
    <row r="29" spans="1:22" x14ac:dyDescent="0.2">
      <c r="A29" s="14" t="s">
        <v>10</v>
      </c>
      <c r="B29" s="14" t="s">
        <v>188</v>
      </c>
      <c r="C29" s="14" t="s">
        <v>85</v>
      </c>
      <c r="D29" s="14" t="s">
        <v>195</v>
      </c>
      <c r="E29" s="14" t="str">
        <f>'CUOTA LTP -INDUSTRIAL'!C10</f>
        <v>BAYCIC BAYCIC MARIA</v>
      </c>
      <c r="F29" s="16">
        <v>46296</v>
      </c>
      <c r="G29" s="16">
        <v>46387</v>
      </c>
      <c r="H29" s="15">
        <f>'CUOTA LTP -INDUSTRIAL'!E11</f>
        <v>1.8000000000000001E-4</v>
      </c>
      <c r="I29" s="15">
        <f>'CUOTA LTP -INDUSTRIAL'!F11</f>
        <v>0</v>
      </c>
      <c r="J29" s="15">
        <f>'CUOTA LTP -INDUSTRIAL'!G11</f>
        <v>1.9500000000000001E-3</v>
      </c>
      <c r="K29" s="15">
        <f>'CUOTA LTP -INDUSTRIAL'!H11</f>
        <v>0</v>
      </c>
      <c r="L29" s="15">
        <f>'CUOTA LTP -INDUSTRIAL'!I11</f>
        <v>1.9500000000000001E-3</v>
      </c>
      <c r="M29" s="192">
        <f>'CUOTA LTP -INDUSTRIAL'!J11</f>
        <v>0</v>
      </c>
      <c r="N29" s="16" t="s">
        <v>48</v>
      </c>
      <c r="O29" s="16">
        <f>'RESUMEN '!$B$3</f>
        <v>46324</v>
      </c>
      <c r="P29" s="14">
        <v>2026</v>
      </c>
      <c r="Q29" s="14"/>
    </row>
    <row r="30" spans="1:22" x14ac:dyDescent="0.2">
      <c r="A30" s="14" t="s">
        <v>10</v>
      </c>
      <c r="B30" s="14" t="s">
        <v>188</v>
      </c>
      <c r="C30" s="14" t="s">
        <v>85</v>
      </c>
      <c r="D30" s="14" t="s">
        <v>195</v>
      </c>
      <c r="E30" s="14" t="str">
        <f>'CUOTA LTP -INDUSTRIAL'!C10</f>
        <v>BAYCIC BAYCIC MARIA</v>
      </c>
      <c r="F30" s="16">
        <v>46023</v>
      </c>
      <c r="G30" s="16">
        <v>46387</v>
      </c>
      <c r="H30" s="15">
        <f>'CUOTA LTP -INDUSTRIAL'!K10</f>
        <v>1.9500000000000001E-3</v>
      </c>
      <c r="I30" s="15">
        <f>'CUOTA LTP -INDUSTRIAL'!L10</f>
        <v>0</v>
      </c>
      <c r="J30" s="15">
        <f>'CUOTA LTP -INDUSTRIAL'!M10</f>
        <v>1.9500000000000001E-3</v>
      </c>
      <c r="K30" s="15">
        <f>'CUOTA LTP -INDUSTRIAL'!N10</f>
        <v>0</v>
      </c>
      <c r="L30" s="15">
        <f>'CUOTA LTP -INDUSTRIAL'!O10</f>
        <v>1.9500000000000001E-3</v>
      </c>
      <c r="M30" s="192">
        <f>'CUOTA LTP -INDUSTRIAL'!P10</f>
        <v>0</v>
      </c>
      <c r="N30" s="16" t="s">
        <v>48</v>
      </c>
      <c r="O30" s="16">
        <f>'RESUMEN '!$B$3</f>
        <v>46324</v>
      </c>
      <c r="P30" s="14">
        <v>2026</v>
      </c>
      <c r="Q30" s="14"/>
    </row>
    <row r="31" spans="1:22" x14ac:dyDescent="0.2">
      <c r="A31" s="14" t="s">
        <v>10</v>
      </c>
      <c r="B31" s="14" t="s">
        <v>188</v>
      </c>
      <c r="C31" s="14" t="s">
        <v>85</v>
      </c>
      <c r="D31" s="14" t="s">
        <v>195</v>
      </c>
      <c r="E31" s="14" t="str">
        <f>'CUOTA LTP -INDUSTRIAL'!C12</f>
        <v>BRACPESCA S.A.</v>
      </c>
      <c r="F31" s="16">
        <v>46082</v>
      </c>
      <c r="G31" s="16">
        <v>46265</v>
      </c>
      <c r="H31" s="15">
        <f>'CUOTA LTP -INDUSTRIAL'!E12</f>
        <v>22.592649999999999</v>
      </c>
      <c r="I31" s="15">
        <f>'CUOTA LTP -INDUSTRIAL'!F12</f>
        <v>0</v>
      </c>
      <c r="J31" s="15">
        <f>'CUOTA LTP -INDUSTRIAL'!G12</f>
        <v>22.592649999999999</v>
      </c>
      <c r="K31" s="15">
        <f>'CUOTA LTP -INDUSTRIAL'!H12</f>
        <v>0</v>
      </c>
      <c r="L31" s="15">
        <f>'CUOTA LTP -INDUSTRIAL'!I12</f>
        <v>22.592649999999999</v>
      </c>
      <c r="M31" s="192">
        <f>'CUOTA LTP -INDUSTRIAL'!J12</f>
        <v>0</v>
      </c>
      <c r="N31" s="16" t="s">
        <v>48</v>
      </c>
      <c r="O31" s="16">
        <f>'RESUMEN '!$B$3</f>
        <v>46324</v>
      </c>
      <c r="P31" s="14">
        <v>2026</v>
      </c>
      <c r="Q31" s="14"/>
    </row>
    <row r="32" spans="1:22" x14ac:dyDescent="0.2">
      <c r="A32" s="14" t="s">
        <v>10</v>
      </c>
      <c r="B32" s="14" t="s">
        <v>188</v>
      </c>
      <c r="C32" s="14" t="s">
        <v>85</v>
      </c>
      <c r="D32" s="14" t="s">
        <v>195</v>
      </c>
      <c r="E32" s="14" t="str">
        <f>'CUOTA LTP -INDUSTRIAL'!C12</f>
        <v>BRACPESCA S.A.</v>
      </c>
      <c r="F32" s="16">
        <v>46296</v>
      </c>
      <c r="G32" s="16">
        <v>46387</v>
      </c>
      <c r="H32" s="15">
        <f>'CUOTA LTP -INDUSTRIAL'!E13</f>
        <v>2.2975599999999998</v>
      </c>
      <c r="I32" s="15">
        <f>'CUOTA LTP -INDUSTRIAL'!F13</f>
        <v>0</v>
      </c>
      <c r="J32" s="15">
        <f>'CUOTA LTP -INDUSTRIAL'!G13</f>
        <v>24.89021</v>
      </c>
      <c r="K32" s="15">
        <f>'CUOTA LTP -INDUSTRIAL'!H13</f>
        <v>0</v>
      </c>
      <c r="L32" s="15">
        <f>'CUOTA LTP -INDUSTRIAL'!I13</f>
        <v>24.89021</v>
      </c>
      <c r="M32" s="192">
        <f>'CUOTA LTP -INDUSTRIAL'!J13</f>
        <v>0</v>
      </c>
      <c r="N32" s="16" t="s">
        <v>48</v>
      </c>
      <c r="O32" s="16">
        <f>'RESUMEN '!$B$3</f>
        <v>46324</v>
      </c>
      <c r="P32" s="14">
        <v>2026</v>
      </c>
      <c r="Q32" s="14"/>
    </row>
    <row r="33" spans="1:17" x14ac:dyDescent="0.2">
      <c r="A33" s="14" t="s">
        <v>10</v>
      </c>
      <c r="B33" s="14" t="s">
        <v>188</v>
      </c>
      <c r="C33" s="14" t="s">
        <v>85</v>
      </c>
      <c r="D33" s="14" t="s">
        <v>195</v>
      </c>
      <c r="E33" s="14" t="str">
        <f>'CUOTA LTP -INDUSTRIAL'!C12</f>
        <v>BRACPESCA S.A.</v>
      </c>
      <c r="F33" s="16">
        <v>46023</v>
      </c>
      <c r="G33" s="16">
        <v>46387</v>
      </c>
      <c r="H33" s="15">
        <f>'CUOTA LTP -INDUSTRIAL'!K12</f>
        <v>24.89021</v>
      </c>
      <c r="I33" s="15">
        <f>'CUOTA LTP -INDUSTRIAL'!L12</f>
        <v>0</v>
      </c>
      <c r="J33" s="15">
        <f>'CUOTA LTP -INDUSTRIAL'!M12</f>
        <v>24.89021</v>
      </c>
      <c r="K33" s="15">
        <f>'CUOTA LTP -INDUSTRIAL'!N12</f>
        <v>0</v>
      </c>
      <c r="L33" s="15">
        <f>'CUOTA LTP -INDUSTRIAL'!O12</f>
        <v>24.89021</v>
      </c>
      <c r="M33" s="192">
        <f>'CUOTA LTP -INDUSTRIAL'!P12</f>
        <v>0</v>
      </c>
      <c r="N33" s="16" t="s">
        <v>48</v>
      </c>
      <c r="O33" s="16">
        <f>'RESUMEN '!$B$3</f>
        <v>46324</v>
      </c>
      <c r="P33" s="14">
        <v>2026</v>
      </c>
      <c r="Q33" s="14"/>
    </row>
    <row r="34" spans="1:17" x14ac:dyDescent="0.2">
      <c r="A34" s="14" t="s">
        <v>10</v>
      </c>
      <c r="B34" s="14" t="s">
        <v>188</v>
      </c>
      <c r="C34" s="14" t="s">
        <v>85</v>
      </c>
      <c r="D34" s="14" t="s">
        <v>195</v>
      </c>
      <c r="E34" s="14" t="str">
        <f>'CUOTA LTP -INDUSTRIAL'!C14</f>
        <v>GRIMAR S.A. PESQ.</v>
      </c>
      <c r="F34" s="16">
        <v>46082</v>
      </c>
      <c r="G34" s="16">
        <v>46265</v>
      </c>
      <c r="H34" s="15">
        <f>'CUOTA LTP -INDUSTRIAL'!E14</f>
        <v>1.021E-2</v>
      </c>
      <c r="I34" s="15">
        <f>'CUOTA LTP -INDUSTRIAL'!F14</f>
        <v>0</v>
      </c>
      <c r="J34" s="15">
        <f>'CUOTA LTP -INDUSTRIAL'!G14</f>
        <v>1.021E-2</v>
      </c>
      <c r="K34" s="15">
        <f>'CUOTA LTP -INDUSTRIAL'!H14</f>
        <v>0</v>
      </c>
      <c r="L34" s="15">
        <f>'CUOTA LTP -INDUSTRIAL'!I14</f>
        <v>1.021E-2</v>
      </c>
      <c r="M34" s="192">
        <f>'CUOTA LTP -INDUSTRIAL'!J14</f>
        <v>0</v>
      </c>
      <c r="N34" s="16" t="s">
        <v>48</v>
      </c>
      <c r="O34" s="16">
        <f>'RESUMEN '!$B$3</f>
        <v>46324</v>
      </c>
      <c r="P34" s="14">
        <v>2026</v>
      </c>
      <c r="Q34" s="14"/>
    </row>
    <row r="35" spans="1:17" x14ac:dyDescent="0.2">
      <c r="A35" s="14" t="s">
        <v>10</v>
      </c>
      <c r="B35" s="14" t="s">
        <v>188</v>
      </c>
      <c r="C35" s="14" t="s">
        <v>85</v>
      </c>
      <c r="D35" s="14" t="s">
        <v>195</v>
      </c>
      <c r="E35" s="14" t="str">
        <f>'CUOTA LTP -INDUSTRIAL'!C14</f>
        <v>GRIMAR S.A. PESQ.</v>
      </c>
      <c r="F35" s="16">
        <v>46296</v>
      </c>
      <c r="G35" s="16">
        <v>46387</v>
      </c>
      <c r="H35" s="15">
        <f>'CUOTA LTP -INDUSTRIAL'!E15</f>
        <v>1.0399999999999999E-3</v>
      </c>
      <c r="I35" s="15">
        <f>'CUOTA LTP -INDUSTRIAL'!F15</f>
        <v>0</v>
      </c>
      <c r="J35" s="15">
        <f>'CUOTA LTP -INDUSTRIAL'!G15</f>
        <v>1.125E-2</v>
      </c>
      <c r="K35" s="15">
        <f>'CUOTA LTP -INDUSTRIAL'!H15</f>
        <v>0</v>
      </c>
      <c r="L35" s="15">
        <f>'CUOTA LTP -INDUSTRIAL'!I15</f>
        <v>1.125E-2</v>
      </c>
      <c r="M35" s="192">
        <f>'CUOTA LTP -INDUSTRIAL'!J15</f>
        <v>0</v>
      </c>
      <c r="N35" s="16" t="s">
        <v>48</v>
      </c>
      <c r="O35" s="16">
        <f>'RESUMEN '!$B$3</f>
        <v>46324</v>
      </c>
      <c r="P35" s="14">
        <v>2026</v>
      </c>
      <c r="Q35" s="14"/>
    </row>
    <row r="36" spans="1:17" x14ac:dyDescent="0.2">
      <c r="A36" s="14" t="s">
        <v>10</v>
      </c>
      <c r="B36" s="14" t="s">
        <v>188</v>
      </c>
      <c r="C36" s="14" t="s">
        <v>85</v>
      </c>
      <c r="D36" s="14" t="s">
        <v>195</v>
      </c>
      <c r="E36" s="14" t="str">
        <f>'CUOTA LTP -INDUSTRIAL'!C14</f>
        <v>GRIMAR S.A. PESQ.</v>
      </c>
      <c r="F36" s="16">
        <v>46023</v>
      </c>
      <c r="G36" s="16">
        <v>46387</v>
      </c>
      <c r="H36" s="15">
        <f>'CUOTA LTP -INDUSTRIAL'!K14</f>
        <v>1.125E-2</v>
      </c>
      <c r="I36" s="15">
        <f>'CUOTA LTP -INDUSTRIAL'!L14</f>
        <v>0</v>
      </c>
      <c r="J36" s="15">
        <f>'CUOTA LTP -INDUSTRIAL'!M14</f>
        <v>1.125E-2</v>
      </c>
      <c r="K36" s="15">
        <f>'CUOTA LTP -INDUSTRIAL'!N14</f>
        <v>0</v>
      </c>
      <c r="L36" s="15">
        <f>'CUOTA LTP -INDUSTRIAL'!O14</f>
        <v>1.125E-2</v>
      </c>
      <c r="M36" s="192">
        <f>'CUOTA LTP -INDUSTRIAL'!P14</f>
        <v>0</v>
      </c>
      <c r="N36" s="16" t="s">
        <v>48</v>
      </c>
      <c r="O36" s="16">
        <f>'RESUMEN '!$B$3</f>
        <v>46324</v>
      </c>
      <c r="P36" s="14">
        <v>2026</v>
      </c>
      <c r="Q36" s="14"/>
    </row>
    <row r="37" spans="1:17" x14ac:dyDescent="0.2">
      <c r="A37" s="14" t="s">
        <v>10</v>
      </c>
      <c r="B37" s="14" t="s">
        <v>188</v>
      </c>
      <c r="C37" s="14" t="s">
        <v>85</v>
      </c>
      <c r="D37" s="14" t="s">
        <v>195</v>
      </c>
      <c r="E37" s="14" t="str">
        <f>'CUOTA LTP -INDUSTRIAL'!C16</f>
        <v>ISLADAMAS S.A. PESQ.</v>
      </c>
      <c r="F37" s="16">
        <v>46082</v>
      </c>
      <c r="G37" s="16">
        <v>46265</v>
      </c>
      <c r="H37" s="15">
        <f>'CUOTA LTP -INDUSTRIAL'!E16</f>
        <v>6.24411</v>
      </c>
      <c r="I37" s="15">
        <f>'CUOTA LTP -INDUSTRIAL'!F16</f>
        <v>0</v>
      </c>
      <c r="J37" s="15">
        <f>'CUOTA LTP -INDUSTRIAL'!G16</f>
        <v>6.24411</v>
      </c>
      <c r="K37" s="15">
        <f>'CUOTA LTP -INDUSTRIAL'!H16</f>
        <v>0</v>
      </c>
      <c r="L37" s="15">
        <f>'CUOTA LTP -INDUSTRIAL'!I16</f>
        <v>6.24411</v>
      </c>
      <c r="M37" s="192">
        <f>'CUOTA LTP -INDUSTRIAL'!J16</f>
        <v>0</v>
      </c>
      <c r="N37" s="16" t="s">
        <v>48</v>
      </c>
      <c r="O37" s="16">
        <f>'RESUMEN '!$B$3</f>
        <v>46324</v>
      </c>
      <c r="P37" s="14">
        <v>2026</v>
      </c>
      <c r="Q37" s="14"/>
    </row>
    <row r="38" spans="1:17" x14ac:dyDescent="0.2">
      <c r="A38" s="14" t="s">
        <v>10</v>
      </c>
      <c r="B38" s="14" t="s">
        <v>188</v>
      </c>
      <c r="C38" s="14" t="s">
        <v>85</v>
      </c>
      <c r="D38" s="14" t="s">
        <v>195</v>
      </c>
      <c r="E38" s="14" t="str">
        <f>'CUOTA LTP -INDUSTRIAL'!C16</f>
        <v>ISLADAMAS S.A. PESQ.</v>
      </c>
      <c r="F38" s="16">
        <v>46296</v>
      </c>
      <c r="G38" s="16">
        <v>46387</v>
      </c>
      <c r="H38" s="15">
        <f>'CUOTA LTP -INDUSTRIAL'!E17</f>
        <v>0.63499000000000005</v>
      </c>
      <c r="I38" s="15">
        <f>'CUOTA LTP -INDUSTRIAL'!F17</f>
        <v>0</v>
      </c>
      <c r="J38" s="15">
        <f>'CUOTA LTP -INDUSTRIAL'!G17</f>
        <v>6.8791000000000002</v>
      </c>
      <c r="K38" s="15">
        <f>'CUOTA LTP -INDUSTRIAL'!H17</f>
        <v>0</v>
      </c>
      <c r="L38" s="15">
        <f>'CUOTA LTP -INDUSTRIAL'!I17</f>
        <v>6.8791000000000002</v>
      </c>
      <c r="M38" s="192">
        <f>'CUOTA LTP -INDUSTRIAL'!J17</f>
        <v>0</v>
      </c>
      <c r="N38" s="16" t="s">
        <v>48</v>
      </c>
      <c r="O38" s="16">
        <f>'RESUMEN '!$B$3</f>
        <v>46324</v>
      </c>
      <c r="P38" s="14">
        <v>2026</v>
      </c>
      <c r="Q38" s="14"/>
    </row>
    <row r="39" spans="1:17" x14ac:dyDescent="0.2">
      <c r="A39" s="14" t="s">
        <v>10</v>
      </c>
      <c r="B39" s="14" t="s">
        <v>188</v>
      </c>
      <c r="C39" s="14" t="s">
        <v>85</v>
      </c>
      <c r="D39" s="14" t="s">
        <v>195</v>
      </c>
      <c r="E39" s="14" t="str">
        <f>'CUOTA LTP -INDUSTRIAL'!C16</f>
        <v>ISLADAMAS S.A. PESQ.</v>
      </c>
      <c r="F39" s="16">
        <v>46023</v>
      </c>
      <c r="G39" s="16">
        <v>46387</v>
      </c>
      <c r="H39" s="15">
        <f>'CUOTA LTP -INDUSTRIAL'!K16</f>
        <v>6.8791000000000002</v>
      </c>
      <c r="I39" s="15">
        <f>'CUOTA LTP -INDUSTRIAL'!L16</f>
        <v>0</v>
      </c>
      <c r="J39" s="15">
        <f>'CUOTA LTP -INDUSTRIAL'!M16</f>
        <v>6.8791000000000002</v>
      </c>
      <c r="K39" s="15">
        <f>'CUOTA LTP -INDUSTRIAL'!N16</f>
        <v>0</v>
      </c>
      <c r="L39" s="15">
        <f>'CUOTA LTP -INDUSTRIAL'!O16</f>
        <v>6.8791000000000002</v>
      </c>
      <c r="M39" s="192">
        <f>'CUOTA LTP -INDUSTRIAL'!P16</f>
        <v>0</v>
      </c>
      <c r="N39" s="16" t="s">
        <v>48</v>
      </c>
      <c r="O39" s="16">
        <f>'RESUMEN '!$B$3</f>
        <v>46324</v>
      </c>
      <c r="P39" s="14">
        <v>2026</v>
      </c>
      <c r="Q39" s="14"/>
    </row>
    <row r="40" spans="1:17" x14ac:dyDescent="0.2">
      <c r="A40" s="14" t="s">
        <v>10</v>
      </c>
      <c r="B40" s="14" t="s">
        <v>188</v>
      </c>
      <c r="C40" s="14" t="s">
        <v>85</v>
      </c>
      <c r="D40" s="14" t="s">
        <v>195</v>
      </c>
      <c r="E40" s="14" t="str">
        <f>'CUOTA LTP -INDUSTRIAL'!C18</f>
        <v>MOROZIN BAYCIC MARIA ANA</v>
      </c>
      <c r="F40" s="16">
        <v>46082</v>
      </c>
      <c r="G40" s="16">
        <v>46265</v>
      </c>
      <c r="H40" s="15">
        <f>'CUOTA LTP -INDUSTRIAL'!E18</f>
        <v>5.9100000000000003E-3</v>
      </c>
      <c r="I40" s="15">
        <f>'CUOTA LTP -INDUSTRIAL'!F18</f>
        <v>0</v>
      </c>
      <c r="J40" s="15">
        <f>'CUOTA LTP -INDUSTRIAL'!G18</f>
        <v>5.9100000000000003E-3</v>
      </c>
      <c r="K40" s="15">
        <f>'CUOTA LTP -INDUSTRIAL'!H18</f>
        <v>0</v>
      </c>
      <c r="L40" s="15">
        <f>'CUOTA LTP -INDUSTRIAL'!I18</f>
        <v>5.9100000000000003E-3</v>
      </c>
      <c r="M40" s="192">
        <f>'CUOTA LTP -INDUSTRIAL'!J18</f>
        <v>0</v>
      </c>
      <c r="N40" s="16" t="s">
        <v>48</v>
      </c>
      <c r="O40" s="16">
        <f>'RESUMEN '!$B$3</f>
        <v>46324</v>
      </c>
      <c r="P40" s="14">
        <v>2026</v>
      </c>
      <c r="Q40" s="14"/>
    </row>
    <row r="41" spans="1:17" x14ac:dyDescent="0.2">
      <c r="A41" s="14" t="s">
        <v>10</v>
      </c>
      <c r="B41" s="14" t="s">
        <v>188</v>
      </c>
      <c r="C41" s="14" t="s">
        <v>85</v>
      </c>
      <c r="D41" s="14" t="s">
        <v>195</v>
      </c>
      <c r="E41" s="14" t="str">
        <f>'CUOTA LTP -INDUSTRIAL'!C18</f>
        <v>MOROZIN BAYCIC MARIA ANA</v>
      </c>
      <c r="F41" s="16">
        <v>46296</v>
      </c>
      <c r="G41" s="16">
        <v>46387</v>
      </c>
      <c r="H41" s="15">
        <f>'CUOTA LTP -INDUSTRIAL'!E19</f>
        <v>5.9999999999999995E-4</v>
      </c>
      <c r="I41" s="15">
        <f>'CUOTA LTP -INDUSTRIAL'!F19</f>
        <v>0</v>
      </c>
      <c r="J41" s="15">
        <f>'CUOTA LTP -INDUSTRIAL'!G19</f>
        <v>6.5100000000000002E-3</v>
      </c>
      <c r="K41" s="15">
        <f>'CUOTA LTP -INDUSTRIAL'!H19</f>
        <v>0</v>
      </c>
      <c r="L41" s="15">
        <f>'CUOTA LTP -INDUSTRIAL'!I19</f>
        <v>6.5100000000000002E-3</v>
      </c>
      <c r="M41" s="192">
        <f>'CUOTA LTP -INDUSTRIAL'!J19</f>
        <v>0</v>
      </c>
      <c r="N41" s="16" t="s">
        <v>48</v>
      </c>
      <c r="O41" s="16">
        <f>'RESUMEN '!$B$3</f>
        <v>46324</v>
      </c>
      <c r="P41" s="14">
        <v>2026</v>
      </c>
      <c r="Q41" s="14"/>
    </row>
    <row r="42" spans="1:17" x14ac:dyDescent="0.2">
      <c r="A42" s="14" t="s">
        <v>10</v>
      </c>
      <c r="B42" s="14" t="s">
        <v>188</v>
      </c>
      <c r="C42" s="14" t="s">
        <v>85</v>
      </c>
      <c r="D42" s="14" t="s">
        <v>195</v>
      </c>
      <c r="E42" s="14" t="str">
        <f>'CUOTA LTP -INDUSTRIAL'!C18</f>
        <v>MOROZIN BAYCIC MARIA ANA</v>
      </c>
      <c r="F42" s="16">
        <v>46023</v>
      </c>
      <c r="G42" s="16">
        <v>46387</v>
      </c>
      <c r="H42" s="15">
        <f>'CUOTA LTP -INDUSTRIAL'!K18</f>
        <v>6.5100000000000002E-3</v>
      </c>
      <c r="I42" s="15">
        <f>'CUOTA LTP -INDUSTRIAL'!L18</f>
        <v>0</v>
      </c>
      <c r="J42" s="15">
        <f>'CUOTA LTP -INDUSTRIAL'!M18</f>
        <v>6.5100000000000002E-3</v>
      </c>
      <c r="K42" s="15">
        <f>'CUOTA LTP -INDUSTRIAL'!N18</f>
        <v>0</v>
      </c>
      <c r="L42" s="15">
        <f>'CUOTA LTP -INDUSTRIAL'!O18</f>
        <v>6.5100000000000002E-3</v>
      </c>
      <c r="M42" s="192">
        <f>'CUOTA LTP -INDUSTRIAL'!P18</f>
        <v>0</v>
      </c>
      <c r="N42" s="16" t="s">
        <v>48</v>
      </c>
      <c r="O42" s="16">
        <f>'RESUMEN '!$B$3</f>
        <v>46324</v>
      </c>
      <c r="P42" s="14">
        <v>2026</v>
      </c>
      <c r="Q42" s="14"/>
    </row>
    <row r="43" spans="1:17" x14ac:dyDescent="0.2">
      <c r="A43" s="14" t="s">
        <v>10</v>
      </c>
      <c r="B43" s="14" t="s">
        <v>188</v>
      </c>
      <c r="C43" s="14" t="s">
        <v>85</v>
      </c>
      <c r="D43" s="14" t="s">
        <v>195</v>
      </c>
      <c r="E43" s="14" t="str">
        <f>'CUOTA LTP -INDUSTRIAL'!C20</f>
        <v>MOROZIN YURECIC MARIO</v>
      </c>
      <c r="F43" s="16">
        <v>46082</v>
      </c>
      <c r="G43" s="16">
        <v>46265</v>
      </c>
      <c r="H43" s="15">
        <f>'CUOTA LTP -INDUSTRIAL'!E20</f>
        <v>1.1900000000000001E-3</v>
      </c>
      <c r="I43" s="15">
        <f>'CUOTA LTP -INDUSTRIAL'!F20</f>
        <v>0</v>
      </c>
      <c r="J43" s="15">
        <f>'CUOTA LTP -INDUSTRIAL'!G20</f>
        <v>1.1900000000000001E-3</v>
      </c>
      <c r="K43" s="15">
        <f>'CUOTA LTP -INDUSTRIAL'!H20</f>
        <v>0</v>
      </c>
      <c r="L43" s="15">
        <f>'CUOTA LTP -INDUSTRIAL'!I20</f>
        <v>1.1900000000000001E-3</v>
      </c>
      <c r="M43" s="192">
        <f>'CUOTA LTP -INDUSTRIAL'!J20</f>
        <v>0</v>
      </c>
      <c r="N43" s="16" t="s">
        <v>48</v>
      </c>
      <c r="O43" s="16">
        <f>'RESUMEN '!$B$3</f>
        <v>46324</v>
      </c>
      <c r="P43" s="14">
        <v>2026</v>
      </c>
      <c r="Q43" s="14"/>
    </row>
    <row r="44" spans="1:17" x14ac:dyDescent="0.2">
      <c r="A44" s="14" t="s">
        <v>10</v>
      </c>
      <c r="B44" s="14" t="s">
        <v>188</v>
      </c>
      <c r="C44" s="14" t="s">
        <v>85</v>
      </c>
      <c r="D44" s="14" t="s">
        <v>195</v>
      </c>
      <c r="E44" s="14" t="str">
        <f>'CUOTA LTP -INDUSTRIAL'!C20</f>
        <v>MOROZIN YURECIC MARIO</v>
      </c>
      <c r="F44" s="16">
        <v>46296</v>
      </c>
      <c r="G44" s="16">
        <v>46387</v>
      </c>
      <c r="H44" s="15">
        <f>'CUOTA LTP -INDUSTRIAL'!E21</f>
        <v>1.2E-4</v>
      </c>
      <c r="I44" s="15">
        <f>'CUOTA LTP -INDUSTRIAL'!F21</f>
        <v>0</v>
      </c>
      <c r="J44" s="15">
        <f>'CUOTA LTP -INDUSTRIAL'!G21</f>
        <v>1.3100000000000002E-3</v>
      </c>
      <c r="K44" s="15">
        <f>'CUOTA LTP -INDUSTRIAL'!H21</f>
        <v>0</v>
      </c>
      <c r="L44" s="15">
        <f>'CUOTA LTP -INDUSTRIAL'!I21</f>
        <v>1.3100000000000002E-3</v>
      </c>
      <c r="M44" s="192">
        <f>'CUOTA LTP -INDUSTRIAL'!J21</f>
        <v>0</v>
      </c>
      <c r="N44" s="16" t="s">
        <v>48</v>
      </c>
      <c r="O44" s="16">
        <f>'RESUMEN '!$B$3</f>
        <v>46324</v>
      </c>
      <c r="P44" s="14">
        <v>2026</v>
      </c>
      <c r="Q44" s="14"/>
    </row>
    <row r="45" spans="1:17" x14ac:dyDescent="0.2">
      <c r="A45" s="14" t="s">
        <v>10</v>
      </c>
      <c r="B45" s="14" t="s">
        <v>188</v>
      </c>
      <c r="C45" s="14" t="s">
        <v>85</v>
      </c>
      <c r="D45" s="14" t="s">
        <v>195</v>
      </c>
      <c r="E45" s="14" t="str">
        <f>'CUOTA LTP -INDUSTRIAL'!C20</f>
        <v>MOROZIN YURECIC MARIO</v>
      </c>
      <c r="F45" s="16">
        <v>46023</v>
      </c>
      <c r="G45" s="16">
        <v>46387</v>
      </c>
      <c r="H45" s="15">
        <f>'CUOTA LTP -INDUSTRIAL'!K20</f>
        <v>1.3100000000000002E-3</v>
      </c>
      <c r="I45" s="15">
        <f>'CUOTA LTP -INDUSTRIAL'!L20</f>
        <v>0</v>
      </c>
      <c r="J45" s="15">
        <f>'CUOTA LTP -INDUSTRIAL'!M20</f>
        <v>1.3100000000000002E-3</v>
      </c>
      <c r="K45" s="15">
        <f>'CUOTA LTP -INDUSTRIAL'!N20</f>
        <v>0</v>
      </c>
      <c r="L45" s="15">
        <f>'CUOTA LTP -INDUSTRIAL'!O20</f>
        <v>1.3100000000000002E-3</v>
      </c>
      <c r="M45" s="192">
        <f>'CUOTA LTP -INDUSTRIAL'!P20</f>
        <v>0</v>
      </c>
      <c r="N45" s="16" t="s">
        <v>48</v>
      </c>
      <c r="O45" s="16">
        <f>'RESUMEN '!$B$3</f>
        <v>46324</v>
      </c>
      <c r="P45" s="14">
        <v>2026</v>
      </c>
      <c r="Q45" s="14"/>
    </row>
    <row r="46" spans="1:17" x14ac:dyDescent="0.2">
      <c r="A46" s="14" t="s">
        <v>10</v>
      </c>
      <c r="B46" s="14" t="s">
        <v>188</v>
      </c>
      <c r="C46" s="14" t="s">
        <v>85</v>
      </c>
      <c r="D46" s="14" t="s">
        <v>195</v>
      </c>
      <c r="E46" s="14" t="str">
        <f>'CUOTA LTP -INDUSTRIAL'!C22</f>
        <v>NAKAL SPA INV.</v>
      </c>
      <c r="F46" s="16">
        <v>46082</v>
      </c>
      <c r="G46" s="16">
        <v>46265</v>
      </c>
      <c r="H46" s="15">
        <f>'CUOTA LTP -INDUSTRIAL'!E22</f>
        <v>4.4391999999999996</v>
      </c>
      <c r="I46" s="15">
        <f>'CUOTA LTP -INDUSTRIAL'!F22</f>
        <v>0</v>
      </c>
      <c r="J46" s="15">
        <f>'CUOTA LTP -INDUSTRIAL'!G22</f>
        <v>4.4391999999999996</v>
      </c>
      <c r="K46" s="15">
        <f>'CUOTA LTP -INDUSTRIAL'!H22</f>
        <v>0</v>
      </c>
      <c r="L46" s="15">
        <f>'CUOTA LTP -INDUSTRIAL'!I22</f>
        <v>4.4391999999999996</v>
      </c>
      <c r="M46" s="192">
        <f>'CUOTA LTP -INDUSTRIAL'!J22</f>
        <v>0</v>
      </c>
      <c r="N46" s="16" t="s">
        <v>48</v>
      </c>
      <c r="O46" s="16">
        <f>'RESUMEN '!$B$3</f>
        <v>46324</v>
      </c>
      <c r="P46" s="14">
        <v>2026</v>
      </c>
      <c r="Q46" s="14"/>
    </row>
    <row r="47" spans="1:17" x14ac:dyDescent="0.2">
      <c r="A47" s="14" t="s">
        <v>10</v>
      </c>
      <c r="B47" s="14" t="s">
        <v>188</v>
      </c>
      <c r="C47" s="14" t="s">
        <v>85</v>
      </c>
      <c r="D47" s="14" t="s">
        <v>195</v>
      </c>
      <c r="E47" s="14" t="str">
        <f>'CUOTA LTP -INDUSTRIAL'!C22</f>
        <v>NAKAL SPA INV.</v>
      </c>
      <c r="F47" s="16">
        <v>46296</v>
      </c>
      <c r="G47" s="16">
        <v>46387</v>
      </c>
      <c r="H47" s="15">
        <f>'CUOTA LTP -INDUSTRIAL'!E23</f>
        <v>0.45144000000000001</v>
      </c>
      <c r="I47" s="15">
        <f>'CUOTA LTP -INDUSTRIAL'!F23</f>
        <v>0</v>
      </c>
      <c r="J47" s="15">
        <f>'CUOTA LTP -INDUSTRIAL'!G23</f>
        <v>4.8906399999999994</v>
      </c>
      <c r="K47" s="15">
        <f>'CUOTA LTP -INDUSTRIAL'!H23</f>
        <v>0</v>
      </c>
      <c r="L47" s="15">
        <f>'CUOTA LTP -INDUSTRIAL'!I23</f>
        <v>4.8906399999999994</v>
      </c>
      <c r="M47" s="192">
        <f>'CUOTA LTP -INDUSTRIAL'!J23</f>
        <v>0</v>
      </c>
      <c r="N47" s="16" t="s">
        <v>48</v>
      </c>
      <c r="O47" s="16">
        <f>'RESUMEN '!$B$3</f>
        <v>46324</v>
      </c>
      <c r="P47" s="14">
        <v>2026</v>
      </c>
      <c r="Q47" s="14"/>
    </row>
    <row r="48" spans="1:17" x14ac:dyDescent="0.2">
      <c r="A48" s="14" t="s">
        <v>10</v>
      </c>
      <c r="B48" s="14" t="s">
        <v>188</v>
      </c>
      <c r="C48" s="14" t="s">
        <v>85</v>
      </c>
      <c r="D48" s="14" t="s">
        <v>195</v>
      </c>
      <c r="E48" s="14" t="str">
        <f>'CUOTA LTP -INDUSTRIAL'!C22</f>
        <v>NAKAL SPA INV.</v>
      </c>
      <c r="F48" s="16">
        <v>46023</v>
      </c>
      <c r="G48" s="16">
        <v>46387</v>
      </c>
      <c r="H48" s="15">
        <f>'CUOTA LTP -INDUSTRIAL'!K22</f>
        <v>4.8906399999999994</v>
      </c>
      <c r="I48" s="15">
        <f>'CUOTA LTP -INDUSTRIAL'!L22</f>
        <v>0</v>
      </c>
      <c r="J48" s="15">
        <f>'CUOTA LTP -INDUSTRIAL'!M22</f>
        <v>4.8906399999999994</v>
      </c>
      <c r="K48" s="15">
        <f>'CUOTA LTP -INDUSTRIAL'!N22</f>
        <v>0</v>
      </c>
      <c r="L48" s="15">
        <f>'CUOTA LTP -INDUSTRIAL'!O22</f>
        <v>4.8906399999999994</v>
      </c>
      <c r="M48" s="192">
        <f>'CUOTA LTP -INDUSTRIAL'!P22</f>
        <v>0</v>
      </c>
      <c r="N48" s="16" t="s">
        <v>48</v>
      </c>
      <c r="O48" s="16">
        <f>'RESUMEN '!$B$3</f>
        <v>46324</v>
      </c>
      <c r="P48" s="14">
        <v>2026</v>
      </c>
      <c r="Q48" s="14"/>
    </row>
    <row r="49" spans="1:17" x14ac:dyDescent="0.2">
      <c r="A49" s="14" t="s">
        <v>10</v>
      </c>
      <c r="B49" s="14" t="s">
        <v>188</v>
      </c>
      <c r="C49" s="14" t="s">
        <v>85</v>
      </c>
      <c r="D49" s="14" t="s">
        <v>195</v>
      </c>
      <c r="E49" s="14" t="str">
        <f>'CUOTA LTP -INDUSTRIAL'!C24</f>
        <v xml:space="preserve">NORDIOMAR SPA SOC. PESQ. </v>
      </c>
      <c r="F49" s="16">
        <v>46082</v>
      </c>
      <c r="G49" s="16">
        <v>46265</v>
      </c>
      <c r="H49" s="15">
        <f>'CUOTA LTP -INDUSTRIAL'!E24</f>
        <v>2.3599999999999999E-2</v>
      </c>
      <c r="I49" s="15">
        <f>'CUOTA LTP -INDUSTRIAL'!F24</f>
        <v>0</v>
      </c>
      <c r="J49" s="15">
        <f>'CUOTA LTP -INDUSTRIAL'!G24</f>
        <v>2.3599999999999999E-2</v>
      </c>
      <c r="K49" s="15">
        <f>'CUOTA LTP -INDUSTRIAL'!H24</f>
        <v>0</v>
      </c>
      <c r="L49" s="15">
        <f>'CUOTA LTP -INDUSTRIAL'!I24</f>
        <v>2.3599999999999999E-2</v>
      </c>
      <c r="M49" s="192">
        <f>'CUOTA LTP -INDUSTRIAL'!J24</f>
        <v>0</v>
      </c>
      <c r="N49" s="16" t="s">
        <v>48</v>
      </c>
      <c r="O49" s="16">
        <f>'RESUMEN '!$B$3</f>
        <v>46324</v>
      </c>
      <c r="P49" s="14">
        <v>2026</v>
      </c>
      <c r="Q49" s="14"/>
    </row>
    <row r="50" spans="1:17" x14ac:dyDescent="0.2">
      <c r="A50" s="14" t="s">
        <v>10</v>
      </c>
      <c r="B50" s="14" t="s">
        <v>188</v>
      </c>
      <c r="C50" s="14" t="s">
        <v>85</v>
      </c>
      <c r="D50" s="14" t="s">
        <v>195</v>
      </c>
      <c r="E50" s="14" t="str">
        <f>'CUOTA LTP -INDUSTRIAL'!C24</f>
        <v xml:space="preserve">NORDIOMAR SPA SOC. PESQ. </v>
      </c>
      <c r="F50" s="16">
        <v>46296</v>
      </c>
      <c r="G50" s="16">
        <v>46387</v>
      </c>
      <c r="H50" s="15">
        <f>'CUOTA LTP -INDUSTRIAL'!E25</f>
        <v>2.3999999999999998E-3</v>
      </c>
      <c r="I50" s="15">
        <f>'CUOTA LTP -INDUSTRIAL'!F25</f>
        <v>0</v>
      </c>
      <c r="J50" s="15">
        <f>'CUOTA LTP -INDUSTRIAL'!G25</f>
        <v>2.5999999999999999E-2</v>
      </c>
      <c r="K50" s="15">
        <f>'CUOTA LTP -INDUSTRIAL'!H25</f>
        <v>0</v>
      </c>
      <c r="L50" s="15">
        <f>'CUOTA LTP -INDUSTRIAL'!I25</f>
        <v>2.5999999999999999E-2</v>
      </c>
      <c r="M50" s="192">
        <f>'CUOTA LTP -INDUSTRIAL'!J25</f>
        <v>0</v>
      </c>
      <c r="N50" s="16" t="s">
        <v>48</v>
      </c>
      <c r="O50" s="16">
        <f>'RESUMEN '!$B$3</f>
        <v>46324</v>
      </c>
      <c r="P50" s="14">
        <v>2026</v>
      </c>
      <c r="Q50" s="14"/>
    </row>
    <row r="51" spans="1:17" x14ac:dyDescent="0.2">
      <c r="A51" s="14" t="s">
        <v>10</v>
      </c>
      <c r="B51" s="14" t="s">
        <v>188</v>
      </c>
      <c r="C51" s="14" t="s">
        <v>85</v>
      </c>
      <c r="D51" s="14" t="s">
        <v>195</v>
      </c>
      <c r="E51" s="14" t="str">
        <f>'CUOTA LTP -INDUSTRIAL'!C24</f>
        <v xml:space="preserve">NORDIOMAR SPA SOC. PESQ. </v>
      </c>
      <c r="F51" s="16">
        <v>46023</v>
      </c>
      <c r="G51" s="16">
        <v>46387</v>
      </c>
      <c r="H51" s="15">
        <f>'CUOTA LTP -INDUSTRIAL'!K24</f>
        <v>2.5999999999999999E-2</v>
      </c>
      <c r="I51" s="15">
        <f>'CUOTA LTP -INDUSTRIAL'!L24</f>
        <v>0</v>
      </c>
      <c r="J51" s="15">
        <f>'CUOTA LTP -INDUSTRIAL'!M24</f>
        <v>2.5999999999999999E-2</v>
      </c>
      <c r="K51" s="15">
        <f>'CUOTA LTP -INDUSTRIAL'!N24</f>
        <v>0</v>
      </c>
      <c r="L51" s="15">
        <f>'CUOTA LTP -INDUSTRIAL'!O24</f>
        <v>2.5999999999999999E-2</v>
      </c>
      <c r="M51" s="192">
        <f>'CUOTA LTP -INDUSTRIAL'!P24</f>
        <v>0</v>
      </c>
      <c r="N51" s="16" t="s">
        <v>48</v>
      </c>
      <c r="O51" s="16">
        <f>'RESUMEN '!$B$3</f>
        <v>46324</v>
      </c>
      <c r="P51" s="14">
        <v>2026</v>
      </c>
      <c r="Q51" s="14"/>
    </row>
    <row r="52" spans="1:17" x14ac:dyDescent="0.2">
      <c r="A52" s="14" t="s">
        <v>10</v>
      </c>
      <c r="B52" s="14" t="s">
        <v>188</v>
      </c>
      <c r="C52" s="14" t="s">
        <v>85</v>
      </c>
      <c r="D52" s="14" t="s">
        <v>195</v>
      </c>
      <c r="E52" s="14" t="str">
        <f>'CUOTA LTP -INDUSTRIAL'!C26</f>
        <v>ENFERMAR LTDA. SOC. PESQ.</v>
      </c>
      <c r="F52" s="16">
        <v>46082</v>
      </c>
      <c r="G52" s="16">
        <v>46265</v>
      </c>
      <c r="H52" s="15">
        <f>'CUOTA LTP -INDUSTRIAL'!E26</f>
        <v>2.4199999999999999E-2</v>
      </c>
      <c r="I52" s="15">
        <f>'CUOTA LTP -INDUSTRIAL'!F26</f>
        <v>0</v>
      </c>
      <c r="J52" s="15">
        <f>'CUOTA LTP -INDUSTRIAL'!G26</f>
        <v>2.4199999999999999E-2</v>
      </c>
      <c r="K52" s="15">
        <f>'CUOTA LTP -INDUSTRIAL'!H26</f>
        <v>0</v>
      </c>
      <c r="L52" s="15">
        <f>'CUOTA LTP -INDUSTRIAL'!I26</f>
        <v>2.4199999999999999E-2</v>
      </c>
      <c r="M52" s="192">
        <f>'CUOTA LTP -INDUSTRIAL'!J26</f>
        <v>0</v>
      </c>
      <c r="N52" s="16" t="s">
        <v>48</v>
      </c>
      <c r="O52" s="16">
        <f>'RESUMEN '!$B$3</f>
        <v>46324</v>
      </c>
      <c r="P52" s="14">
        <v>2026</v>
      </c>
      <c r="Q52" s="14"/>
    </row>
    <row r="53" spans="1:17" x14ac:dyDescent="0.2">
      <c r="A53" s="14" t="s">
        <v>10</v>
      </c>
      <c r="B53" s="14" t="s">
        <v>188</v>
      </c>
      <c r="C53" s="14" t="s">
        <v>85</v>
      </c>
      <c r="D53" s="14" t="s">
        <v>195</v>
      </c>
      <c r="E53" s="14" t="str">
        <f>'CUOTA LTP -INDUSTRIAL'!C26</f>
        <v>ENFERMAR LTDA. SOC. PESQ.</v>
      </c>
      <c r="F53" s="16">
        <v>46296</v>
      </c>
      <c r="G53" s="16">
        <v>46387</v>
      </c>
      <c r="H53" s="15">
        <f>'CUOTA LTP -INDUSTRIAL'!E27</f>
        <v>2.4599999999999999E-3</v>
      </c>
      <c r="I53" s="15">
        <f>'CUOTA LTP -INDUSTRIAL'!F27</f>
        <v>0</v>
      </c>
      <c r="J53" s="15">
        <f>'CUOTA LTP -INDUSTRIAL'!G27</f>
        <v>2.666E-2</v>
      </c>
      <c r="K53" s="15">
        <f>'CUOTA LTP -INDUSTRIAL'!H27</f>
        <v>0</v>
      </c>
      <c r="L53" s="15">
        <f>'CUOTA LTP -INDUSTRIAL'!I27</f>
        <v>2.666E-2</v>
      </c>
      <c r="M53" s="192">
        <f>'CUOTA LTP -INDUSTRIAL'!J27</f>
        <v>0</v>
      </c>
      <c r="N53" s="16" t="s">
        <v>48</v>
      </c>
      <c r="O53" s="16">
        <f>'RESUMEN '!$B$3</f>
        <v>46324</v>
      </c>
      <c r="P53" s="14">
        <v>2026</v>
      </c>
      <c r="Q53" s="14"/>
    </row>
    <row r="54" spans="1:17" x14ac:dyDescent="0.2">
      <c r="A54" s="14" t="s">
        <v>10</v>
      </c>
      <c r="B54" s="14" t="s">
        <v>188</v>
      </c>
      <c r="C54" s="14" t="s">
        <v>85</v>
      </c>
      <c r="D54" s="14" t="s">
        <v>195</v>
      </c>
      <c r="E54" s="14" t="str">
        <f>'CUOTA LTP -INDUSTRIAL'!C26</f>
        <v>ENFERMAR LTDA. SOC. PESQ.</v>
      </c>
      <c r="F54" s="16">
        <v>46023</v>
      </c>
      <c r="G54" s="16">
        <v>46387</v>
      </c>
      <c r="H54" s="15">
        <f>'CUOTA LTP -INDUSTRIAL'!K26</f>
        <v>2.666E-2</v>
      </c>
      <c r="I54" s="15">
        <f>'CUOTA LTP -INDUSTRIAL'!L26</f>
        <v>0</v>
      </c>
      <c r="J54" s="15">
        <f>'CUOTA LTP -INDUSTRIAL'!M26</f>
        <v>2.666E-2</v>
      </c>
      <c r="K54" s="15">
        <f>'CUOTA LTP -INDUSTRIAL'!N26</f>
        <v>0</v>
      </c>
      <c r="L54" s="15">
        <f>'CUOTA LTP -INDUSTRIAL'!O26</f>
        <v>2.666E-2</v>
      </c>
      <c r="M54" s="192">
        <f>'CUOTA LTP -INDUSTRIAL'!P26</f>
        <v>0</v>
      </c>
      <c r="N54" s="16" t="s">
        <v>48</v>
      </c>
      <c r="O54" s="16">
        <f>'RESUMEN '!$B$3</f>
        <v>46324</v>
      </c>
      <c r="P54" s="14">
        <v>2026</v>
      </c>
      <c r="Q54" s="14"/>
    </row>
    <row r="55" spans="1:17" x14ac:dyDescent="0.2">
      <c r="A55" s="14" t="s">
        <v>10</v>
      </c>
      <c r="B55" s="14" t="s">
        <v>188</v>
      </c>
      <c r="C55" s="14" t="s">
        <v>87</v>
      </c>
      <c r="D55" s="14" t="s">
        <v>195</v>
      </c>
      <c r="E55" s="14" t="str">
        <f>'CUOTA LTP -INDUSTRIAL'!C30</f>
        <v>ANTARTIC SEAFOOD S.A.</v>
      </c>
      <c r="F55" s="16">
        <v>46082</v>
      </c>
      <c r="G55" s="16">
        <v>46265</v>
      </c>
      <c r="H55" s="15">
        <f>'CUOTA LTP -INDUSTRIAL'!E30</f>
        <v>244.50492</v>
      </c>
      <c r="I55" s="15">
        <f>'CUOTA LTP -INDUSTRIAL'!F30</f>
        <v>-110.274</v>
      </c>
      <c r="J55" s="15">
        <f>'CUOTA LTP -INDUSTRIAL'!G30</f>
        <v>134.23092</v>
      </c>
      <c r="K55" s="15">
        <f>'CUOTA LTP -INDUSTRIAL'!H30</f>
        <v>141.672</v>
      </c>
      <c r="L55" s="15">
        <f>'CUOTA LTP -INDUSTRIAL'!I30</f>
        <v>-7.4410799999999995</v>
      </c>
      <c r="M55" s="192">
        <f>'CUOTA LTP -INDUSTRIAL'!J30</f>
        <v>1.0554349176776856</v>
      </c>
      <c r="N55" s="16" t="s">
        <v>48</v>
      </c>
      <c r="O55" s="16">
        <f>'RESUMEN '!$B$3</f>
        <v>46324</v>
      </c>
      <c r="P55" s="14">
        <v>2026</v>
      </c>
      <c r="Q55" s="14"/>
    </row>
    <row r="56" spans="1:17" x14ac:dyDescent="0.2">
      <c r="A56" s="14" t="s">
        <v>10</v>
      </c>
      <c r="B56" s="14" t="s">
        <v>188</v>
      </c>
      <c r="C56" s="14" t="s">
        <v>87</v>
      </c>
      <c r="D56" s="14" t="s">
        <v>195</v>
      </c>
      <c r="E56" s="14" t="str">
        <f>'CUOTA LTP -INDUSTRIAL'!C30</f>
        <v>ANTARTIC SEAFOOD S.A.</v>
      </c>
      <c r="F56" s="16">
        <v>46296</v>
      </c>
      <c r="G56" s="16">
        <v>46387</v>
      </c>
      <c r="H56" s="15">
        <f>'CUOTA LTP -INDUSTRIAL'!E31</f>
        <v>26.88081</v>
      </c>
      <c r="I56" s="15">
        <f>'CUOTA LTP -INDUSTRIAL'!F31</f>
        <v>0</v>
      </c>
      <c r="J56" s="15">
        <f>'CUOTA LTP -INDUSTRIAL'!G31</f>
        <v>19.439730000000001</v>
      </c>
      <c r="K56" s="15">
        <f>'CUOTA LTP -INDUSTRIAL'!H31</f>
        <v>6.109</v>
      </c>
      <c r="L56" s="15">
        <f>'CUOTA LTP -INDUSTRIAL'!I31</f>
        <v>13.330730000000001</v>
      </c>
      <c r="M56" s="192">
        <f>'CUOTA LTP -INDUSTRIAL'!J31</f>
        <v>0.31425333582307985</v>
      </c>
      <c r="N56" s="16" t="s">
        <v>48</v>
      </c>
      <c r="O56" s="16">
        <f>'RESUMEN '!$B$3</f>
        <v>46324</v>
      </c>
      <c r="P56" s="14">
        <v>2026</v>
      </c>
      <c r="Q56" s="14"/>
    </row>
    <row r="57" spans="1:17" x14ac:dyDescent="0.2">
      <c r="A57" s="14" t="s">
        <v>10</v>
      </c>
      <c r="B57" s="14" t="s">
        <v>188</v>
      </c>
      <c r="C57" s="14" t="s">
        <v>87</v>
      </c>
      <c r="D57" s="14" t="s">
        <v>195</v>
      </c>
      <c r="E57" s="14" t="str">
        <f>'CUOTA LTP -INDUSTRIAL'!C30</f>
        <v>ANTARTIC SEAFOOD S.A.</v>
      </c>
      <c r="F57" s="16">
        <v>46023</v>
      </c>
      <c r="G57" s="16">
        <v>46387</v>
      </c>
      <c r="H57" s="15">
        <f>'CUOTA LTP -INDUSTRIAL'!K30</f>
        <v>271.38573000000002</v>
      </c>
      <c r="I57" s="15">
        <f>'CUOTA LTP -INDUSTRIAL'!L30</f>
        <v>-110.274</v>
      </c>
      <c r="J57" s="15">
        <f>'CUOTA LTP -INDUSTRIAL'!M30</f>
        <v>161.11173000000002</v>
      </c>
      <c r="K57" s="15">
        <f>'CUOTA LTP -INDUSTRIAL'!N30</f>
        <v>147.78100000000001</v>
      </c>
      <c r="L57" s="15">
        <f>'CUOTA LTP -INDUSTRIAL'!O30</f>
        <v>13.330730000000017</v>
      </c>
      <c r="M57" s="192">
        <f>'CUOTA LTP -INDUSTRIAL'!P30</f>
        <v>0.9172578557749953</v>
      </c>
      <c r="N57" s="16" t="s">
        <v>48</v>
      </c>
      <c r="O57" s="16">
        <f>'RESUMEN '!$B$3</f>
        <v>46324</v>
      </c>
      <c r="P57" s="14">
        <v>2026</v>
      </c>
      <c r="Q57" s="14"/>
    </row>
    <row r="58" spans="1:17" x14ac:dyDescent="0.2">
      <c r="A58" s="14" t="s">
        <v>10</v>
      </c>
      <c r="B58" s="14" t="s">
        <v>188</v>
      </c>
      <c r="C58" s="14" t="s">
        <v>87</v>
      </c>
      <c r="D58" s="14" t="s">
        <v>195</v>
      </c>
      <c r="E58" s="14" t="str">
        <f>'CUOTA LTP -INDUSTRIAL'!C32</f>
        <v>QUINTERO S.A. PESQ.</v>
      </c>
      <c r="F58" s="16">
        <v>46082</v>
      </c>
      <c r="G58" s="16">
        <v>46265</v>
      </c>
      <c r="H58" s="15">
        <f>'CUOTA LTP -INDUSTRIAL'!E32</f>
        <v>25.846260000000001</v>
      </c>
      <c r="I58" s="15">
        <f>'CUOTA LTP -INDUSTRIAL'!F32</f>
        <v>0</v>
      </c>
      <c r="J58" s="15">
        <f>'CUOTA LTP -INDUSTRIAL'!G32</f>
        <v>25.846260000000001</v>
      </c>
      <c r="K58" s="15">
        <f>'CUOTA LTP -INDUSTRIAL'!H32</f>
        <v>0</v>
      </c>
      <c r="L58" s="15">
        <f>'CUOTA LTP -INDUSTRIAL'!I32</f>
        <v>25.846260000000001</v>
      </c>
      <c r="M58" s="192">
        <f>'CUOTA LTP -INDUSTRIAL'!J32</f>
        <v>0</v>
      </c>
      <c r="N58" s="16" t="s">
        <v>48</v>
      </c>
      <c r="O58" s="16">
        <f>'RESUMEN '!$B$3</f>
        <v>46324</v>
      </c>
      <c r="P58" s="14">
        <v>2026</v>
      </c>
      <c r="Q58" s="14"/>
    </row>
    <row r="59" spans="1:17" x14ac:dyDescent="0.2">
      <c r="A59" s="14" t="s">
        <v>10</v>
      </c>
      <c r="B59" s="14" t="s">
        <v>188</v>
      </c>
      <c r="C59" s="14" t="s">
        <v>87</v>
      </c>
      <c r="D59" s="14" t="s">
        <v>195</v>
      </c>
      <c r="E59" s="14" t="str">
        <f>'CUOTA LTP -INDUSTRIAL'!C32</f>
        <v>QUINTERO S.A. PESQ.</v>
      </c>
      <c r="F59" s="16">
        <v>46296</v>
      </c>
      <c r="G59" s="16">
        <v>46387</v>
      </c>
      <c r="H59" s="15">
        <f>'CUOTA LTP -INDUSTRIAL'!E33</f>
        <v>2.8415300000000001</v>
      </c>
      <c r="I59" s="15">
        <f>'CUOTA LTP -INDUSTRIAL'!F33</f>
        <v>0</v>
      </c>
      <c r="J59" s="15">
        <f>'CUOTA LTP -INDUSTRIAL'!G33</f>
        <v>28.68779</v>
      </c>
      <c r="K59" s="15">
        <f>'CUOTA LTP -INDUSTRIAL'!H33</f>
        <v>0</v>
      </c>
      <c r="L59" s="15">
        <f>'CUOTA LTP -INDUSTRIAL'!I33</f>
        <v>28.68779</v>
      </c>
      <c r="M59" s="192">
        <f>'CUOTA LTP -INDUSTRIAL'!J33</f>
        <v>0</v>
      </c>
      <c r="N59" s="16" t="s">
        <v>48</v>
      </c>
      <c r="O59" s="16">
        <f>'RESUMEN '!$B$3</f>
        <v>46324</v>
      </c>
      <c r="P59" s="14">
        <v>2026</v>
      </c>
      <c r="Q59" s="14"/>
    </row>
    <row r="60" spans="1:17" x14ac:dyDescent="0.2">
      <c r="A60" s="14" t="s">
        <v>10</v>
      </c>
      <c r="B60" s="14" t="s">
        <v>188</v>
      </c>
      <c r="C60" s="14" t="s">
        <v>87</v>
      </c>
      <c r="D60" s="14" t="s">
        <v>195</v>
      </c>
      <c r="E60" s="14" t="str">
        <f>'CUOTA LTP -INDUSTRIAL'!C32</f>
        <v>QUINTERO S.A. PESQ.</v>
      </c>
      <c r="F60" s="16">
        <v>46023</v>
      </c>
      <c r="G60" s="16">
        <v>46387</v>
      </c>
      <c r="H60" s="15">
        <f>'CUOTA LTP -INDUSTRIAL'!K32</f>
        <v>28.68779</v>
      </c>
      <c r="I60" s="15">
        <f>'CUOTA LTP -INDUSTRIAL'!L32</f>
        <v>0</v>
      </c>
      <c r="J60" s="15">
        <f>'CUOTA LTP -INDUSTRIAL'!M32</f>
        <v>28.68779</v>
      </c>
      <c r="K60" s="15">
        <f>'CUOTA LTP -INDUSTRIAL'!N32</f>
        <v>0</v>
      </c>
      <c r="L60" s="15">
        <f>'CUOTA LTP -INDUSTRIAL'!O32</f>
        <v>28.68779</v>
      </c>
      <c r="M60" s="192">
        <f>'CUOTA LTP -INDUSTRIAL'!P32</f>
        <v>0</v>
      </c>
      <c r="N60" s="16" t="s">
        <v>48</v>
      </c>
      <c r="O60" s="16">
        <f>'RESUMEN '!$B$3</f>
        <v>46324</v>
      </c>
      <c r="P60" s="14">
        <v>2026</v>
      </c>
      <c r="Q60" s="14"/>
    </row>
    <row r="61" spans="1:17" x14ac:dyDescent="0.2">
      <c r="A61" s="14" t="s">
        <v>10</v>
      </c>
      <c r="B61" s="14" t="s">
        <v>188</v>
      </c>
      <c r="C61" s="14" t="s">
        <v>87</v>
      </c>
      <c r="D61" s="14" t="s">
        <v>195</v>
      </c>
      <c r="E61" s="14" t="str">
        <f>'CUOTA LTP -INDUSTRIAL'!C34</f>
        <v>BAYCIC BAYCIC MARIA</v>
      </c>
      <c r="F61" s="16">
        <v>46082</v>
      </c>
      <c r="G61" s="16">
        <v>46265</v>
      </c>
      <c r="H61" s="15">
        <f>'CUOTA LTP -INDUSTRIAL'!E34</f>
        <v>1.992E-2</v>
      </c>
      <c r="I61" s="15">
        <f>'CUOTA LTP -INDUSTRIAL'!F34</f>
        <v>0</v>
      </c>
      <c r="J61" s="15">
        <f>'CUOTA LTP -INDUSTRIAL'!G34</f>
        <v>1.992E-2</v>
      </c>
      <c r="K61" s="15">
        <f>'CUOTA LTP -INDUSTRIAL'!H34</f>
        <v>0</v>
      </c>
      <c r="L61" s="15">
        <f>'CUOTA LTP -INDUSTRIAL'!I34</f>
        <v>1.992E-2</v>
      </c>
      <c r="M61" s="192">
        <f>'CUOTA LTP -INDUSTRIAL'!J34</f>
        <v>0</v>
      </c>
      <c r="N61" s="16" t="s">
        <v>48</v>
      </c>
      <c r="O61" s="16">
        <f>'RESUMEN '!$B$3</f>
        <v>46324</v>
      </c>
      <c r="P61" s="14">
        <v>2026</v>
      </c>
      <c r="Q61" s="14"/>
    </row>
    <row r="62" spans="1:17" x14ac:dyDescent="0.2">
      <c r="A62" s="14" t="s">
        <v>10</v>
      </c>
      <c r="B62" s="14" t="s">
        <v>188</v>
      </c>
      <c r="C62" s="14" t="s">
        <v>87</v>
      </c>
      <c r="D62" s="14" t="s">
        <v>195</v>
      </c>
      <c r="E62" s="14" t="str">
        <f>'CUOTA LTP -INDUSTRIAL'!C34</f>
        <v>BAYCIC BAYCIC MARIA</v>
      </c>
      <c r="F62" s="16">
        <v>46296</v>
      </c>
      <c r="G62" s="16">
        <v>46387</v>
      </c>
      <c r="H62" s="15">
        <f>'CUOTA LTP -INDUSTRIAL'!E35</f>
        <v>2.1900000000000001E-3</v>
      </c>
      <c r="I62" s="15">
        <f>'CUOTA LTP -INDUSTRIAL'!F35</f>
        <v>0</v>
      </c>
      <c r="J62" s="15">
        <f>'CUOTA LTP -INDUSTRIAL'!G35</f>
        <v>2.2110000000000001E-2</v>
      </c>
      <c r="K62" s="15">
        <f>'CUOTA LTP -INDUSTRIAL'!H35</f>
        <v>0</v>
      </c>
      <c r="L62" s="15">
        <f>'CUOTA LTP -INDUSTRIAL'!I35</f>
        <v>2.2110000000000001E-2</v>
      </c>
      <c r="M62" s="192">
        <f>'CUOTA LTP -INDUSTRIAL'!J35</f>
        <v>0</v>
      </c>
      <c r="N62" s="16" t="s">
        <v>48</v>
      </c>
      <c r="O62" s="16">
        <f>'RESUMEN '!$B$3</f>
        <v>46324</v>
      </c>
      <c r="P62" s="14">
        <v>2026</v>
      </c>
      <c r="Q62" s="14"/>
    </row>
    <row r="63" spans="1:17" x14ac:dyDescent="0.2">
      <c r="A63" s="14" t="s">
        <v>10</v>
      </c>
      <c r="B63" s="14" t="s">
        <v>188</v>
      </c>
      <c r="C63" s="14" t="s">
        <v>87</v>
      </c>
      <c r="D63" s="14" t="s">
        <v>195</v>
      </c>
      <c r="E63" s="14" t="str">
        <f>'CUOTA LTP -INDUSTRIAL'!C34</f>
        <v>BAYCIC BAYCIC MARIA</v>
      </c>
      <c r="F63" s="16">
        <v>46023</v>
      </c>
      <c r="G63" s="16">
        <v>46387</v>
      </c>
      <c r="H63" s="15">
        <f>'CUOTA LTP -INDUSTRIAL'!K34</f>
        <v>2.2110000000000001E-2</v>
      </c>
      <c r="I63" s="15">
        <f>'CUOTA LTP -INDUSTRIAL'!L34</f>
        <v>0</v>
      </c>
      <c r="J63" s="15">
        <f>'CUOTA LTP -INDUSTRIAL'!M34</f>
        <v>2.2110000000000001E-2</v>
      </c>
      <c r="K63" s="15">
        <f>'CUOTA LTP -INDUSTRIAL'!N34</f>
        <v>0</v>
      </c>
      <c r="L63" s="15">
        <f>'CUOTA LTP -INDUSTRIAL'!O34</f>
        <v>2.2110000000000001E-2</v>
      </c>
      <c r="M63" s="192">
        <f>'CUOTA LTP -INDUSTRIAL'!P34</f>
        <v>0</v>
      </c>
      <c r="N63" s="16" t="s">
        <v>48</v>
      </c>
      <c r="O63" s="16">
        <f>'RESUMEN '!$B$3</f>
        <v>46324</v>
      </c>
      <c r="P63" s="14">
        <v>2026</v>
      </c>
      <c r="Q63" s="14"/>
    </row>
    <row r="64" spans="1:17" x14ac:dyDescent="0.2">
      <c r="A64" s="14" t="s">
        <v>10</v>
      </c>
      <c r="B64" s="14" t="s">
        <v>188</v>
      </c>
      <c r="C64" s="14" t="s">
        <v>87</v>
      </c>
      <c r="D64" s="14" t="s">
        <v>195</v>
      </c>
      <c r="E64" s="14" t="str">
        <f>'CUOTA LTP -INDUSTRIAL'!C36</f>
        <v>BRACPESCA S.A.</v>
      </c>
      <c r="F64" s="16">
        <v>46082</v>
      </c>
      <c r="G64" s="16">
        <v>46265</v>
      </c>
      <c r="H64" s="15">
        <f>'CUOTA LTP -INDUSTRIAL'!E36</f>
        <v>254.26300000000001</v>
      </c>
      <c r="I64" s="15">
        <f>'CUOTA LTP -INDUSTRIAL'!F36</f>
        <v>59.079000000000001</v>
      </c>
      <c r="J64" s="15">
        <f>'CUOTA LTP -INDUSTRIAL'!G36</f>
        <v>313.34199999999998</v>
      </c>
      <c r="K64" s="15">
        <f>'CUOTA LTP -INDUSTRIAL'!H36</f>
        <v>316.35199999999998</v>
      </c>
      <c r="L64" s="15">
        <f>'CUOTA LTP -INDUSTRIAL'!I36</f>
        <v>-3.0099999999999909</v>
      </c>
      <c r="M64" s="192">
        <f>'CUOTA LTP -INDUSTRIAL'!J36</f>
        <v>1.0096061172776072</v>
      </c>
      <c r="N64" s="16" t="s">
        <v>48</v>
      </c>
      <c r="O64" s="16">
        <f>'RESUMEN '!$B$3</f>
        <v>46324</v>
      </c>
      <c r="P64" s="14">
        <v>2026</v>
      </c>
      <c r="Q64" s="14"/>
    </row>
    <row r="65" spans="1:17" x14ac:dyDescent="0.2">
      <c r="A65" s="14" t="s">
        <v>10</v>
      </c>
      <c r="B65" s="14" t="s">
        <v>188</v>
      </c>
      <c r="C65" s="14" t="s">
        <v>87</v>
      </c>
      <c r="D65" s="14" t="s">
        <v>195</v>
      </c>
      <c r="E65" s="14" t="str">
        <f>'CUOTA LTP -INDUSTRIAL'!C36</f>
        <v>BRACPESCA S.A.</v>
      </c>
      <c r="F65" s="16">
        <v>46296</v>
      </c>
      <c r="G65" s="16">
        <v>46387</v>
      </c>
      <c r="H65" s="15">
        <f>'CUOTA LTP -INDUSTRIAL'!E37</f>
        <v>27.953610000000001</v>
      </c>
      <c r="I65" s="15">
        <f>'CUOTA LTP -INDUSTRIAL'!F37</f>
        <v>0</v>
      </c>
      <c r="J65" s="15">
        <f>'CUOTA LTP -INDUSTRIAL'!G37</f>
        <v>24.94361000000001</v>
      </c>
      <c r="K65" s="15">
        <f>'CUOTA LTP -INDUSTRIAL'!H37</f>
        <v>16.884</v>
      </c>
      <c r="L65" s="15">
        <f>'CUOTA LTP -INDUSTRIAL'!I37</f>
        <v>8.0596100000000099</v>
      </c>
      <c r="M65" s="192">
        <f>'CUOTA LTP -INDUSTRIAL'!J37</f>
        <v>0.6768867858341272</v>
      </c>
      <c r="N65" s="16" t="s">
        <v>48</v>
      </c>
      <c r="O65" s="16">
        <f>'RESUMEN '!$B$3</f>
        <v>46324</v>
      </c>
      <c r="P65" s="14">
        <v>2026</v>
      </c>
      <c r="Q65" s="14"/>
    </row>
    <row r="66" spans="1:17" x14ac:dyDescent="0.2">
      <c r="A66" s="14" t="s">
        <v>10</v>
      </c>
      <c r="B66" s="14" t="s">
        <v>188</v>
      </c>
      <c r="C66" s="14" t="s">
        <v>87</v>
      </c>
      <c r="D66" s="14" t="s">
        <v>195</v>
      </c>
      <c r="E66" s="14" t="str">
        <f>'CUOTA LTP -INDUSTRIAL'!C36</f>
        <v>BRACPESCA S.A.</v>
      </c>
      <c r="F66" s="16">
        <v>46023</v>
      </c>
      <c r="G66" s="16">
        <v>46387</v>
      </c>
      <c r="H66" s="15">
        <f>'CUOTA LTP -INDUSTRIAL'!K36</f>
        <v>282.21661</v>
      </c>
      <c r="I66" s="15">
        <f>'CUOTA LTP -INDUSTRIAL'!L36</f>
        <v>59.079000000000001</v>
      </c>
      <c r="J66" s="15">
        <f>'CUOTA LTP -INDUSTRIAL'!M36</f>
        <v>341.29561000000001</v>
      </c>
      <c r="K66" s="15">
        <f>'CUOTA LTP -INDUSTRIAL'!N36</f>
        <v>333.23599999999999</v>
      </c>
      <c r="L66" s="15">
        <f>'CUOTA LTP -INDUSTRIAL'!O36</f>
        <v>8.0596100000000206</v>
      </c>
      <c r="M66" s="192">
        <f>'CUOTA LTP -INDUSTRIAL'!P36</f>
        <v>0.97638525148331079</v>
      </c>
      <c r="N66" s="16" t="s">
        <v>48</v>
      </c>
      <c r="O66" s="16">
        <f>'RESUMEN '!$B$3</f>
        <v>46324</v>
      </c>
      <c r="P66" s="14">
        <v>2026</v>
      </c>
      <c r="Q66" s="14"/>
    </row>
    <row r="67" spans="1:17" x14ac:dyDescent="0.2">
      <c r="A67" s="14" t="s">
        <v>10</v>
      </c>
      <c r="B67" s="14" t="s">
        <v>188</v>
      </c>
      <c r="C67" s="14" t="s">
        <v>87</v>
      </c>
      <c r="D67" s="14" t="s">
        <v>195</v>
      </c>
      <c r="E67" s="14" t="str">
        <f>'CUOTA LTP -INDUSTRIAL'!C38</f>
        <v>GRIMAR S.A. PESQ.</v>
      </c>
      <c r="F67" s="16">
        <v>46082</v>
      </c>
      <c r="G67" s="16">
        <v>46265</v>
      </c>
      <c r="H67" s="15">
        <f>'CUOTA LTP -INDUSTRIAL'!E38</f>
        <v>0.11494</v>
      </c>
      <c r="I67" s="15">
        <f>'CUOTA LTP -INDUSTRIAL'!F38</f>
        <v>0</v>
      </c>
      <c r="J67" s="15">
        <f>'CUOTA LTP -INDUSTRIAL'!G38</f>
        <v>0.11494</v>
      </c>
      <c r="K67" s="15">
        <f>'CUOTA LTP -INDUSTRIAL'!H38</f>
        <v>0</v>
      </c>
      <c r="L67" s="15">
        <f>'CUOTA LTP -INDUSTRIAL'!I38</f>
        <v>0.11494</v>
      </c>
      <c r="M67" s="192">
        <f>'CUOTA LTP -INDUSTRIAL'!J38</f>
        <v>0</v>
      </c>
      <c r="N67" s="16" t="s">
        <v>48</v>
      </c>
      <c r="O67" s="16">
        <f>'RESUMEN '!$B$3</f>
        <v>46324</v>
      </c>
      <c r="P67" s="14">
        <v>2026</v>
      </c>
      <c r="Q67" s="14"/>
    </row>
    <row r="68" spans="1:17" x14ac:dyDescent="0.2">
      <c r="A68" s="14" t="s">
        <v>10</v>
      </c>
      <c r="B68" s="14" t="s">
        <v>188</v>
      </c>
      <c r="C68" s="14" t="s">
        <v>87</v>
      </c>
      <c r="D68" s="14" t="s">
        <v>195</v>
      </c>
      <c r="E68" s="14" t="str">
        <f>'CUOTA LTP -INDUSTRIAL'!C38</f>
        <v>GRIMAR S.A. PESQ.</v>
      </c>
      <c r="F68" s="16">
        <v>46296</v>
      </c>
      <c r="G68" s="16">
        <v>46387</v>
      </c>
      <c r="H68" s="15">
        <f>'CUOTA LTP -INDUSTRIAL'!E39</f>
        <v>1.264E-2</v>
      </c>
      <c r="I68" s="15">
        <f>'CUOTA LTP -INDUSTRIAL'!F39</f>
        <v>0</v>
      </c>
      <c r="J68" s="15">
        <f>'CUOTA LTP -INDUSTRIAL'!G39</f>
        <v>0.12758</v>
      </c>
      <c r="K68" s="15">
        <f>'CUOTA LTP -INDUSTRIAL'!H39</f>
        <v>0</v>
      </c>
      <c r="L68" s="15">
        <f>'CUOTA LTP -INDUSTRIAL'!I39</f>
        <v>0.12758</v>
      </c>
      <c r="M68" s="192">
        <f>'CUOTA LTP -INDUSTRIAL'!J39</f>
        <v>0</v>
      </c>
      <c r="N68" s="16" t="s">
        <v>48</v>
      </c>
      <c r="O68" s="16">
        <f>'RESUMEN '!$B$3</f>
        <v>46324</v>
      </c>
      <c r="P68" s="14">
        <v>2026</v>
      </c>
      <c r="Q68" s="14"/>
    </row>
    <row r="69" spans="1:17" x14ac:dyDescent="0.2">
      <c r="A69" s="14" t="s">
        <v>10</v>
      </c>
      <c r="B69" s="14" t="s">
        <v>188</v>
      </c>
      <c r="C69" s="14" t="s">
        <v>87</v>
      </c>
      <c r="D69" s="14" t="s">
        <v>195</v>
      </c>
      <c r="E69" s="14" t="str">
        <f>'CUOTA LTP -INDUSTRIAL'!C38</f>
        <v>GRIMAR S.A. PESQ.</v>
      </c>
      <c r="F69" s="16">
        <v>46023</v>
      </c>
      <c r="G69" s="16">
        <v>46387</v>
      </c>
      <c r="H69" s="15">
        <f>'CUOTA LTP -INDUSTRIAL'!K38</f>
        <v>0.12758</v>
      </c>
      <c r="I69" s="15">
        <f>'CUOTA LTP -INDUSTRIAL'!L38</f>
        <v>0</v>
      </c>
      <c r="J69" s="15">
        <f>'CUOTA LTP -INDUSTRIAL'!M38</f>
        <v>0.12758</v>
      </c>
      <c r="K69" s="15">
        <f>'CUOTA LTP -INDUSTRIAL'!N38</f>
        <v>0</v>
      </c>
      <c r="L69" s="15">
        <f>'CUOTA LTP -INDUSTRIAL'!O38</f>
        <v>0.12758</v>
      </c>
      <c r="M69" s="192">
        <f>'CUOTA LTP -INDUSTRIAL'!P38</f>
        <v>0</v>
      </c>
      <c r="N69" s="16" t="s">
        <v>48</v>
      </c>
      <c r="O69" s="16">
        <f>'RESUMEN '!$B$3</f>
        <v>46324</v>
      </c>
      <c r="P69" s="14">
        <v>2026</v>
      </c>
      <c r="Q69" s="14"/>
    </row>
    <row r="70" spans="1:17" x14ac:dyDescent="0.2">
      <c r="A70" s="14" t="s">
        <v>10</v>
      </c>
      <c r="B70" s="14" t="s">
        <v>188</v>
      </c>
      <c r="C70" s="14" t="s">
        <v>87</v>
      </c>
      <c r="D70" s="14" t="s">
        <v>195</v>
      </c>
      <c r="E70" s="14" t="str">
        <f>'CUOTA LTP -INDUSTRIAL'!C40</f>
        <v>ISLADAMAS S.A. PESQ.</v>
      </c>
      <c r="F70" s="16">
        <v>46082</v>
      </c>
      <c r="G70" s="16">
        <v>46265</v>
      </c>
      <c r="H70" s="15">
        <f>'CUOTA LTP -INDUSTRIAL'!E40</f>
        <v>70.272649999999999</v>
      </c>
      <c r="I70" s="15">
        <f>'CUOTA LTP -INDUSTRIAL'!F40</f>
        <v>0</v>
      </c>
      <c r="J70" s="15">
        <f>'CUOTA LTP -INDUSTRIAL'!G40</f>
        <v>70.272649999999999</v>
      </c>
      <c r="K70" s="15">
        <f>'CUOTA LTP -INDUSTRIAL'!H40</f>
        <v>61.953000000000003</v>
      </c>
      <c r="L70" s="15">
        <f>'CUOTA LTP -INDUSTRIAL'!I40</f>
        <v>8.3196499999999958</v>
      </c>
      <c r="M70" s="192">
        <f>'CUOTA LTP -INDUSTRIAL'!J40</f>
        <v>0.88160899012631522</v>
      </c>
      <c r="N70" s="16" t="s">
        <v>48</v>
      </c>
      <c r="O70" s="16">
        <f>'RESUMEN '!$B$3</f>
        <v>46324</v>
      </c>
      <c r="P70" s="14">
        <v>2026</v>
      </c>
      <c r="Q70" s="14"/>
    </row>
    <row r="71" spans="1:17" x14ac:dyDescent="0.2">
      <c r="A71" s="14" t="s">
        <v>10</v>
      </c>
      <c r="B71" s="14" t="s">
        <v>188</v>
      </c>
      <c r="C71" s="14" t="s">
        <v>87</v>
      </c>
      <c r="D71" s="14" t="s">
        <v>195</v>
      </c>
      <c r="E71" s="14" t="str">
        <f>'CUOTA LTP -INDUSTRIAL'!C40</f>
        <v>ISLADAMAS S.A. PESQ.</v>
      </c>
      <c r="F71" s="16">
        <v>46296</v>
      </c>
      <c r="G71" s="16">
        <v>46387</v>
      </c>
      <c r="H71" s="15">
        <f>'CUOTA LTP -INDUSTRIAL'!E41</f>
        <v>7.7257499999999997</v>
      </c>
      <c r="I71" s="15">
        <f>'CUOTA LTP -INDUSTRIAL'!F41</f>
        <v>0</v>
      </c>
      <c r="J71" s="15">
        <f>'CUOTA LTP -INDUSTRIAL'!G41</f>
        <v>16.045399999999994</v>
      </c>
      <c r="K71" s="15">
        <f>'CUOTA LTP -INDUSTRIAL'!H41</f>
        <v>12.311</v>
      </c>
      <c r="L71" s="15">
        <f>'CUOTA LTP -INDUSTRIAL'!I41</f>
        <v>3.7343999999999937</v>
      </c>
      <c r="M71" s="192">
        <f>'CUOTA LTP -INDUSTRIAL'!J41</f>
        <v>0.76726039861891915</v>
      </c>
      <c r="N71" s="16" t="s">
        <v>48</v>
      </c>
      <c r="O71" s="16">
        <f>'RESUMEN '!$B$3</f>
        <v>46324</v>
      </c>
      <c r="P71" s="14">
        <v>2026</v>
      </c>
      <c r="Q71" s="14"/>
    </row>
    <row r="72" spans="1:17" x14ac:dyDescent="0.2">
      <c r="A72" s="14" t="s">
        <v>10</v>
      </c>
      <c r="B72" s="14" t="s">
        <v>188</v>
      </c>
      <c r="C72" s="14" t="s">
        <v>87</v>
      </c>
      <c r="D72" s="14" t="s">
        <v>195</v>
      </c>
      <c r="E72" s="14" t="str">
        <f>'CUOTA LTP -INDUSTRIAL'!C40</f>
        <v>ISLADAMAS S.A. PESQ.</v>
      </c>
      <c r="F72" s="16">
        <v>46023</v>
      </c>
      <c r="G72" s="16">
        <v>46387</v>
      </c>
      <c r="H72" s="15">
        <f>'CUOTA LTP -INDUSTRIAL'!K40</f>
        <v>77.998400000000004</v>
      </c>
      <c r="I72" s="15">
        <f>'CUOTA LTP -INDUSTRIAL'!L40</f>
        <v>0</v>
      </c>
      <c r="J72" s="15">
        <f>'CUOTA LTP -INDUSTRIAL'!M40</f>
        <v>77.998400000000004</v>
      </c>
      <c r="K72" s="15">
        <f>'CUOTA LTP -INDUSTRIAL'!N40</f>
        <v>74.26400000000001</v>
      </c>
      <c r="L72" s="15">
        <f>'CUOTA LTP -INDUSTRIAL'!O40</f>
        <v>3.7343999999999937</v>
      </c>
      <c r="M72" s="192">
        <f>'CUOTA LTP -INDUSTRIAL'!P40</f>
        <v>0.95212209481220134</v>
      </c>
      <c r="N72" s="16" t="s">
        <v>48</v>
      </c>
      <c r="O72" s="16">
        <f>'RESUMEN '!$B$3</f>
        <v>46324</v>
      </c>
      <c r="P72" s="14">
        <v>2026</v>
      </c>
      <c r="Q72" s="14"/>
    </row>
    <row r="73" spans="1:17" x14ac:dyDescent="0.2">
      <c r="A73" s="14" t="s">
        <v>10</v>
      </c>
      <c r="B73" s="14" t="s">
        <v>188</v>
      </c>
      <c r="C73" s="14" t="s">
        <v>87</v>
      </c>
      <c r="D73" s="14" t="s">
        <v>195</v>
      </c>
      <c r="E73" s="14" t="str">
        <f>'CUOTA LTP -INDUSTRIAL'!C42</f>
        <v>MOROZIN BAYCIC MARIA ANA</v>
      </c>
      <c r="F73" s="16">
        <v>46082</v>
      </c>
      <c r="G73" s="16">
        <v>46265</v>
      </c>
      <c r="H73" s="15">
        <f>'CUOTA LTP -INDUSTRIAL'!E42</f>
        <v>6.6470000000000001E-2</v>
      </c>
      <c r="I73" s="15">
        <f>'CUOTA LTP -INDUSTRIAL'!F42</f>
        <v>0</v>
      </c>
      <c r="J73" s="15">
        <f>'CUOTA LTP -INDUSTRIAL'!G42</f>
        <v>6.6470000000000001E-2</v>
      </c>
      <c r="K73" s="15">
        <f>'CUOTA LTP -INDUSTRIAL'!H42</f>
        <v>0</v>
      </c>
      <c r="L73" s="15">
        <f>'CUOTA LTP -INDUSTRIAL'!I42</f>
        <v>6.6470000000000001E-2</v>
      </c>
      <c r="M73" s="192">
        <f>'CUOTA LTP -INDUSTRIAL'!J42</f>
        <v>0</v>
      </c>
      <c r="N73" s="16" t="s">
        <v>48</v>
      </c>
      <c r="O73" s="16">
        <f>'RESUMEN '!$B$3</f>
        <v>46324</v>
      </c>
      <c r="P73" s="14">
        <v>2026</v>
      </c>
      <c r="Q73" s="14"/>
    </row>
    <row r="74" spans="1:17" x14ac:dyDescent="0.2">
      <c r="A74" s="14" t="s">
        <v>10</v>
      </c>
      <c r="B74" s="14" t="s">
        <v>188</v>
      </c>
      <c r="C74" s="14" t="s">
        <v>87</v>
      </c>
      <c r="D74" s="14" t="s">
        <v>195</v>
      </c>
      <c r="E74" s="14" t="str">
        <f>'CUOTA LTP -INDUSTRIAL'!C42</f>
        <v>MOROZIN BAYCIC MARIA ANA</v>
      </c>
      <c r="F74" s="16">
        <v>46296</v>
      </c>
      <c r="G74" s="16">
        <v>46387</v>
      </c>
      <c r="H74" s="15">
        <f>'CUOTA LTP -INDUSTRIAL'!E43</f>
        <v>7.3099999999999997E-3</v>
      </c>
      <c r="I74" s="15">
        <f>'CUOTA LTP -INDUSTRIAL'!F43</f>
        <v>0</v>
      </c>
      <c r="J74" s="15">
        <f>'CUOTA LTP -INDUSTRIAL'!G43</f>
        <v>7.3779999999999998E-2</v>
      </c>
      <c r="K74" s="15">
        <f>'CUOTA LTP -INDUSTRIAL'!H43</f>
        <v>0</v>
      </c>
      <c r="L74" s="15">
        <f>'CUOTA LTP -INDUSTRIAL'!I43</f>
        <v>7.3779999999999998E-2</v>
      </c>
      <c r="M74" s="192">
        <f>'CUOTA LTP -INDUSTRIAL'!J43</f>
        <v>0</v>
      </c>
      <c r="N74" s="16" t="s">
        <v>48</v>
      </c>
      <c r="O74" s="16">
        <f>'RESUMEN '!$B$3</f>
        <v>46324</v>
      </c>
      <c r="P74" s="14">
        <v>2026</v>
      </c>
      <c r="Q74" s="14"/>
    </row>
    <row r="75" spans="1:17" x14ac:dyDescent="0.2">
      <c r="A75" s="14" t="s">
        <v>10</v>
      </c>
      <c r="B75" s="14" t="s">
        <v>188</v>
      </c>
      <c r="C75" s="14" t="s">
        <v>87</v>
      </c>
      <c r="D75" s="14" t="s">
        <v>195</v>
      </c>
      <c r="E75" s="14" t="str">
        <f>'CUOTA LTP -INDUSTRIAL'!C42</f>
        <v>MOROZIN BAYCIC MARIA ANA</v>
      </c>
      <c r="F75" s="16">
        <v>46023</v>
      </c>
      <c r="G75" s="16">
        <v>46387</v>
      </c>
      <c r="H75" s="15">
        <f>'CUOTA LTP -INDUSTRIAL'!K42</f>
        <v>7.3779999999999998E-2</v>
      </c>
      <c r="I75" s="15">
        <f>'CUOTA LTP -INDUSTRIAL'!L42</f>
        <v>0</v>
      </c>
      <c r="J75" s="15">
        <f>'CUOTA LTP -INDUSTRIAL'!M42</f>
        <v>7.3779999999999998E-2</v>
      </c>
      <c r="K75" s="15">
        <f>'CUOTA LTP -INDUSTRIAL'!N42</f>
        <v>0</v>
      </c>
      <c r="L75" s="15">
        <f>'CUOTA LTP -INDUSTRIAL'!O42</f>
        <v>7.3779999999999998E-2</v>
      </c>
      <c r="M75" s="192">
        <f>'CUOTA LTP -INDUSTRIAL'!P42</f>
        <v>0</v>
      </c>
      <c r="N75" s="16" t="s">
        <v>48</v>
      </c>
      <c r="O75" s="16">
        <f>'RESUMEN '!$B$3</f>
        <v>46324</v>
      </c>
      <c r="P75" s="14">
        <v>2026</v>
      </c>
      <c r="Q75" s="14"/>
    </row>
    <row r="76" spans="1:17" x14ac:dyDescent="0.2">
      <c r="A76" s="14" t="s">
        <v>10</v>
      </c>
      <c r="B76" s="14" t="s">
        <v>188</v>
      </c>
      <c r="C76" s="14" t="s">
        <v>87</v>
      </c>
      <c r="D76" s="14" t="s">
        <v>195</v>
      </c>
      <c r="E76" s="14" t="str">
        <f>'CUOTA LTP -INDUSTRIAL'!C44</f>
        <v>MOROZIN YURECIC MARIO</v>
      </c>
      <c r="F76" s="16">
        <v>46082</v>
      </c>
      <c r="G76" s="16">
        <v>46265</v>
      </c>
      <c r="H76" s="15">
        <f>'CUOTA LTP -INDUSTRIAL'!E44</f>
        <v>1.3350000000000001E-2</v>
      </c>
      <c r="I76" s="15">
        <f>'CUOTA LTP -INDUSTRIAL'!F44</f>
        <v>0</v>
      </c>
      <c r="J76" s="15">
        <f>'CUOTA LTP -INDUSTRIAL'!G44</f>
        <v>1.3350000000000001E-2</v>
      </c>
      <c r="K76" s="15">
        <f>'CUOTA LTP -INDUSTRIAL'!H44</f>
        <v>0</v>
      </c>
      <c r="L76" s="15">
        <f>'CUOTA LTP -INDUSTRIAL'!I44</f>
        <v>1.3350000000000001E-2</v>
      </c>
      <c r="M76" s="192">
        <f>'CUOTA LTP -INDUSTRIAL'!J44</f>
        <v>0</v>
      </c>
      <c r="N76" s="16" t="s">
        <v>48</v>
      </c>
      <c r="O76" s="16">
        <f>'RESUMEN '!$B$3</f>
        <v>46324</v>
      </c>
      <c r="P76" s="14">
        <v>2026</v>
      </c>
      <c r="Q76" s="14"/>
    </row>
    <row r="77" spans="1:17" x14ac:dyDescent="0.2">
      <c r="A77" s="14" t="s">
        <v>10</v>
      </c>
      <c r="B77" s="14" t="s">
        <v>188</v>
      </c>
      <c r="C77" s="14" t="s">
        <v>87</v>
      </c>
      <c r="D77" s="14" t="s">
        <v>195</v>
      </c>
      <c r="E77" s="14" t="str">
        <f>'CUOTA LTP -INDUSTRIAL'!C44</f>
        <v>MOROZIN YURECIC MARIO</v>
      </c>
      <c r="F77" s="16">
        <v>46296</v>
      </c>
      <c r="G77" s="16">
        <v>46387</v>
      </c>
      <c r="H77" s="15">
        <f>'CUOTA LTP -INDUSTRIAL'!E45</f>
        <v>1.47E-3</v>
      </c>
      <c r="I77" s="15">
        <f>'CUOTA LTP -INDUSTRIAL'!F45</f>
        <v>0</v>
      </c>
      <c r="J77" s="15">
        <f>'CUOTA LTP -INDUSTRIAL'!G45</f>
        <v>1.482E-2</v>
      </c>
      <c r="K77" s="15">
        <f>'CUOTA LTP -INDUSTRIAL'!H45</f>
        <v>0</v>
      </c>
      <c r="L77" s="15">
        <f>'CUOTA LTP -INDUSTRIAL'!I45</f>
        <v>1.482E-2</v>
      </c>
      <c r="M77" s="192">
        <f>'CUOTA LTP -INDUSTRIAL'!J45</f>
        <v>0</v>
      </c>
      <c r="N77" s="16" t="s">
        <v>48</v>
      </c>
      <c r="O77" s="16">
        <f>'RESUMEN '!$B$3</f>
        <v>46324</v>
      </c>
      <c r="P77" s="14">
        <v>2026</v>
      </c>
      <c r="Q77" s="14"/>
    </row>
    <row r="78" spans="1:17" x14ac:dyDescent="0.2">
      <c r="A78" s="14" t="s">
        <v>10</v>
      </c>
      <c r="B78" s="14" t="s">
        <v>188</v>
      </c>
      <c r="C78" s="14" t="s">
        <v>87</v>
      </c>
      <c r="D78" s="14" t="s">
        <v>195</v>
      </c>
      <c r="E78" s="14" t="str">
        <f>'CUOTA LTP -INDUSTRIAL'!C44</f>
        <v>MOROZIN YURECIC MARIO</v>
      </c>
      <c r="F78" s="16">
        <v>46023</v>
      </c>
      <c r="G78" s="16">
        <v>46387</v>
      </c>
      <c r="H78" s="15">
        <f>'CUOTA LTP -INDUSTRIAL'!K44</f>
        <v>1.482E-2</v>
      </c>
      <c r="I78" s="15">
        <f>'CUOTA LTP -INDUSTRIAL'!L44</f>
        <v>0</v>
      </c>
      <c r="J78" s="15">
        <f>'CUOTA LTP -INDUSTRIAL'!M44</f>
        <v>1.482E-2</v>
      </c>
      <c r="K78" s="15">
        <f>'CUOTA LTP -INDUSTRIAL'!N44</f>
        <v>0</v>
      </c>
      <c r="L78" s="15">
        <f>'CUOTA LTP -INDUSTRIAL'!O44</f>
        <v>1.482E-2</v>
      </c>
      <c r="M78" s="192">
        <f>'CUOTA LTP -INDUSTRIAL'!P44</f>
        <v>0</v>
      </c>
      <c r="N78" s="16" t="s">
        <v>48</v>
      </c>
      <c r="O78" s="16">
        <f>'RESUMEN '!$B$3</f>
        <v>46324</v>
      </c>
      <c r="P78" s="14">
        <v>2026</v>
      </c>
      <c r="Q78" s="14"/>
    </row>
    <row r="79" spans="1:17" x14ac:dyDescent="0.2">
      <c r="A79" s="14" t="s">
        <v>10</v>
      </c>
      <c r="B79" s="14" t="s">
        <v>188</v>
      </c>
      <c r="C79" s="14" t="s">
        <v>87</v>
      </c>
      <c r="D79" s="14" t="s">
        <v>195</v>
      </c>
      <c r="E79" s="14" t="str">
        <f>'CUOTA LTP -INDUSTRIAL'!C46</f>
        <v>NAKAL SPA INV.</v>
      </c>
      <c r="F79" s="16">
        <v>46082</v>
      </c>
      <c r="G79" s="16">
        <v>46265</v>
      </c>
      <c r="H79" s="15">
        <f>'CUOTA LTP -INDUSTRIAL'!E46</f>
        <v>49.959760000000003</v>
      </c>
      <c r="I79" s="15">
        <f>'CUOTA LTP -INDUSTRIAL'!F46</f>
        <v>0</v>
      </c>
      <c r="J79" s="15">
        <f>'CUOTA LTP -INDUSTRIAL'!G46</f>
        <v>49.959760000000003</v>
      </c>
      <c r="K79" s="15">
        <f>'CUOTA LTP -INDUSTRIAL'!H46</f>
        <v>0</v>
      </c>
      <c r="L79" s="15">
        <f>'CUOTA LTP -INDUSTRIAL'!I46</f>
        <v>49.959760000000003</v>
      </c>
      <c r="M79" s="192">
        <f>'CUOTA LTP -INDUSTRIAL'!J46</f>
        <v>0</v>
      </c>
      <c r="N79" s="16" t="s">
        <v>48</v>
      </c>
      <c r="O79" s="16">
        <f>'RESUMEN '!$B$3</f>
        <v>46324</v>
      </c>
      <c r="P79" s="14">
        <v>2026</v>
      </c>
      <c r="Q79" s="14"/>
    </row>
    <row r="80" spans="1:17" x14ac:dyDescent="0.2">
      <c r="A80" s="14" t="s">
        <v>10</v>
      </c>
      <c r="B80" s="14" t="s">
        <v>188</v>
      </c>
      <c r="C80" s="14" t="s">
        <v>87</v>
      </c>
      <c r="D80" s="14" t="s">
        <v>195</v>
      </c>
      <c r="E80" s="14" t="str">
        <f>'CUOTA LTP -INDUSTRIAL'!C46</f>
        <v>NAKAL SPA INV.</v>
      </c>
      <c r="F80" s="16">
        <v>46296</v>
      </c>
      <c r="G80" s="16">
        <v>46387</v>
      </c>
      <c r="H80" s="15">
        <f>'CUOTA LTP -INDUSTRIAL'!E47</f>
        <v>5.4925600000000001</v>
      </c>
      <c r="I80" s="15">
        <f>'CUOTA LTP -INDUSTRIAL'!F47</f>
        <v>0</v>
      </c>
      <c r="J80" s="15">
        <f>'CUOTA LTP -INDUSTRIAL'!G47</f>
        <v>55.45232</v>
      </c>
      <c r="K80" s="15">
        <f>'CUOTA LTP -INDUSTRIAL'!H47</f>
        <v>0</v>
      </c>
      <c r="L80" s="15">
        <f>'CUOTA LTP -INDUSTRIAL'!I47</f>
        <v>55.45232</v>
      </c>
      <c r="M80" s="192">
        <f>'CUOTA LTP -INDUSTRIAL'!J47</f>
        <v>0</v>
      </c>
      <c r="N80" s="16" t="s">
        <v>48</v>
      </c>
      <c r="O80" s="16">
        <f>'RESUMEN '!$B$3</f>
        <v>46324</v>
      </c>
      <c r="P80" s="14">
        <v>2026</v>
      </c>
      <c r="Q80" s="14"/>
    </row>
    <row r="81" spans="1:17" x14ac:dyDescent="0.2">
      <c r="A81" s="14" t="s">
        <v>10</v>
      </c>
      <c r="B81" s="14" t="s">
        <v>188</v>
      </c>
      <c r="C81" s="14" t="s">
        <v>87</v>
      </c>
      <c r="D81" s="14" t="s">
        <v>195</v>
      </c>
      <c r="E81" s="14" t="str">
        <f>'CUOTA LTP -INDUSTRIAL'!C46</f>
        <v>NAKAL SPA INV.</v>
      </c>
      <c r="F81" s="16">
        <v>46023</v>
      </c>
      <c r="G81" s="16">
        <v>46387</v>
      </c>
      <c r="H81" s="15">
        <f>'CUOTA LTP -INDUSTRIAL'!K46</f>
        <v>55.45232</v>
      </c>
      <c r="I81" s="15">
        <f>'CUOTA LTP -INDUSTRIAL'!L46</f>
        <v>0</v>
      </c>
      <c r="J81" s="15">
        <f>'CUOTA LTP -INDUSTRIAL'!M46</f>
        <v>55.45232</v>
      </c>
      <c r="K81" s="15">
        <f>'CUOTA LTP -INDUSTRIAL'!N46</f>
        <v>0</v>
      </c>
      <c r="L81" s="15">
        <f>'CUOTA LTP -INDUSTRIAL'!O46</f>
        <v>55.45232</v>
      </c>
      <c r="M81" s="192">
        <f>'CUOTA LTP -INDUSTRIAL'!P46</f>
        <v>0</v>
      </c>
      <c r="N81" s="16" t="s">
        <v>48</v>
      </c>
      <c r="O81" s="16">
        <f>'RESUMEN '!$B$3</f>
        <v>46324</v>
      </c>
      <c r="P81" s="14">
        <v>2026</v>
      </c>
      <c r="Q81" s="14"/>
    </row>
    <row r="82" spans="1:17" x14ac:dyDescent="0.2">
      <c r="A82" s="14" t="s">
        <v>10</v>
      </c>
      <c r="B82" s="14" t="s">
        <v>188</v>
      </c>
      <c r="C82" s="14" t="s">
        <v>87</v>
      </c>
      <c r="D82" s="14" t="s">
        <v>195</v>
      </c>
      <c r="E82" s="14" t="str">
        <f>'CUOTA LTP -INDUSTRIAL'!C48</f>
        <v>NORDIOMAR SPA SOC. PESQ.</v>
      </c>
      <c r="F82" s="16">
        <v>46082</v>
      </c>
      <c r="G82" s="16">
        <v>46265</v>
      </c>
      <c r="H82" s="15">
        <f>'CUOTA LTP -INDUSTRIAL'!E48</f>
        <v>0.2656</v>
      </c>
      <c r="I82" s="15">
        <f>'CUOTA LTP -INDUSTRIAL'!F48</f>
        <v>0</v>
      </c>
      <c r="J82" s="15">
        <f>'CUOTA LTP -INDUSTRIAL'!G48</f>
        <v>0.2656</v>
      </c>
      <c r="K82" s="15">
        <f>'CUOTA LTP -INDUSTRIAL'!H48</f>
        <v>0</v>
      </c>
      <c r="L82" s="15">
        <f>'CUOTA LTP -INDUSTRIAL'!I48</f>
        <v>0.2656</v>
      </c>
      <c r="M82" s="192">
        <f>'CUOTA LTP -INDUSTRIAL'!J48</f>
        <v>0</v>
      </c>
      <c r="N82" s="16" t="s">
        <v>48</v>
      </c>
      <c r="O82" s="16">
        <f>'RESUMEN '!$B$3</f>
        <v>46324</v>
      </c>
      <c r="P82" s="14">
        <v>2026</v>
      </c>
      <c r="Q82" s="14"/>
    </row>
    <row r="83" spans="1:17" x14ac:dyDescent="0.2">
      <c r="A83" s="14" t="s">
        <v>10</v>
      </c>
      <c r="B83" s="14" t="s">
        <v>188</v>
      </c>
      <c r="C83" s="14" t="s">
        <v>87</v>
      </c>
      <c r="D83" s="14" t="s">
        <v>195</v>
      </c>
      <c r="E83" s="14" t="str">
        <f>'CUOTA LTP -INDUSTRIAL'!C48</f>
        <v>NORDIOMAR SPA SOC. PESQ.</v>
      </c>
      <c r="F83" s="16">
        <v>46296</v>
      </c>
      <c r="G83" s="16">
        <v>46387</v>
      </c>
      <c r="H83" s="15">
        <f>'CUOTA LTP -INDUSTRIAL'!E49</f>
        <v>2.92E-2</v>
      </c>
      <c r="I83" s="15">
        <f>'CUOTA LTP -INDUSTRIAL'!F49</f>
        <v>0</v>
      </c>
      <c r="J83" s="15">
        <f>'CUOTA LTP -INDUSTRIAL'!G49</f>
        <v>0.29480000000000001</v>
      </c>
      <c r="K83" s="15">
        <f>'CUOTA LTP -INDUSTRIAL'!H49</f>
        <v>0</v>
      </c>
      <c r="L83" s="15">
        <f>'CUOTA LTP -INDUSTRIAL'!I49</f>
        <v>0.29480000000000001</v>
      </c>
      <c r="M83" s="192">
        <f>'CUOTA LTP -INDUSTRIAL'!J49</f>
        <v>0</v>
      </c>
      <c r="N83" s="16" t="s">
        <v>48</v>
      </c>
      <c r="O83" s="16">
        <f>'RESUMEN '!$B$3</f>
        <v>46324</v>
      </c>
      <c r="P83" s="14">
        <v>2026</v>
      </c>
      <c r="Q83" s="14"/>
    </row>
    <row r="84" spans="1:17" x14ac:dyDescent="0.2">
      <c r="A84" s="14" t="s">
        <v>10</v>
      </c>
      <c r="B84" s="14" t="s">
        <v>188</v>
      </c>
      <c r="C84" s="14" t="s">
        <v>87</v>
      </c>
      <c r="D84" s="14" t="s">
        <v>195</v>
      </c>
      <c r="E84" s="14" t="str">
        <f>'CUOTA LTP -INDUSTRIAL'!C48</f>
        <v>NORDIOMAR SPA SOC. PESQ.</v>
      </c>
      <c r="F84" s="16">
        <v>46023</v>
      </c>
      <c r="G84" s="16">
        <v>46387</v>
      </c>
      <c r="H84" s="15">
        <f>'CUOTA LTP -INDUSTRIAL'!K48</f>
        <v>0.29480000000000001</v>
      </c>
      <c r="I84" s="15">
        <f>'CUOTA LTP -INDUSTRIAL'!L48</f>
        <v>0</v>
      </c>
      <c r="J84" s="15">
        <f>'CUOTA LTP -INDUSTRIAL'!M48</f>
        <v>0.29480000000000001</v>
      </c>
      <c r="K84" s="15">
        <f>'CUOTA LTP -INDUSTRIAL'!N48</f>
        <v>0</v>
      </c>
      <c r="L84" s="15">
        <f>'CUOTA LTP -INDUSTRIAL'!O48</f>
        <v>0.29480000000000001</v>
      </c>
      <c r="M84" s="192">
        <f>'CUOTA LTP -INDUSTRIAL'!P48</f>
        <v>0</v>
      </c>
      <c r="N84" s="16" t="s">
        <v>48</v>
      </c>
      <c r="O84" s="16">
        <f>'RESUMEN '!$B$3</f>
        <v>46324</v>
      </c>
      <c r="P84" s="14">
        <v>2026</v>
      </c>
      <c r="Q84" s="14"/>
    </row>
    <row r="85" spans="1:17" x14ac:dyDescent="0.2">
      <c r="A85" s="14" t="s">
        <v>10</v>
      </c>
      <c r="B85" s="14" t="s">
        <v>188</v>
      </c>
      <c r="C85" s="14" t="s">
        <v>87</v>
      </c>
      <c r="D85" s="14" t="s">
        <v>195</v>
      </c>
      <c r="E85" s="14" t="str">
        <f>'CUOTA LTP -INDUSTRIAL'!C50</f>
        <v>ENFERMAR LTDA. SOC. PESQ.</v>
      </c>
      <c r="F85" s="16">
        <v>46082</v>
      </c>
      <c r="G85" s="16">
        <v>46265</v>
      </c>
      <c r="H85" s="15">
        <f>'CUOTA LTP -INDUSTRIAL'!E50</f>
        <v>0.27231</v>
      </c>
      <c r="I85" s="15">
        <f>'CUOTA LTP -INDUSTRIAL'!F50</f>
        <v>0</v>
      </c>
      <c r="J85" s="15">
        <f>'CUOTA LTP -INDUSTRIAL'!G50</f>
        <v>0.27231</v>
      </c>
      <c r="K85" s="15">
        <f>'CUOTA LTP -INDUSTRIAL'!H50</f>
        <v>0</v>
      </c>
      <c r="L85" s="15">
        <f>'CUOTA LTP -INDUSTRIAL'!I50</f>
        <v>0.27231</v>
      </c>
      <c r="M85" s="192">
        <f>'CUOTA LTP -INDUSTRIAL'!J50</f>
        <v>0</v>
      </c>
      <c r="N85" s="16" t="s">
        <v>48</v>
      </c>
      <c r="O85" s="16">
        <f>'RESUMEN '!$B$3</f>
        <v>46324</v>
      </c>
      <c r="P85" s="14">
        <v>2026</v>
      </c>
      <c r="Q85" s="14"/>
    </row>
    <row r="86" spans="1:17" x14ac:dyDescent="0.2">
      <c r="A86" s="14" t="s">
        <v>10</v>
      </c>
      <c r="B86" s="14" t="s">
        <v>188</v>
      </c>
      <c r="C86" s="14" t="s">
        <v>87</v>
      </c>
      <c r="D86" s="14" t="s">
        <v>195</v>
      </c>
      <c r="E86" s="14" t="str">
        <f>'CUOTA LTP -INDUSTRIAL'!C50</f>
        <v>ENFERMAR LTDA. SOC. PESQ.</v>
      </c>
      <c r="F86" s="16">
        <v>46296</v>
      </c>
      <c r="G86" s="16">
        <v>46387</v>
      </c>
      <c r="H86" s="15">
        <f>'CUOTA LTP -INDUSTRIAL'!E51</f>
        <v>2.9940000000000001E-2</v>
      </c>
      <c r="I86" s="15">
        <f>'CUOTA LTP -INDUSTRIAL'!F51</f>
        <v>0</v>
      </c>
      <c r="J86" s="15">
        <f>'CUOTA LTP -INDUSTRIAL'!G51</f>
        <v>0.30225000000000002</v>
      </c>
      <c r="K86" s="15">
        <f>'CUOTA LTP -INDUSTRIAL'!H51</f>
        <v>0</v>
      </c>
      <c r="L86" s="15">
        <f>'CUOTA LTP -INDUSTRIAL'!I51</f>
        <v>0.30225000000000002</v>
      </c>
      <c r="M86" s="192">
        <f>'CUOTA LTP -INDUSTRIAL'!J51</f>
        <v>0</v>
      </c>
      <c r="N86" s="16" t="s">
        <v>48</v>
      </c>
      <c r="O86" s="16">
        <f>'RESUMEN '!$B$3</f>
        <v>46324</v>
      </c>
      <c r="P86" s="14">
        <v>2026</v>
      </c>
      <c r="Q86" s="14"/>
    </row>
    <row r="87" spans="1:17" x14ac:dyDescent="0.2">
      <c r="A87" s="14" t="s">
        <v>10</v>
      </c>
      <c r="B87" s="14" t="s">
        <v>188</v>
      </c>
      <c r="C87" s="14" t="s">
        <v>87</v>
      </c>
      <c r="D87" s="14" t="s">
        <v>195</v>
      </c>
      <c r="E87" s="14" t="str">
        <f>'CUOTA LTP -INDUSTRIAL'!C50</f>
        <v>ENFERMAR LTDA. SOC. PESQ.</v>
      </c>
      <c r="F87" s="16">
        <v>46023</v>
      </c>
      <c r="G87" s="16">
        <v>46387</v>
      </c>
      <c r="H87" s="15">
        <f>'CUOTA LTP -INDUSTRIAL'!K50</f>
        <v>0.30225000000000002</v>
      </c>
      <c r="I87" s="15">
        <f>'CUOTA LTP -INDUSTRIAL'!L50</f>
        <v>0</v>
      </c>
      <c r="J87" s="15">
        <f>'CUOTA LTP -INDUSTRIAL'!M50</f>
        <v>0.30225000000000002</v>
      </c>
      <c r="K87" s="15">
        <f>'CUOTA LTP -INDUSTRIAL'!N50</f>
        <v>0</v>
      </c>
      <c r="L87" s="15">
        <f>'CUOTA LTP -INDUSTRIAL'!O50</f>
        <v>0.30225000000000002</v>
      </c>
      <c r="M87" s="192">
        <f>'CUOTA LTP -INDUSTRIAL'!P50</f>
        <v>0</v>
      </c>
      <c r="N87" s="16" t="s">
        <v>48</v>
      </c>
      <c r="O87" s="16">
        <f>'RESUMEN '!$B$3</f>
        <v>46324</v>
      </c>
      <c r="P87" s="14">
        <v>2026</v>
      </c>
      <c r="Q87" s="14"/>
    </row>
    <row r="88" spans="1:17" x14ac:dyDescent="0.2">
      <c r="A88" s="246" t="s">
        <v>10</v>
      </c>
      <c r="B88" s="246" t="s">
        <v>188</v>
      </c>
      <c r="C88" s="246" t="s">
        <v>192</v>
      </c>
      <c r="D88" s="246" t="s">
        <v>196</v>
      </c>
      <c r="E88" s="246" t="s">
        <v>197</v>
      </c>
      <c r="F88" s="247">
        <v>46023</v>
      </c>
      <c r="G88" s="247">
        <v>46387</v>
      </c>
      <c r="H88" s="248">
        <f>'CUOTA LTP -INDUSTRIAL'!E54</f>
        <v>801.99994999999967</v>
      </c>
      <c r="I88" s="248">
        <f>'CUOTA LTP -INDUSTRIAL'!F54</f>
        <v>-60.920999999999999</v>
      </c>
      <c r="J88" s="248">
        <f>'CUOTA LTP -INDUSTRIAL'!G54</f>
        <v>741.07894999999962</v>
      </c>
      <c r="K88" s="248">
        <f>'CUOTA LTP -INDUSTRIAL'!H54</f>
        <v>555.28100000000006</v>
      </c>
      <c r="L88" s="248">
        <f>'CUOTA LTP -INDUSTRIAL'!I54</f>
        <v>185.79794999999956</v>
      </c>
      <c r="M88" s="249">
        <f>'CUOTA LTP -INDUSTRIAL'!J54</f>
        <v>0.74928723855940094</v>
      </c>
      <c r="N88" s="247" t="s">
        <v>48</v>
      </c>
      <c r="O88" s="247">
        <f>'RESUMEN '!$B$3</f>
        <v>46324</v>
      </c>
      <c r="P88" s="246">
        <v>2026</v>
      </c>
      <c r="Q88" s="14"/>
    </row>
    <row r="89" spans="1:17" x14ac:dyDescent="0.2">
      <c r="A89" s="14" t="s">
        <v>198</v>
      </c>
      <c r="B89" s="14" t="s">
        <v>188</v>
      </c>
      <c r="C89" s="14" t="s">
        <v>112</v>
      </c>
      <c r="D89" s="14" t="s">
        <v>199</v>
      </c>
      <c r="E89" s="14" t="str">
        <f>'CUOTA LICITADA PEP'!C13</f>
        <v>ANTARTIC SEAFOOD S.A.</v>
      </c>
      <c r="F89" s="16">
        <v>46082</v>
      </c>
      <c r="G89" s="16">
        <v>46265</v>
      </c>
      <c r="H89" s="15">
        <f>'CUOTA LICITADA PEP'!F13</f>
        <v>231.63132987</v>
      </c>
      <c r="I89" s="15">
        <f>'CUOTA LICITADA PEP'!G13</f>
        <v>0</v>
      </c>
      <c r="J89" s="15">
        <f>'CUOTA LICITADA PEP'!H13</f>
        <v>231.63132987</v>
      </c>
      <c r="K89" s="15">
        <f>'CUOTA LICITADA PEP'!I13</f>
        <v>228.70599999999999</v>
      </c>
      <c r="L89" s="15">
        <f>'CUOTA LICITADA PEP'!J13</f>
        <v>2.925329870000013</v>
      </c>
      <c r="M89" s="192">
        <f>'CUOTA LICITADA PEP'!K13</f>
        <v>0.98737075044363898</v>
      </c>
      <c r="N89" s="16" t="s">
        <v>48</v>
      </c>
      <c r="O89" s="16">
        <f>'RESUMEN '!$B$3</f>
        <v>46324</v>
      </c>
      <c r="P89" s="14">
        <v>2026</v>
      </c>
      <c r="Q89" s="14"/>
    </row>
    <row r="90" spans="1:17" x14ac:dyDescent="0.2">
      <c r="A90" s="14" t="s">
        <v>198</v>
      </c>
      <c r="B90" s="14" t="s">
        <v>188</v>
      </c>
      <c r="C90" s="14" t="s">
        <v>112</v>
      </c>
      <c r="D90" s="14" t="s">
        <v>199</v>
      </c>
      <c r="E90" s="14" t="str">
        <f>'CUOTA LICITADA PEP'!C13</f>
        <v>ANTARTIC SEAFOOD S.A.</v>
      </c>
      <c r="F90" s="16">
        <v>46296</v>
      </c>
      <c r="G90" s="16">
        <v>46387</v>
      </c>
      <c r="H90" s="15">
        <f>'CUOTA LICITADA PEP'!F14</f>
        <v>25.785790290000001</v>
      </c>
      <c r="I90" s="15">
        <f>'CUOTA LICITADA PEP'!G14</f>
        <v>0</v>
      </c>
      <c r="J90" s="15">
        <f>'CUOTA LICITADA PEP'!H14</f>
        <v>28.711120160000014</v>
      </c>
      <c r="K90" s="15">
        <f>'CUOTA LICITADA PEP'!I14</f>
        <v>0</v>
      </c>
      <c r="L90" s="15">
        <f>'CUOTA LICITADA PEP'!J14</f>
        <v>28.711120160000014</v>
      </c>
      <c r="M90" s="192">
        <f>'CUOTA LICITADA PEP'!K14</f>
        <v>0.03</v>
      </c>
      <c r="N90" s="16" t="s">
        <v>48</v>
      </c>
      <c r="O90" s="16">
        <f>'RESUMEN '!$B$3</f>
        <v>46324</v>
      </c>
      <c r="P90" s="14">
        <v>2026</v>
      </c>
      <c r="Q90" s="14"/>
    </row>
    <row r="91" spans="1:17" x14ac:dyDescent="0.2">
      <c r="A91" s="14" t="s">
        <v>198</v>
      </c>
      <c r="B91" s="14" t="s">
        <v>188</v>
      </c>
      <c r="C91" s="14" t="s">
        <v>112</v>
      </c>
      <c r="D91" s="14" t="s">
        <v>199</v>
      </c>
      <c r="E91" s="14" t="str">
        <f>'CUOTA LICITADA PEP'!C13</f>
        <v>ANTARTIC SEAFOOD S.A.</v>
      </c>
      <c r="F91" s="16">
        <v>46023</v>
      </c>
      <c r="G91" s="16">
        <v>46387</v>
      </c>
      <c r="H91" s="15">
        <f>'CUOTA LICITADA PEP'!L13</f>
        <v>257.41712016000002</v>
      </c>
      <c r="I91" s="15">
        <f>'CUOTA LICITADA PEP'!M13</f>
        <v>0</v>
      </c>
      <c r="J91" s="15">
        <f>'CUOTA LICITADA PEP'!N13</f>
        <v>257.41712016000002</v>
      </c>
      <c r="K91" s="15">
        <f>'CUOTA LICITADA PEP'!O13</f>
        <v>228.70599999999999</v>
      </c>
      <c r="L91" s="15">
        <f>'CUOTA LICITADA PEP'!P13</f>
        <v>28.711120160000036</v>
      </c>
      <c r="M91" s="192">
        <f>'CUOTA LICITADA PEP'!Q13</f>
        <v>0.8884646050652949</v>
      </c>
      <c r="N91" s="16" t="s">
        <v>48</v>
      </c>
      <c r="O91" s="16">
        <f>'RESUMEN '!$B$3</f>
        <v>46324</v>
      </c>
      <c r="P91" s="14">
        <v>2026</v>
      </c>
      <c r="Q91" s="14"/>
    </row>
    <row r="92" spans="1:17" x14ac:dyDescent="0.2">
      <c r="A92" s="14" t="s">
        <v>198</v>
      </c>
      <c r="B92" s="14" t="s">
        <v>188</v>
      </c>
      <c r="C92" s="14" t="s">
        <v>112</v>
      </c>
      <c r="D92" s="14" t="s">
        <v>199</v>
      </c>
      <c r="E92" s="14" t="str">
        <f>'CUOTA LICITADA PEP'!C15</f>
        <v>QUINTERO S.A. PESQ.</v>
      </c>
      <c r="F92" s="16">
        <v>46082</v>
      </c>
      <c r="G92" s="16">
        <v>46265</v>
      </c>
      <c r="H92" s="15">
        <f>'CUOTA LICITADA PEP'!F15</f>
        <v>0</v>
      </c>
      <c r="I92" s="15">
        <f>'CUOTA LICITADA PEP'!G15</f>
        <v>0</v>
      </c>
      <c r="J92" s="15">
        <f>'CUOTA LICITADA PEP'!H15</f>
        <v>0</v>
      </c>
      <c r="K92" s="15">
        <f>'CUOTA LICITADA PEP'!I15</f>
        <v>0</v>
      </c>
      <c r="L92" s="15">
        <f>'CUOTA LICITADA PEP'!J15</f>
        <v>0</v>
      </c>
      <c r="M92" s="192">
        <f>'CUOTA LICITADA PEP'!K15</f>
        <v>0</v>
      </c>
      <c r="N92" s="16" t="s">
        <v>48</v>
      </c>
      <c r="O92" s="16">
        <f>'RESUMEN '!$B$3</f>
        <v>46324</v>
      </c>
      <c r="P92" s="14">
        <v>2026</v>
      </c>
      <c r="Q92" s="14"/>
    </row>
    <row r="93" spans="1:17" x14ac:dyDescent="0.2">
      <c r="A93" s="14" t="s">
        <v>198</v>
      </c>
      <c r="B93" s="14" t="s">
        <v>188</v>
      </c>
      <c r="C93" s="14" t="s">
        <v>112</v>
      </c>
      <c r="D93" s="14" t="s">
        <v>199</v>
      </c>
      <c r="E93" s="14" t="str">
        <f>'CUOTA LICITADA PEP'!C15</f>
        <v>QUINTERO S.A. PESQ.</v>
      </c>
      <c r="F93" s="16">
        <v>46296</v>
      </c>
      <c r="G93" s="16">
        <v>46387</v>
      </c>
      <c r="H93" s="15">
        <f>'CUOTA LICITADA PEP'!F16</f>
        <v>0</v>
      </c>
      <c r="I93" s="15">
        <f>'CUOTA LICITADA PEP'!G16</f>
        <v>0</v>
      </c>
      <c r="J93" s="15">
        <f>'CUOTA LICITADA PEP'!H16</f>
        <v>0</v>
      </c>
      <c r="K93" s="15">
        <f>'CUOTA LICITADA PEP'!I16</f>
        <v>0</v>
      </c>
      <c r="L93" s="15">
        <f>'CUOTA LICITADA PEP'!J16</f>
        <v>0</v>
      </c>
      <c r="M93" s="192">
        <f>'CUOTA LICITADA PEP'!K16</f>
        <v>0</v>
      </c>
      <c r="N93" s="16" t="s">
        <v>48</v>
      </c>
      <c r="O93" s="16">
        <f>'RESUMEN '!$B$3</f>
        <v>46324</v>
      </c>
      <c r="P93" s="14">
        <v>2026</v>
      </c>
      <c r="Q93" s="14"/>
    </row>
    <row r="94" spans="1:17" x14ac:dyDescent="0.2">
      <c r="A94" s="14" t="s">
        <v>198</v>
      </c>
      <c r="B94" s="14" t="s">
        <v>188</v>
      </c>
      <c r="C94" s="14" t="s">
        <v>112</v>
      </c>
      <c r="D94" s="14" t="s">
        <v>199</v>
      </c>
      <c r="E94" s="14" t="str">
        <f>'CUOTA LICITADA PEP'!C15</f>
        <v>QUINTERO S.A. PESQ.</v>
      </c>
      <c r="F94" s="16">
        <v>46023</v>
      </c>
      <c r="G94" s="16">
        <v>46387</v>
      </c>
      <c r="H94" s="15">
        <f>'CUOTA LICITADA PEP'!L15</f>
        <v>0</v>
      </c>
      <c r="I94" s="15">
        <f>'CUOTA LICITADA PEP'!M15</f>
        <v>0</v>
      </c>
      <c r="J94" s="15">
        <f>'CUOTA LICITADA PEP'!N15</f>
        <v>0</v>
      </c>
      <c r="K94" s="15">
        <f>'CUOTA LICITADA PEP'!O15</f>
        <v>0</v>
      </c>
      <c r="L94" s="15">
        <f>'CUOTA LICITADA PEP'!P15</f>
        <v>0</v>
      </c>
      <c r="M94" s="192">
        <f>'CUOTA LICITADA PEP'!Q15</f>
        <v>0</v>
      </c>
      <c r="N94" s="16" t="s">
        <v>48</v>
      </c>
      <c r="O94" s="16">
        <f>'RESUMEN '!$B$3</f>
        <v>46324</v>
      </c>
      <c r="P94" s="14">
        <v>2026</v>
      </c>
      <c r="Q94" s="14"/>
    </row>
    <row r="95" spans="1:17" x14ac:dyDescent="0.2">
      <c r="A95" s="14" t="s">
        <v>198</v>
      </c>
      <c r="B95" s="14" t="s">
        <v>188</v>
      </c>
      <c r="C95" s="14" t="s">
        <v>112</v>
      </c>
      <c r="D95" s="14" t="s">
        <v>199</v>
      </c>
      <c r="E95" s="14" t="str">
        <f>'CUOTA LICITADA PEP'!C17</f>
        <v>BRACPESCA S.A.</v>
      </c>
      <c r="F95" s="16">
        <v>46082</v>
      </c>
      <c r="G95" s="16">
        <v>46265</v>
      </c>
      <c r="H95" s="15">
        <f>'CUOTA LICITADA PEP'!F17</f>
        <v>307.52260000000001</v>
      </c>
      <c r="I95" s="15">
        <f>'CUOTA LICITADA PEP'!G17</f>
        <v>0</v>
      </c>
      <c r="J95" s="15">
        <f>'CUOTA LICITADA PEP'!H17</f>
        <v>307.52260000000001</v>
      </c>
      <c r="K95" s="15">
        <f>'CUOTA LICITADA PEP'!I17</f>
        <v>301.56200000000001</v>
      </c>
      <c r="L95" s="15">
        <f>'CUOTA LICITADA PEP'!J17</f>
        <v>5.9605999999999995</v>
      </c>
      <c r="M95" s="192">
        <f>'CUOTA LICITADA PEP'!K17</f>
        <v>0.9806173595046348</v>
      </c>
      <c r="N95" s="16" t="s">
        <v>48</v>
      </c>
      <c r="O95" s="16">
        <f>'RESUMEN '!$B$3</f>
        <v>46324</v>
      </c>
      <c r="P95" s="14">
        <v>2026</v>
      </c>
      <c r="Q95" s="14"/>
    </row>
    <row r="96" spans="1:17" x14ac:dyDescent="0.2">
      <c r="A96" s="14" t="s">
        <v>198</v>
      </c>
      <c r="B96" s="14" t="s">
        <v>188</v>
      </c>
      <c r="C96" s="14" t="s">
        <v>112</v>
      </c>
      <c r="D96" s="14" t="s">
        <v>199</v>
      </c>
      <c r="E96" s="14" t="str">
        <f>'CUOTA LICITADA PEP'!C17</f>
        <v>BRACPESCA S.A.</v>
      </c>
      <c r="F96" s="16">
        <v>46296</v>
      </c>
      <c r="G96" s="16">
        <v>46387</v>
      </c>
      <c r="H96" s="15">
        <f>'CUOTA LICITADA PEP'!F18</f>
        <v>34.234200000000001</v>
      </c>
      <c r="I96" s="15">
        <f>'CUOTA LICITADA PEP'!G18</f>
        <v>0</v>
      </c>
      <c r="J96" s="15">
        <f>'CUOTA LICITADA PEP'!H18</f>
        <v>40.194800000000001</v>
      </c>
      <c r="K96" s="15">
        <f>'CUOTA LICITADA PEP'!I18</f>
        <v>21.388000000000002</v>
      </c>
      <c r="L96" s="15">
        <f>'CUOTA LICITADA PEP'!J18</f>
        <v>18.806799999999999</v>
      </c>
      <c r="M96" s="192">
        <f>'CUOTA LICITADA PEP'!K18</f>
        <v>0.53210863096718986</v>
      </c>
      <c r="N96" s="16" t="s">
        <v>48</v>
      </c>
      <c r="O96" s="16">
        <f>'RESUMEN '!$B$3</f>
        <v>46324</v>
      </c>
      <c r="P96" s="14">
        <v>2026</v>
      </c>
      <c r="Q96" s="14"/>
    </row>
    <row r="97" spans="1:17" x14ac:dyDescent="0.2">
      <c r="A97" s="14" t="s">
        <v>198</v>
      </c>
      <c r="B97" s="14" t="s">
        <v>188</v>
      </c>
      <c r="C97" s="14" t="s">
        <v>112</v>
      </c>
      <c r="D97" s="14" t="s">
        <v>199</v>
      </c>
      <c r="E97" s="14" t="str">
        <f>'CUOTA LICITADA PEP'!C17</f>
        <v>BRACPESCA S.A.</v>
      </c>
      <c r="F97" s="16">
        <v>46023</v>
      </c>
      <c r="G97" s="16">
        <v>46387</v>
      </c>
      <c r="H97" s="15">
        <f>'CUOTA LICITADA PEP'!L17</f>
        <v>341.7568</v>
      </c>
      <c r="I97" s="15">
        <f>'CUOTA LICITADA PEP'!M17</f>
        <v>0</v>
      </c>
      <c r="J97" s="15">
        <f>'CUOTA LICITADA PEP'!N17</f>
        <v>341.7568</v>
      </c>
      <c r="K97" s="15">
        <f>'CUOTA LICITADA PEP'!O17</f>
        <v>322.95</v>
      </c>
      <c r="L97" s="15">
        <f>'CUOTA LICITADA PEP'!P17</f>
        <v>18.80680000000001</v>
      </c>
      <c r="M97" s="192">
        <f>'CUOTA LICITADA PEP'!Q17</f>
        <v>0.94497022444030376</v>
      </c>
      <c r="N97" s="16" t="s">
        <v>48</v>
      </c>
      <c r="O97" s="16">
        <f>'RESUMEN '!$B$3</f>
        <v>46324</v>
      </c>
      <c r="P97" s="14">
        <v>2026</v>
      </c>
      <c r="Q97" s="14"/>
    </row>
    <row r="98" spans="1:17" x14ac:dyDescent="0.2">
      <c r="A98" s="14" t="s">
        <v>198</v>
      </c>
      <c r="B98" s="14" t="s">
        <v>188</v>
      </c>
      <c r="C98" s="14" t="s">
        <v>112</v>
      </c>
      <c r="D98" s="14" t="s">
        <v>199</v>
      </c>
      <c r="E98" s="14" t="str">
        <f>'CUOTA LICITADA PEP'!C19</f>
        <v>ANTONIO CRUZ CORDOVA NAKOUZI E.I.R.L.</v>
      </c>
      <c r="F98" s="16">
        <v>46082</v>
      </c>
      <c r="G98" s="16">
        <v>46265</v>
      </c>
      <c r="H98" s="15">
        <f>'CUOTA LICITADA PEP'!F19</f>
        <v>0</v>
      </c>
      <c r="I98" s="15">
        <f>'CUOTA LICITADA PEP'!G19</f>
        <v>0</v>
      </c>
      <c r="J98" s="15">
        <f>'CUOTA LICITADA PEP'!H19</f>
        <v>0</v>
      </c>
      <c r="K98" s="15">
        <f>'CUOTA LICITADA PEP'!I19</f>
        <v>0</v>
      </c>
      <c r="L98" s="15">
        <f>'CUOTA LICITADA PEP'!J19</f>
        <v>0</v>
      </c>
      <c r="M98" s="192">
        <f>'CUOTA LICITADA PEP'!K19</f>
        <v>0</v>
      </c>
      <c r="N98" s="16" t="s">
        <v>48</v>
      </c>
      <c r="O98" s="16">
        <f>'RESUMEN '!$B$3</f>
        <v>46324</v>
      </c>
      <c r="P98" s="14">
        <v>2026</v>
      </c>
      <c r="Q98" s="14"/>
    </row>
    <row r="99" spans="1:17" x14ac:dyDescent="0.2">
      <c r="A99" s="14" t="s">
        <v>198</v>
      </c>
      <c r="B99" s="14" t="s">
        <v>188</v>
      </c>
      <c r="C99" s="14" t="s">
        <v>112</v>
      </c>
      <c r="D99" s="14" t="s">
        <v>199</v>
      </c>
      <c r="E99" s="14" t="str">
        <f>'CUOTA LICITADA PEP'!C19</f>
        <v>ANTONIO CRUZ CORDOVA NAKOUZI E.I.R.L.</v>
      </c>
      <c r="F99" s="16">
        <v>46296</v>
      </c>
      <c r="G99" s="16">
        <v>46387</v>
      </c>
      <c r="H99" s="15">
        <f>'CUOTA LICITADA PEP'!F20</f>
        <v>0</v>
      </c>
      <c r="I99" s="15">
        <f>'CUOTA LICITADA PEP'!G20</f>
        <v>0</v>
      </c>
      <c r="J99" s="15">
        <f>'CUOTA LICITADA PEP'!H20</f>
        <v>0</v>
      </c>
      <c r="K99" s="15">
        <f>'CUOTA LICITADA PEP'!I20</f>
        <v>0</v>
      </c>
      <c r="L99" s="15">
        <f>'CUOTA LICITADA PEP'!J20</f>
        <v>0</v>
      </c>
      <c r="M99" s="192">
        <f>'CUOTA LICITADA PEP'!K20</f>
        <v>0</v>
      </c>
      <c r="N99" s="16" t="s">
        <v>48</v>
      </c>
      <c r="O99" s="16">
        <f>'RESUMEN '!$B$3</f>
        <v>46324</v>
      </c>
      <c r="P99" s="14">
        <v>2026</v>
      </c>
      <c r="Q99" s="14"/>
    </row>
    <row r="100" spans="1:17" x14ac:dyDescent="0.2">
      <c r="A100" s="14" t="s">
        <v>198</v>
      </c>
      <c r="B100" s="14" t="s">
        <v>188</v>
      </c>
      <c r="C100" s="14" t="s">
        <v>112</v>
      </c>
      <c r="D100" s="14" t="s">
        <v>199</v>
      </c>
      <c r="E100" s="14" t="str">
        <f>'CUOTA LICITADA PEP'!C19</f>
        <v>ANTONIO CRUZ CORDOVA NAKOUZI E.I.R.L.</v>
      </c>
      <c r="F100" s="16">
        <v>46023</v>
      </c>
      <c r="G100" s="16">
        <v>46387</v>
      </c>
      <c r="H100" s="15">
        <f>'CUOTA LICITADA PEP'!L19</f>
        <v>0</v>
      </c>
      <c r="I100" s="15">
        <f>'CUOTA LICITADA PEP'!M19</f>
        <v>0</v>
      </c>
      <c r="J100" s="15">
        <f>'CUOTA LICITADA PEP'!N19</f>
        <v>0</v>
      </c>
      <c r="K100" s="15">
        <f>'CUOTA LICITADA PEP'!O19</f>
        <v>0</v>
      </c>
      <c r="L100" s="15">
        <f>'CUOTA LICITADA PEP'!P19</f>
        <v>0</v>
      </c>
      <c r="M100" s="192">
        <f>'CUOTA LICITADA PEP'!Q19</f>
        <v>0</v>
      </c>
      <c r="N100" s="16" t="s">
        <v>48</v>
      </c>
      <c r="O100" s="16">
        <f>'RESUMEN '!$B$3</f>
        <v>46324</v>
      </c>
      <c r="P100" s="14">
        <v>2026</v>
      </c>
      <c r="Q100" s="14"/>
    </row>
    <row r="101" spans="1:17" x14ac:dyDescent="0.2">
      <c r="A101" s="14" t="s">
        <v>198</v>
      </c>
      <c r="B101" s="14" t="s">
        <v>188</v>
      </c>
      <c r="C101" s="14" t="s">
        <v>112</v>
      </c>
      <c r="D101" s="14" t="s">
        <v>199</v>
      </c>
      <c r="E101" s="14" t="str">
        <f>'CUOTA LICITADA PEP'!C21</f>
        <v>GRIMAR S.A. PESQ.</v>
      </c>
      <c r="F101" s="16">
        <v>46082</v>
      </c>
      <c r="G101" s="16">
        <v>46265</v>
      </c>
      <c r="H101" s="15">
        <f>'CUOTA LICITADA PEP'!F21</f>
        <v>0.38228023000000005</v>
      </c>
      <c r="I101" s="15">
        <f>'CUOTA LICITADA PEP'!G21</f>
        <v>0</v>
      </c>
      <c r="J101" s="15">
        <f>'CUOTA LICITADA PEP'!H21</f>
        <v>0.38228023000000005</v>
      </c>
      <c r="K101" s="15">
        <f>'CUOTA LICITADA PEP'!I21</f>
        <v>0</v>
      </c>
      <c r="L101" s="15">
        <f>'CUOTA LICITADA PEP'!J21</f>
        <v>0.38228023000000005</v>
      </c>
      <c r="M101" s="192">
        <f>'CUOTA LICITADA PEP'!K21</f>
        <v>0</v>
      </c>
      <c r="N101" s="16" t="s">
        <v>48</v>
      </c>
      <c r="O101" s="16">
        <f>'RESUMEN '!$B$3</f>
        <v>46324</v>
      </c>
      <c r="P101" s="14">
        <v>2026</v>
      </c>
      <c r="Q101" s="14"/>
    </row>
    <row r="102" spans="1:17" x14ac:dyDescent="0.2">
      <c r="A102" s="14" t="s">
        <v>198</v>
      </c>
      <c r="B102" s="14" t="s">
        <v>188</v>
      </c>
      <c r="C102" s="14" t="s">
        <v>112</v>
      </c>
      <c r="D102" s="14" t="s">
        <v>199</v>
      </c>
      <c r="E102" s="14" t="str">
        <f>'CUOTA LICITADA PEP'!C21</f>
        <v>GRIMAR S.A. PESQ.</v>
      </c>
      <c r="F102" s="16">
        <v>46296</v>
      </c>
      <c r="G102" s="16">
        <v>46387</v>
      </c>
      <c r="H102" s="15">
        <f>'CUOTA LICITADA PEP'!F22</f>
        <v>4.2556410000000003E-2</v>
      </c>
      <c r="I102" s="15">
        <f>'CUOTA LICITADA PEP'!G22</f>
        <v>0</v>
      </c>
      <c r="J102" s="15">
        <f>'CUOTA LICITADA PEP'!H22</f>
        <v>0.42483664000000004</v>
      </c>
      <c r="K102" s="15">
        <f>'CUOTA LICITADA PEP'!I22</f>
        <v>0</v>
      </c>
      <c r="L102" s="15">
        <f>'CUOTA LICITADA PEP'!J22</f>
        <v>0.42483664000000004</v>
      </c>
      <c r="M102" s="192">
        <f>'CUOTA LICITADA PEP'!K22</f>
        <v>0</v>
      </c>
      <c r="N102" s="16" t="s">
        <v>48</v>
      </c>
      <c r="O102" s="16">
        <f>'RESUMEN '!$B$3</f>
        <v>46324</v>
      </c>
      <c r="P102" s="14">
        <v>2026</v>
      </c>
      <c r="Q102" s="14"/>
    </row>
    <row r="103" spans="1:17" x14ac:dyDescent="0.2">
      <c r="A103" s="14" t="s">
        <v>198</v>
      </c>
      <c r="B103" s="14" t="s">
        <v>188</v>
      </c>
      <c r="C103" s="14" t="s">
        <v>112</v>
      </c>
      <c r="D103" s="14" t="s">
        <v>199</v>
      </c>
      <c r="E103" s="14" t="str">
        <f>'CUOTA LICITADA PEP'!C21</f>
        <v>GRIMAR S.A. PESQ.</v>
      </c>
      <c r="F103" s="16">
        <v>46023</v>
      </c>
      <c r="G103" s="16">
        <v>46387</v>
      </c>
      <c r="H103" s="15">
        <f>'CUOTA LICITADA PEP'!L21</f>
        <v>0.42483664000000004</v>
      </c>
      <c r="I103" s="15">
        <f>'CUOTA LICITADA PEP'!M21</f>
        <v>0</v>
      </c>
      <c r="J103" s="15">
        <f>'CUOTA LICITADA PEP'!N21</f>
        <v>0.42483664000000004</v>
      </c>
      <c r="K103" s="15">
        <f>'CUOTA LICITADA PEP'!O21</f>
        <v>0</v>
      </c>
      <c r="L103" s="15">
        <f>'CUOTA LICITADA PEP'!P21</f>
        <v>0.42483664000000004</v>
      </c>
      <c r="M103" s="192">
        <f>'CUOTA LICITADA PEP'!Q21</f>
        <v>0</v>
      </c>
      <c r="N103" s="16" t="s">
        <v>48</v>
      </c>
      <c r="O103" s="16">
        <f>'RESUMEN '!$B$3</f>
        <v>46324</v>
      </c>
      <c r="P103" s="14">
        <v>2026</v>
      </c>
      <c r="Q103" s="14"/>
    </row>
    <row r="104" spans="1:17" x14ac:dyDescent="0.2">
      <c r="A104" s="14" t="s">
        <v>198</v>
      </c>
      <c r="B104" s="14" t="s">
        <v>188</v>
      </c>
      <c r="C104" s="14" t="s">
        <v>112</v>
      </c>
      <c r="D104" s="14" t="s">
        <v>199</v>
      </c>
      <c r="E104" s="14" t="str">
        <f>'CUOTA LICITADA PEP'!C23</f>
        <v>ISLADAMAS S.A. PESQ.</v>
      </c>
      <c r="F104" s="16">
        <v>46082</v>
      </c>
      <c r="G104" s="16">
        <v>46265</v>
      </c>
      <c r="H104" s="15">
        <f>'CUOTA LICITADA PEP'!F23</f>
        <v>107.55397989999999</v>
      </c>
      <c r="I104" s="15">
        <f>'CUOTA LICITADA PEP'!G23</f>
        <v>17.52</v>
      </c>
      <c r="J104" s="15">
        <f>'CUOTA LICITADA PEP'!H23</f>
        <v>125.07397989999998</v>
      </c>
      <c r="K104" s="15">
        <f>'CUOTA LICITADA PEP'!I23</f>
        <v>120.646</v>
      </c>
      <c r="L104" s="15">
        <f>'CUOTA LICITADA PEP'!J23</f>
        <v>4.4279798999999826</v>
      </c>
      <c r="M104" s="192">
        <f>'CUOTA LICITADA PEP'!K23</f>
        <v>0.96459711361595535</v>
      </c>
      <c r="N104" s="16" t="s">
        <v>48</v>
      </c>
      <c r="O104" s="16">
        <f>'RESUMEN '!$B$3</f>
        <v>46324</v>
      </c>
      <c r="P104" s="14">
        <v>2026</v>
      </c>
      <c r="Q104" s="14"/>
    </row>
    <row r="105" spans="1:17" x14ac:dyDescent="0.2">
      <c r="A105" s="14" t="s">
        <v>198</v>
      </c>
      <c r="B105" s="14" t="s">
        <v>188</v>
      </c>
      <c r="C105" s="14" t="s">
        <v>112</v>
      </c>
      <c r="D105" s="14" t="s">
        <v>199</v>
      </c>
      <c r="E105" s="14" t="str">
        <f>'CUOTA LICITADA PEP'!C23</f>
        <v>ISLADAMAS S.A. PESQ.</v>
      </c>
      <c r="F105" s="16">
        <v>46296</v>
      </c>
      <c r="G105" s="16">
        <v>46387</v>
      </c>
      <c r="H105" s="15">
        <f>'CUOTA LICITADA PEP'!F24</f>
        <v>11.973183299999999</v>
      </c>
      <c r="I105" s="15">
        <f>'CUOTA LICITADA PEP'!G24</f>
        <v>0</v>
      </c>
      <c r="J105" s="15">
        <f>'CUOTA LICITADA PEP'!H24</f>
        <v>16.401163199999981</v>
      </c>
      <c r="K105" s="15">
        <f>'CUOTA LICITADA PEP'!I24</f>
        <v>12.481</v>
      </c>
      <c r="L105" s="15">
        <f>'CUOTA LICITADA PEP'!J24</f>
        <v>3.9201631999999815</v>
      </c>
      <c r="M105" s="192">
        <f>'CUOTA LICITADA PEP'!K24</f>
        <v>0.76098261128210798</v>
      </c>
      <c r="N105" s="16" t="s">
        <v>48</v>
      </c>
      <c r="O105" s="16">
        <f>'RESUMEN '!$B$3</f>
        <v>46324</v>
      </c>
      <c r="P105" s="14">
        <v>2026</v>
      </c>
      <c r="Q105" s="14"/>
    </row>
    <row r="106" spans="1:17" x14ac:dyDescent="0.2">
      <c r="A106" s="14" t="s">
        <v>198</v>
      </c>
      <c r="B106" s="14" t="s">
        <v>188</v>
      </c>
      <c r="C106" s="14" t="s">
        <v>112</v>
      </c>
      <c r="D106" s="14" t="s">
        <v>199</v>
      </c>
      <c r="E106" s="14" t="str">
        <f>'CUOTA LICITADA PEP'!C23</f>
        <v>ISLADAMAS S.A. PESQ.</v>
      </c>
      <c r="F106" s="16">
        <v>46023</v>
      </c>
      <c r="G106" s="16">
        <v>46387</v>
      </c>
      <c r="H106" s="15">
        <f>'CUOTA LICITADA PEP'!L23</f>
        <v>119.52716319999999</v>
      </c>
      <c r="I106" s="15">
        <f>'CUOTA LICITADA PEP'!M23</f>
        <v>17.52</v>
      </c>
      <c r="J106" s="15">
        <f>'CUOTA LICITADA PEP'!N23</f>
        <v>137.0471632</v>
      </c>
      <c r="K106" s="15">
        <f>'CUOTA LICITADA PEP'!O23</f>
        <v>133.12700000000001</v>
      </c>
      <c r="L106" s="15">
        <f>'CUOTA LICITADA PEP'!P23</f>
        <v>3.9201631999999904</v>
      </c>
      <c r="M106" s="192">
        <f>'CUOTA LICITADA PEP'!Q23</f>
        <v>0.97139551736449226</v>
      </c>
      <c r="N106" s="16" t="s">
        <v>48</v>
      </c>
      <c r="O106" s="16">
        <f>'RESUMEN '!$B$3</f>
        <v>46324</v>
      </c>
      <c r="P106" s="14">
        <v>2026</v>
      </c>
      <c r="Q106" s="14"/>
    </row>
    <row r="107" spans="1:17" x14ac:dyDescent="0.2">
      <c r="A107" s="14" t="s">
        <v>198</v>
      </c>
      <c r="B107" s="14" t="s">
        <v>188</v>
      </c>
      <c r="C107" s="14" t="s">
        <v>112</v>
      </c>
      <c r="D107" s="14" t="s">
        <v>199</v>
      </c>
      <c r="E107" s="14" t="str">
        <f>'CUOTA LICITADA PEP'!C25</f>
        <v>LANDES S.A. PESQ.</v>
      </c>
      <c r="F107" s="16">
        <v>46082</v>
      </c>
      <c r="G107" s="16">
        <v>46265</v>
      </c>
      <c r="H107" s="15">
        <f>'CUOTA LICITADA PEP'!F25</f>
        <v>1.0509999999999999</v>
      </c>
      <c r="I107" s="15">
        <f>'CUOTA LICITADA PEP'!G25</f>
        <v>0</v>
      </c>
      <c r="J107" s="15">
        <f>'CUOTA LICITADA PEP'!H25</f>
        <v>1.0509999999999999</v>
      </c>
      <c r="K107" s="15">
        <f>'CUOTA LICITADA PEP'!I25</f>
        <v>0</v>
      </c>
      <c r="L107" s="15">
        <f>'CUOTA LICITADA PEP'!J25</f>
        <v>1.0509999999999999</v>
      </c>
      <c r="M107" s="192">
        <f>'CUOTA LICITADA PEP'!K25</f>
        <v>0</v>
      </c>
      <c r="N107" s="16" t="s">
        <v>48</v>
      </c>
      <c r="O107" s="16">
        <f>'RESUMEN '!$B$3</f>
        <v>46324</v>
      </c>
      <c r="P107" s="14">
        <v>2026</v>
      </c>
      <c r="Q107" s="14"/>
    </row>
    <row r="108" spans="1:17" x14ac:dyDescent="0.2">
      <c r="A108" s="14" t="s">
        <v>198</v>
      </c>
      <c r="B108" s="14" t="s">
        <v>188</v>
      </c>
      <c r="C108" s="14" t="s">
        <v>112</v>
      </c>
      <c r="D108" s="14" t="s">
        <v>199</v>
      </c>
      <c r="E108" s="14" t="str">
        <f>'CUOTA LICITADA PEP'!C25</f>
        <v>LANDES S.A. PESQ.</v>
      </c>
      <c r="F108" s="16">
        <v>46296</v>
      </c>
      <c r="G108" s="16">
        <v>46387</v>
      </c>
      <c r="H108" s="15">
        <f>'CUOTA LICITADA PEP'!F26</f>
        <v>0.11700000000000001</v>
      </c>
      <c r="I108" s="15">
        <f>'CUOTA LICITADA PEP'!G26</f>
        <v>0</v>
      </c>
      <c r="J108" s="15">
        <f>'CUOTA LICITADA PEP'!H26</f>
        <v>1.1679999999999999</v>
      </c>
      <c r="K108" s="15">
        <f>'CUOTA LICITADA PEP'!I26</f>
        <v>0</v>
      </c>
      <c r="L108" s="15">
        <f>'CUOTA LICITADA PEP'!J26</f>
        <v>1.1679999999999999</v>
      </c>
      <c r="M108" s="192">
        <f>'CUOTA LICITADA PEP'!K26</f>
        <v>0</v>
      </c>
      <c r="N108" s="16" t="s">
        <v>48</v>
      </c>
      <c r="O108" s="16">
        <f>'RESUMEN '!$B$3</f>
        <v>46324</v>
      </c>
      <c r="P108" s="14">
        <v>2026</v>
      </c>
      <c r="Q108" s="14"/>
    </row>
    <row r="109" spans="1:17" x14ac:dyDescent="0.2">
      <c r="A109" s="14" t="s">
        <v>198</v>
      </c>
      <c r="B109" s="14" t="s">
        <v>188</v>
      </c>
      <c r="C109" s="14" t="s">
        <v>112</v>
      </c>
      <c r="D109" s="14" t="s">
        <v>199</v>
      </c>
      <c r="E109" s="14" t="str">
        <f>'CUOTA LICITADA PEP'!C25</f>
        <v>LANDES S.A. PESQ.</v>
      </c>
      <c r="F109" s="16">
        <v>46023</v>
      </c>
      <c r="G109" s="16">
        <v>46387</v>
      </c>
      <c r="H109" s="15">
        <f>'CUOTA LICITADA PEP'!L25</f>
        <v>1.1679999999999999</v>
      </c>
      <c r="I109" s="15">
        <f>'CUOTA LICITADA PEP'!M25</f>
        <v>0</v>
      </c>
      <c r="J109" s="15">
        <f>'CUOTA LICITADA PEP'!N25</f>
        <v>1.1679999999999999</v>
      </c>
      <c r="K109" s="15">
        <f>'CUOTA LICITADA PEP'!O25</f>
        <v>0</v>
      </c>
      <c r="L109" s="15">
        <f>'CUOTA LICITADA PEP'!P25</f>
        <v>1.1679999999999999</v>
      </c>
      <c r="M109" s="192">
        <f>'CUOTA LICITADA PEP'!Q25</f>
        <v>0</v>
      </c>
      <c r="N109" s="16" t="s">
        <v>48</v>
      </c>
      <c r="O109" s="16">
        <f>'RESUMEN '!$B$3</f>
        <v>46324</v>
      </c>
      <c r="P109" s="14">
        <v>2026</v>
      </c>
      <c r="Q109" s="14"/>
    </row>
    <row r="110" spans="1:17" x14ac:dyDescent="0.2">
      <c r="A110" s="14" t="s">
        <v>198</v>
      </c>
      <c r="B110" s="14" t="s">
        <v>188</v>
      </c>
      <c r="C110" s="14" t="s">
        <v>112</v>
      </c>
      <c r="D110" s="14" t="s">
        <v>199</v>
      </c>
      <c r="E110" s="14" t="str">
        <f>'CUOTA LICITADA PEP'!C27</f>
        <v>JUAN RUBIO VALENZUELA</v>
      </c>
      <c r="F110" s="16">
        <v>46082</v>
      </c>
      <c r="G110" s="16">
        <v>46265</v>
      </c>
      <c r="H110" s="15">
        <f>'CUOTA LICITADA PEP'!F27</f>
        <v>23.857700000000001</v>
      </c>
      <c r="I110" s="15">
        <f>'CUOTA LICITADA PEP'!G27</f>
        <v>-26.513999999999999</v>
      </c>
      <c r="J110" s="15">
        <f>'CUOTA LICITADA PEP'!H27</f>
        <v>-2.6562999999999981</v>
      </c>
      <c r="K110" s="15">
        <f>'CUOTA LICITADA PEP'!I27</f>
        <v>0</v>
      </c>
      <c r="L110" s="15">
        <f>'CUOTA LICITADA PEP'!J27</f>
        <v>-2.6562999999999981</v>
      </c>
      <c r="M110" s="192">
        <f>'CUOTA LICITADA PEP'!K27</f>
        <v>0</v>
      </c>
      <c r="N110" s="16" t="s">
        <v>48</v>
      </c>
      <c r="O110" s="16">
        <f>'RESUMEN '!$B$3</f>
        <v>46324</v>
      </c>
      <c r="P110" s="14">
        <v>2026</v>
      </c>
      <c r="Q110" s="14"/>
    </row>
    <row r="111" spans="1:17" x14ac:dyDescent="0.2">
      <c r="A111" s="14" t="s">
        <v>198</v>
      </c>
      <c r="B111" s="14" t="s">
        <v>188</v>
      </c>
      <c r="C111" s="14" t="s">
        <v>112</v>
      </c>
      <c r="D111" s="14" t="s">
        <v>199</v>
      </c>
      <c r="E111" s="14" t="str">
        <f>'CUOTA LICITADA PEP'!C27</f>
        <v>JUAN RUBIO VALENZUELA</v>
      </c>
      <c r="F111" s="16">
        <v>46296</v>
      </c>
      <c r="G111" s="16">
        <v>46387</v>
      </c>
      <c r="H111" s="15">
        <f>'CUOTA LICITADA PEP'!F28</f>
        <v>2.6559000000000004</v>
      </c>
      <c r="I111" s="15">
        <f>'CUOTA LICITADA PEP'!G28</f>
        <v>0</v>
      </c>
      <c r="J111" s="15">
        <f>'CUOTA LICITADA PEP'!H28</f>
        <v>-3.999999999977355E-4</v>
      </c>
      <c r="K111" s="15">
        <f>'CUOTA LICITADA PEP'!I28</f>
        <v>0</v>
      </c>
      <c r="L111" s="15">
        <f>'CUOTA LICITADA PEP'!J28</f>
        <v>-3.999999999977355E-4</v>
      </c>
      <c r="M111" s="192">
        <f>'CUOTA LICITADA PEP'!K28</f>
        <v>0</v>
      </c>
      <c r="N111" s="16" t="s">
        <v>48</v>
      </c>
      <c r="O111" s="16">
        <f>'RESUMEN '!$B$3</f>
        <v>46324</v>
      </c>
      <c r="P111" s="14">
        <v>2026</v>
      </c>
      <c r="Q111" s="14"/>
    </row>
    <row r="112" spans="1:17" x14ac:dyDescent="0.2">
      <c r="A112" s="14" t="s">
        <v>198</v>
      </c>
      <c r="B112" s="14" t="s">
        <v>188</v>
      </c>
      <c r="C112" s="14" t="s">
        <v>112</v>
      </c>
      <c r="D112" s="14" t="s">
        <v>199</v>
      </c>
      <c r="E112" s="14" t="str">
        <f>'CUOTA LICITADA PEP'!C27</f>
        <v>JUAN RUBIO VALENZUELA</v>
      </c>
      <c r="F112" s="16">
        <v>46023</v>
      </c>
      <c r="G112" s="16">
        <v>46387</v>
      </c>
      <c r="H112" s="15">
        <f>'CUOTA LICITADA PEP'!L27</f>
        <v>26.5136</v>
      </c>
      <c r="I112" s="15">
        <f>'CUOTA LICITADA PEP'!M27</f>
        <v>-26.513999999999999</v>
      </c>
      <c r="J112" s="15">
        <f>'CUOTA LICITADA PEP'!N27</f>
        <v>-3.9999999999906777E-4</v>
      </c>
      <c r="K112" s="15">
        <f>'CUOTA LICITADA PEP'!O27</f>
        <v>0</v>
      </c>
      <c r="L112" s="15">
        <f>'CUOTA LICITADA PEP'!P27</f>
        <v>-3.9999999999906777E-4</v>
      </c>
      <c r="M112" s="192">
        <f>'CUOTA LICITADA PEP'!Q27</f>
        <v>0</v>
      </c>
      <c r="N112" s="16" t="s">
        <v>48</v>
      </c>
      <c r="O112" s="16">
        <f>'RESUMEN '!$B$3</f>
        <v>46324</v>
      </c>
      <c r="P112" s="14">
        <v>2026</v>
      </c>
      <c r="Q112" s="14"/>
    </row>
    <row r="113" spans="1:17" x14ac:dyDescent="0.2">
      <c r="A113" s="14" t="s">
        <v>198</v>
      </c>
      <c r="B113" s="14" t="s">
        <v>188</v>
      </c>
      <c r="C113" s="14" t="s">
        <v>112</v>
      </c>
      <c r="D113" s="14" t="s">
        <v>199</v>
      </c>
      <c r="E113" s="14" t="str">
        <f>'CUOTA LICITADA PEP'!C29</f>
        <v>PACIFICBLU SPA.</v>
      </c>
      <c r="F113" s="16">
        <v>46082</v>
      </c>
      <c r="G113" s="16">
        <v>46265</v>
      </c>
      <c r="H113" s="15">
        <f>'CUOTA LICITADA PEP'!F29</f>
        <v>33.547920000000005</v>
      </c>
      <c r="I113" s="15">
        <f>'CUOTA LICITADA PEP'!G29</f>
        <v>0</v>
      </c>
      <c r="J113" s="15">
        <f>'CUOTA LICITADA PEP'!H29</f>
        <v>33.547920000000005</v>
      </c>
      <c r="K113" s="15">
        <f>'CUOTA LICITADA PEP'!I29</f>
        <v>0</v>
      </c>
      <c r="L113" s="15">
        <f>'CUOTA LICITADA PEP'!J29</f>
        <v>33.547920000000005</v>
      </c>
      <c r="M113" s="192">
        <f>'CUOTA LICITADA PEP'!K29</f>
        <v>0</v>
      </c>
      <c r="N113" s="16" t="s">
        <v>48</v>
      </c>
      <c r="O113" s="16">
        <f>'RESUMEN '!$B$3</f>
        <v>46324</v>
      </c>
      <c r="P113" s="14">
        <v>2026</v>
      </c>
      <c r="Q113" s="14"/>
    </row>
    <row r="114" spans="1:17" x14ac:dyDescent="0.2">
      <c r="A114" s="14" t="s">
        <v>198</v>
      </c>
      <c r="B114" s="14" t="s">
        <v>188</v>
      </c>
      <c r="C114" s="14" t="s">
        <v>112</v>
      </c>
      <c r="D114" s="14" t="s">
        <v>199</v>
      </c>
      <c r="E114" s="14" t="str">
        <f>'CUOTA LICITADA PEP'!C29</f>
        <v>PACIFICBLU SPA.</v>
      </c>
      <c r="F114" s="16">
        <v>46296</v>
      </c>
      <c r="G114" s="16">
        <v>46387</v>
      </c>
      <c r="H114" s="15">
        <f>'CUOTA LICITADA PEP'!F30</f>
        <v>3.7346400000000006</v>
      </c>
      <c r="I114" s="15">
        <f>'CUOTA LICITADA PEP'!G30</f>
        <v>0</v>
      </c>
      <c r="J114" s="15">
        <f>'CUOTA LICITADA PEP'!H30</f>
        <v>37.282560000000004</v>
      </c>
      <c r="K114" s="15">
        <f>'CUOTA LICITADA PEP'!I30</f>
        <v>0</v>
      </c>
      <c r="L114" s="15">
        <f>'CUOTA LICITADA PEP'!J30</f>
        <v>37.282560000000004</v>
      </c>
      <c r="M114" s="192">
        <f>'CUOTA LICITADA PEP'!K30</f>
        <v>0</v>
      </c>
      <c r="N114" s="16" t="s">
        <v>48</v>
      </c>
      <c r="O114" s="16">
        <f>'RESUMEN '!$B$3</f>
        <v>46324</v>
      </c>
      <c r="P114" s="14">
        <v>2026</v>
      </c>
      <c r="Q114" s="14"/>
    </row>
    <row r="115" spans="1:17" x14ac:dyDescent="0.2">
      <c r="A115" s="14" t="s">
        <v>198</v>
      </c>
      <c r="B115" s="14" t="s">
        <v>188</v>
      </c>
      <c r="C115" s="14" t="s">
        <v>112</v>
      </c>
      <c r="D115" s="14" t="s">
        <v>199</v>
      </c>
      <c r="E115" s="14" t="str">
        <f>'CUOTA LICITADA PEP'!C29</f>
        <v>PACIFICBLU SPA.</v>
      </c>
      <c r="F115" s="16">
        <v>46023</v>
      </c>
      <c r="G115" s="16">
        <v>46387</v>
      </c>
      <c r="H115" s="15">
        <f>'CUOTA LICITADA PEP'!L29</f>
        <v>37.282560000000004</v>
      </c>
      <c r="I115" s="15">
        <f>'CUOTA LICITADA PEP'!M29</f>
        <v>0</v>
      </c>
      <c r="J115" s="15">
        <f>'CUOTA LICITADA PEP'!N29</f>
        <v>37.282560000000004</v>
      </c>
      <c r="K115" s="15">
        <f>'CUOTA LICITADA PEP'!O29</f>
        <v>0</v>
      </c>
      <c r="L115" s="15">
        <f>'CUOTA LICITADA PEP'!P29</f>
        <v>37.282560000000004</v>
      </c>
      <c r="M115" s="192">
        <f>'CUOTA LICITADA PEP'!Q29</f>
        <v>0</v>
      </c>
      <c r="N115" s="16" t="s">
        <v>48</v>
      </c>
      <c r="O115" s="16">
        <f>'RESUMEN '!$B$3</f>
        <v>46324</v>
      </c>
      <c r="P115" s="14">
        <v>2026</v>
      </c>
      <c r="Q115" s="14"/>
    </row>
    <row r="116" spans="1:17" x14ac:dyDescent="0.2">
      <c r="A116" s="14" t="s">
        <v>198</v>
      </c>
      <c r="B116" s="14" t="s">
        <v>188</v>
      </c>
      <c r="C116" s="14" t="s">
        <v>112</v>
      </c>
      <c r="D116" s="14" t="s">
        <v>199</v>
      </c>
      <c r="E116" s="14" t="str">
        <f>'CUOTA LICITADA PEP'!C31</f>
        <v>ERIC ARAVENA ARAVENA</v>
      </c>
      <c r="F116" s="16">
        <v>46082</v>
      </c>
      <c r="G116" s="16">
        <v>46265</v>
      </c>
      <c r="H116" s="15">
        <f>'CUOTA LICITADA PEP'!F31</f>
        <v>0.52970399999999995</v>
      </c>
      <c r="I116" s="15">
        <f>'CUOTA LICITADA PEP'!G31</f>
        <v>0</v>
      </c>
      <c r="J116" s="15">
        <f>'CUOTA LICITADA PEP'!H31</f>
        <v>0.52970399999999995</v>
      </c>
      <c r="K116" s="15">
        <f>'CUOTA LICITADA PEP'!I31</f>
        <v>0</v>
      </c>
      <c r="L116" s="15">
        <f>'CUOTA LICITADA PEP'!J31</f>
        <v>0.52970399999999995</v>
      </c>
      <c r="M116" s="192">
        <f>'CUOTA LICITADA PEP'!K31</f>
        <v>0</v>
      </c>
      <c r="N116" s="16" t="s">
        <v>48</v>
      </c>
      <c r="O116" s="16">
        <f>'RESUMEN '!$B$3</f>
        <v>46324</v>
      </c>
      <c r="P116" s="14">
        <v>2026</v>
      </c>
      <c r="Q116" s="14"/>
    </row>
    <row r="117" spans="1:17" x14ac:dyDescent="0.2">
      <c r="A117" s="14" t="s">
        <v>198</v>
      </c>
      <c r="B117" s="14" t="s">
        <v>188</v>
      </c>
      <c r="C117" s="14" t="s">
        <v>112</v>
      </c>
      <c r="D117" s="14" t="s">
        <v>199</v>
      </c>
      <c r="E117" s="14" t="str">
        <f>'CUOTA LICITADA PEP'!C31</f>
        <v>ERIC ARAVENA ARAVENA</v>
      </c>
      <c r="F117" s="16">
        <v>46296</v>
      </c>
      <c r="G117" s="16">
        <v>46387</v>
      </c>
      <c r="H117" s="15">
        <f>'CUOTA LICITADA PEP'!F32</f>
        <v>5.8968E-2</v>
      </c>
      <c r="I117" s="15">
        <f>'CUOTA LICITADA PEP'!G32</f>
        <v>0</v>
      </c>
      <c r="J117" s="15">
        <f>'CUOTA LICITADA PEP'!H32</f>
        <v>0.58867199999999997</v>
      </c>
      <c r="K117" s="15">
        <f>'CUOTA LICITADA PEP'!I32</f>
        <v>0</v>
      </c>
      <c r="L117" s="15">
        <f>'CUOTA LICITADA PEP'!J32</f>
        <v>0.58867199999999997</v>
      </c>
      <c r="M117" s="192">
        <f>'CUOTA LICITADA PEP'!K32</f>
        <v>0</v>
      </c>
      <c r="N117" s="16" t="s">
        <v>48</v>
      </c>
      <c r="O117" s="16">
        <f>'RESUMEN '!$B$3</f>
        <v>46324</v>
      </c>
      <c r="P117" s="14">
        <v>2026</v>
      </c>
      <c r="Q117" s="14"/>
    </row>
    <row r="118" spans="1:17" x14ac:dyDescent="0.2">
      <c r="A118" s="14" t="s">
        <v>198</v>
      </c>
      <c r="B118" s="14" t="s">
        <v>188</v>
      </c>
      <c r="C118" s="14" t="s">
        <v>112</v>
      </c>
      <c r="D118" s="14" t="s">
        <v>199</v>
      </c>
      <c r="E118" s="14" t="str">
        <f>'CUOTA LICITADA PEP'!C31</f>
        <v>ERIC ARAVENA ARAVENA</v>
      </c>
      <c r="F118" s="16">
        <v>46023</v>
      </c>
      <c r="G118" s="16">
        <v>46387</v>
      </c>
      <c r="H118" s="15">
        <f>'CUOTA LICITADA PEP'!L31</f>
        <v>0.58867199999999997</v>
      </c>
      <c r="I118" s="15">
        <f>'CUOTA LICITADA PEP'!M31</f>
        <v>0</v>
      </c>
      <c r="J118" s="15">
        <f>'CUOTA LICITADA PEP'!N31</f>
        <v>0.58867199999999997</v>
      </c>
      <c r="K118" s="15">
        <f>'CUOTA LICITADA PEP'!O31</f>
        <v>0</v>
      </c>
      <c r="L118" s="15">
        <f>'CUOTA LICITADA PEP'!P31</f>
        <v>0.58867199999999997</v>
      </c>
      <c r="M118" s="192">
        <f>'CUOTA LICITADA PEP'!Q31</f>
        <v>0</v>
      </c>
      <c r="N118" s="16" t="s">
        <v>48</v>
      </c>
      <c r="O118" s="16">
        <f>'RESUMEN '!$B$3</f>
        <v>46324</v>
      </c>
      <c r="P118" s="14">
        <v>2026</v>
      </c>
      <c r="Q118" s="14"/>
    </row>
    <row r="119" spans="1:17" x14ac:dyDescent="0.2">
      <c r="A119" s="14" t="s">
        <v>198</v>
      </c>
      <c r="B119" s="14" t="s">
        <v>188</v>
      </c>
      <c r="C119" s="14" t="s">
        <v>112</v>
      </c>
      <c r="D119" s="14" t="s">
        <v>199</v>
      </c>
      <c r="E119" s="14" t="str">
        <f>'CUOTA LICITADA PEP'!C33</f>
        <v>ENFEMAR LTDA. SOC. PESQ.</v>
      </c>
      <c r="F119" s="16">
        <v>46082</v>
      </c>
      <c r="G119" s="16">
        <v>46265</v>
      </c>
      <c r="H119" s="15">
        <f>'CUOTA LICITADA PEP'!F33</f>
        <v>4.2671125500000002</v>
      </c>
      <c r="I119" s="15">
        <f>'CUOTA LICITADA PEP'!G33</f>
        <v>0</v>
      </c>
      <c r="J119" s="15">
        <f>'CUOTA LICITADA PEP'!H33</f>
        <v>4.2671125500000002</v>
      </c>
      <c r="K119" s="15">
        <f>'CUOTA LICITADA PEP'!I33</f>
        <v>0</v>
      </c>
      <c r="L119" s="15">
        <f>'CUOTA LICITADA PEP'!J33</f>
        <v>4.2671125500000002</v>
      </c>
      <c r="M119" s="192">
        <f>'CUOTA LICITADA PEP'!K33</f>
        <v>0</v>
      </c>
      <c r="N119" s="16" t="s">
        <v>48</v>
      </c>
      <c r="O119" s="16">
        <f>'RESUMEN '!$B$3</f>
        <v>46324</v>
      </c>
      <c r="P119" s="14">
        <v>2026</v>
      </c>
      <c r="Q119" s="14"/>
    </row>
    <row r="120" spans="1:17" x14ac:dyDescent="0.2">
      <c r="A120" s="14" t="s">
        <v>198</v>
      </c>
      <c r="B120" s="14" t="s">
        <v>188</v>
      </c>
      <c r="C120" s="14" t="s">
        <v>112</v>
      </c>
      <c r="D120" s="14" t="s">
        <v>199</v>
      </c>
      <c r="E120" s="14" t="str">
        <f>'CUOTA LICITADA PEP'!C33</f>
        <v>ENFEMAR LTDA. SOC. PESQ.</v>
      </c>
      <c r="F120" s="16">
        <v>46296</v>
      </c>
      <c r="G120" s="16">
        <v>46387</v>
      </c>
      <c r="H120" s="15">
        <f>'CUOTA LICITADA PEP'!F34</f>
        <v>0.47502584999999997</v>
      </c>
      <c r="I120" s="15">
        <f>'CUOTA LICITADA PEP'!G34</f>
        <v>0</v>
      </c>
      <c r="J120" s="15">
        <f>'CUOTA LICITADA PEP'!H34</f>
        <v>4.7421384</v>
      </c>
      <c r="K120" s="15">
        <f>'CUOTA LICITADA PEP'!I34</f>
        <v>0</v>
      </c>
      <c r="L120" s="15">
        <f>'CUOTA LICITADA PEP'!J34</f>
        <v>4.7421384</v>
      </c>
      <c r="M120" s="192">
        <f>'CUOTA LICITADA PEP'!K34</f>
        <v>0</v>
      </c>
      <c r="N120" s="16" t="s">
        <v>48</v>
      </c>
      <c r="O120" s="16">
        <f>'RESUMEN '!$B$3</f>
        <v>46324</v>
      </c>
      <c r="P120" s="14">
        <v>2026</v>
      </c>
      <c r="Q120" s="14"/>
    </row>
    <row r="121" spans="1:17" x14ac:dyDescent="0.2">
      <c r="A121" s="14" t="s">
        <v>198</v>
      </c>
      <c r="B121" s="14" t="s">
        <v>188</v>
      </c>
      <c r="C121" s="14" t="s">
        <v>112</v>
      </c>
      <c r="D121" s="14" t="s">
        <v>199</v>
      </c>
      <c r="E121" s="14" t="str">
        <f>'CUOTA LICITADA PEP'!C33</f>
        <v>ENFEMAR LTDA. SOC. PESQ.</v>
      </c>
      <c r="F121" s="16">
        <v>46023</v>
      </c>
      <c r="G121" s="16">
        <v>46387</v>
      </c>
      <c r="H121" s="15">
        <f>'CUOTA LICITADA PEP'!L33</f>
        <v>4.7421384</v>
      </c>
      <c r="I121" s="15">
        <f>'CUOTA LICITADA PEP'!M33</f>
        <v>0</v>
      </c>
      <c r="J121" s="15">
        <f>'CUOTA LICITADA PEP'!N33</f>
        <v>4.7421384</v>
      </c>
      <c r="K121" s="15">
        <f>'CUOTA LICITADA PEP'!O33</f>
        <v>0</v>
      </c>
      <c r="L121" s="15">
        <f>'CUOTA LICITADA PEP'!P33</f>
        <v>4.7421384</v>
      </c>
      <c r="M121" s="192">
        <f>'CUOTA LICITADA PEP'!Q33</f>
        <v>0</v>
      </c>
      <c r="N121" s="16" t="s">
        <v>48</v>
      </c>
      <c r="O121" s="16">
        <f>'RESUMEN '!$B$3</f>
        <v>46324</v>
      </c>
      <c r="P121" s="14">
        <v>2026</v>
      </c>
      <c r="Q121" s="14"/>
    </row>
    <row r="122" spans="1:17" x14ac:dyDescent="0.2">
      <c r="A122" s="14" t="s">
        <v>198</v>
      </c>
      <c r="B122" s="14" t="s">
        <v>188</v>
      </c>
      <c r="C122" s="14" t="s">
        <v>112</v>
      </c>
      <c r="D122" s="14" t="s">
        <v>199</v>
      </c>
      <c r="E122" s="14" t="str">
        <f>'CUOTA LICITADA PEP'!C35</f>
        <v>INVERSIONES NAKAL SPA.</v>
      </c>
      <c r="F122" s="16">
        <v>46082</v>
      </c>
      <c r="G122" s="16">
        <v>46265</v>
      </c>
      <c r="H122" s="15">
        <f>'CUOTA LICITADA PEP'!F35</f>
        <v>0</v>
      </c>
      <c r="I122" s="15">
        <f>'CUOTA LICITADA PEP'!G35</f>
        <v>26.513999999999999</v>
      </c>
      <c r="J122" s="15">
        <f>'CUOTA LICITADA PEP'!H35</f>
        <v>26.513999999999999</v>
      </c>
      <c r="K122" s="15">
        <f>'CUOTA LICITADA PEP'!I35</f>
        <v>0</v>
      </c>
      <c r="L122" s="15">
        <f>'CUOTA LICITADA PEP'!J35</f>
        <v>26.513999999999999</v>
      </c>
      <c r="M122" s="192">
        <f>'CUOTA LICITADA PEP'!K35</f>
        <v>0</v>
      </c>
      <c r="N122" s="16" t="s">
        <v>48</v>
      </c>
      <c r="O122" s="16">
        <f>'RESUMEN '!$B$3</f>
        <v>46324</v>
      </c>
      <c r="P122" s="14">
        <v>2026</v>
      </c>
      <c r="Q122" s="14"/>
    </row>
    <row r="123" spans="1:17" x14ac:dyDescent="0.2">
      <c r="A123" s="14" t="s">
        <v>198</v>
      </c>
      <c r="B123" s="14" t="s">
        <v>188</v>
      </c>
      <c r="C123" s="14" t="s">
        <v>112</v>
      </c>
      <c r="D123" s="14" t="s">
        <v>199</v>
      </c>
      <c r="E123" s="14" t="str">
        <f>'CUOTA LICITADA PEP'!C35</f>
        <v>INVERSIONES NAKAL SPA.</v>
      </c>
      <c r="F123" s="16">
        <v>46296</v>
      </c>
      <c r="G123" s="16">
        <v>46387</v>
      </c>
      <c r="H123" s="15">
        <f>'CUOTA LICITADA PEP'!F36</f>
        <v>0</v>
      </c>
      <c r="I123" s="15">
        <f>'CUOTA LICITADA PEP'!G36</f>
        <v>0</v>
      </c>
      <c r="J123" s="15">
        <f>'CUOTA LICITADA PEP'!H36</f>
        <v>26.513999999999999</v>
      </c>
      <c r="K123" s="15">
        <f>'CUOTA LICITADA PEP'!I36</f>
        <v>0</v>
      </c>
      <c r="L123" s="15">
        <f>'CUOTA LICITADA PEP'!J36</f>
        <v>26.513999999999999</v>
      </c>
      <c r="M123" s="192">
        <f>'CUOTA LICITADA PEP'!K36</f>
        <v>0</v>
      </c>
      <c r="N123" s="16" t="s">
        <v>48</v>
      </c>
      <c r="O123" s="16">
        <f>'RESUMEN '!$B$3</f>
        <v>46324</v>
      </c>
      <c r="P123" s="14">
        <v>2026</v>
      </c>
      <c r="Q123" s="14"/>
    </row>
    <row r="124" spans="1:17" x14ac:dyDescent="0.2">
      <c r="A124" s="14" t="s">
        <v>198</v>
      </c>
      <c r="B124" s="14" t="s">
        <v>188</v>
      </c>
      <c r="C124" s="14" t="s">
        <v>112</v>
      </c>
      <c r="D124" s="14" t="s">
        <v>199</v>
      </c>
      <c r="E124" s="14" t="str">
        <f>'CUOTA LICITADA PEP'!C35</f>
        <v>INVERSIONES NAKAL SPA.</v>
      </c>
      <c r="F124" s="16">
        <v>46023</v>
      </c>
      <c r="G124" s="16">
        <v>46387</v>
      </c>
      <c r="H124" s="15">
        <f>'CUOTA LICITADA PEP'!L35</f>
        <v>0</v>
      </c>
      <c r="I124" s="15">
        <f>'CUOTA LICITADA PEP'!M35</f>
        <v>26.513999999999999</v>
      </c>
      <c r="J124" s="15">
        <f>'CUOTA LICITADA PEP'!N35</f>
        <v>26.513999999999999</v>
      </c>
      <c r="K124" s="15">
        <f>'CUOTA LICITADA PEP'!O35</f>
        <v>0</v>
      </c>
      <c r="L124" s="15">
        <f>'CUOTA LICITADA PEP'!P35</f>
        <v>26.513999999999999</v>
      </c>
      <c r="M124" s="192">
        <f>'CUOTA LICITADA PEP'!Q35</f>
        <v>0</v>
      </c>
      <c r="N124" s="16" t="s">
        <v>48</v>
      </c>
      <c r="O124" s="16">
        <f>'RESUMEN '!$B$3</f>
        <v>46324</v>
      </c>
      <c r="P124" s="14">
        <v>2026</v>
      </c>
      <c r="Q124" s="14"/>
    </row>
    <row r="125" spans="1:17" x14ac:dyDescent="0.2">
      <c r="A125" s="14" t="s">
        <v>198</v>
      </c>
      <c r="B125" s="14" t="s">
        <v>188</v>
      </c>
      <c r="C125" s="14" t="s">
        <v>112</v>
      </c>
      <c r="D125" s="14" t="s">
        <v>199</v>
      </c>
      <c r="E125" s="14" t="str">
        <f>'CUOTA LICITADA PEP'!C37</f>
        <v>SOC. PESQ. NORDIOMAR SPA.</v>
      </c>
      <c r="F125" s="16">
        <v>46082</v>
      </c>
      <c r="G125" s="16">
        <v>46265</v>
      </c>
      <c r="H125" s="15">
        <f>'CUOTA LICITADA PEP'!F37</f>
        <v>10.45745</v>
      </c>
      <c r="I125" s="15">
        <f>'CUOTA LICITADA PEP'!G37</f>
        <v>0</v>
      </c>
      <c r="J125" s="15">
        <f>'CUOTA LICITADA PEP'!H37</f>
        <v>10.45745</v>
      </c>
      <c r="K125" s="15">
        <f>'CUOTA LICITADA PEP'!I37</f>
        <v>0</v>
      </c>
      <c r="L125" s="15">
        <f>'CUOTA LICITADA PEP'!J37</f>
        <v>10.45745</v>
      </c>
      <c r="M125" s="192">
        <f>'CUOTA LICITADA PEP'!K37</f>
        <v>0</v>
      </c>
      <c r="N125" s="16" t="s">
        <v>48</v>
      </c>
      <c r="O125" s="16">
        <f>'RESUMEN '!$B$3</f>
        <v>46324</v>
      </c>
      <c r="P125" s="14">
        <v>2026</v>
      </c>
      <c r="Q125" s="14"/>
    </row>
    <row r="126" spans="1:17" x14ac:dyDescent="0.2">
      <c r="A126" s="14" t="s">
        <v>198</v>
      </c>
      <c r="B126" s="14" t="s">
        <v>188</v>
      </c>
      <c r="C126" s="14" t="s">
        <v>112</v>
      </c>
      <c r="D126" s="14" t="s">
        <v>199</v>
      </c>
      <c r="E126" s="14" t="str">
        <f>'CUOTA LICITADA PEP'!C37</f>
        <v>SOC. PESQ. NORDIOMAR SPA.</v>
      </c>
      <c r="F126" s="16">
        <v>46296</v>
      </c>
      <c r="G126" s="16">
        <v>46387</v>
      </c>
      <c r="H126" s="15">
        <f>'CUOTA LICITADA PEP'!F38</f>
        <v>1.16415</v>
      </c>
      <c r="I126" s="15">
        <f>'CUOTA LICITADA PEP'!G38</f>
        <v>0</v>
      </c>
      <c r="J126" s="15">
        <f>'CUOTA LICITADA PEP'!H38</f>
        <v>11.621599999999999</v>
      </c>
      <c r="K126" s="15">
        <f>'CUOTA LICITADA PEP'!I38</f>
        <v>0</v>
      </c>
      <c r="L126" s="15">
        <f>'CUOTA LICITADA PEP'!J38</f>
        <v>11.621599999999999</v>
      </c>
      <c r="M126" s="192">
        <f>'CUOTA LICITADA PEP'!K38</f>
        <v>0</v>
      </c>
      <c r="N126" s="16" t="s">
        <v>48</v>
      </c>
      <c r="O126" s="16">
        <f>'RESUMEN '!$B$3</f>
        <v>46324</v>
      </c>
      <c r="P126" s="14">
        <v>2026</v>
      </c>
      <c r="Q126" s="14"/>
    </row>
    <row r="127" spans="1:17" x14ac:dyDescent="0.2">
      <c r="A127" s="14" t="s">
        <v>198</v>
      </c>
      <c r="B127" s="14" t="s">
        <v>188</v>
      </c>
      <c r="C127" s="14" t="s">
        <v>112</v>
      </c>
      <c r="D127" s="14" t="s">
        <v>199</v>
      </c>
      <c r="E127" s="14" t="str">
        <f>'CUOTA LICITADA PEP'!C37</f>
        <v>SOC. PESQ. NORDIOMAR SPA.</v>
      </c>
      <c r="F127" s="16">
        <v>46023</v>
      </c>
      <c r="G127" s="16">
        <v>46387</v>
      </c>
      <c r="H127" s="15">
        <f>'CUOTA LICITADA PEP'!L37</f>
        <v>11.621599999999999</v>
      </c>
      <c r="I127" s="15">
        <f>'CUOTA LICITADA PEP'!M37</f>
        <v>0</v>
      </c>
      <c r="J127" s="15">
        <f>'CUOTA LICITADA PEP'!N37</f>
        <v>11.621599999999999</v>
      </c>
      <c r="K127" s="15">
        <f>'CUOTA LICITADA PEP'!O37</f>
        <v>0</v>
      </c>
      <c r="L127" s="15">
        <f>'CUOTA LICITADA PEP'!P37</f>
        <v>11.621599999999999</v>
      </c>
      <c r="M127" s="192">
        <f>'CUOTA LICITADA PEP'!Q37</f>
        <v>0</v>
      </c>
      <c r="N127" s="16" t="s">
        <v>48</v>
      </c>
      <c r="O127" s="16">
        <f>'RESUMEN '!$B$3</f>
        <v>46324</v>
      </c>
      <c r="P127" s="14">
        <v>2026</v>
      </c>
      <c r="Q127" s="14"/>
    </row>
    <row r="128" spans="1:17" x14ac:dyDescent="0.2">
      <c r="A128" s="14" t="s">
        <v>198</v>
      </c>
      <c r="B128" s="14" t="s">
        <v>188</v>
      </c>
      <c r="C128" s="14" t="s">
        <v>112</v>
      </c>
      <c r="D128" s="14" t="s">
        <v>199</v>
      </c>
      <c r="E128" s="14" t="str">
        <f>'CUOTA LICITADA PEP'!C39</f>
        <v>PESQUERA SUR AUSTRAL</v>
      </c>
      <c r="F128" s="16">
        <v>46082</v>
      </c>
      <c r="G128" s="16">
        <v>46265</v>
      </c>
      <c r="H128" s="15">
        <f>'CUOTA LICITADA PEP'!F39</f>
        <v>5.0742280000000001E-2</v>
      </c>
      <c r="I128" s="15">
        <f>'CUOTA LICITADA PEP'!G39</f>
        <v>0</v>
      </c>
      <c r="J128" s="15">
        <f>'CUOTA LICITADA PEP'!H39</f>
        <v>5.0742280000000001E-2</v>
      </c>
      <c r="K128" s="15">
        <f>'CUOTA LICITADA PEP'!I39</f>
        <v>0</v>
      </c>
      <c r="L128" s="15">
        <f>'CUOTA LICITADA PEP'!J39</f>
        <v>5.0742280000000001E-2</v>
      </c>
      <c r="M128" s="192">
        <f>'CUOTA LICITADA PEP'!K39</f>
        <v>0</v>
      </c>
      <c r="N128" s="16" t="s">
        <v>48</v>
      </c>
      <c r="O128" s="16">
        <f>'RESUMEN '!$B$3</f>
        <v>46324</v>
      </c>
      <c r="P128" s="14">
        <v>2026</v>
      </c>
      <c r="Q128" s="14"/>
    </row>
    <row r="129" spans="1:17" x14ac:dyDescent="0.2">
      <c r="A129" s="14" t="s">
        <v>198</v>
      </c>
      <c r="B129" s="14" t="s">
        <v>188</v>
      </c>
      <c r="C129" s="14" t="s">
        <v>112</v>
      </c>
      <c r="D129" s="14" t="s">
        <v>199</v>
      </c>
      <c r="E129" s="14" t="str">
        <f>'CUOTA LICITADA PEP'!C39</f>
        <v>PESQUERA SUR AUSTRAL</v>
      </c>
      <c r="F129" s="16">
        <v>46296</v>
      </c>
      <c r="G129" s="16">
        <v>46387</v>
      </c>
      <c r="H129" s="15">
        <f>'CUOTA LICITADA PEP'!F40</f>
        <v>5.6487600000000001E-3</v>
      </c>
      <c r="I129" s="15">
        <f>'CUOTA LICITADA PEP'!G40</f>
        <v>0</v>
      </c>
      <c r="J129" s="15">
        <f>'CUOTA LICITADA PEP'!H40</f>
        <v>5.6391040000000003E-2</v>
      </c>
      <c r="K129" s="15">
        <f>'CUOTA LICITADA PEP'!I40</f>
        <v>0</v>
      </c>
      <c r="L129" s="15">
        <f>'CUOTA LICITADA PEP'!J40</f>
        <v>5.6391040000000003E-2</v>
      </c>
      <c r="M129" s="192">
        <f>'CUOTA LICITADA PEP'!K40</f>
        <v>0</v>
      </c>
      <c r="N129" s="16" t="s">
        <v>48</v>
      </c>
      <c r="O129" s="16">
        <f>'RESUMEN '!$B$3</f>
        <v>46324</v>
      </c>
      <c r="P129" s="14">
        <v>2026</v>
      </c>
      <c r="Q129" s="14"/>
    </row>
    <row r="130" spans="1:17" x14ac:dyDescent="0.2">
      <c r="A130" s="14" t="s">
        <v>198</v>
      </c>
      <c r="B130" s="14" t="s">
        <v>188</v>
      </c>
      <c r="C130" s="14" t="s">
        <v>112</v>
      </c>
      <c r="D130" s="14" t="s">
        <v>199</v>
      </c>
      <c r="E130" s="14" t="str">
        <f>'CUOTA LICITADA PEP'!C39</f>
        <v>PESQUERA SUR AUSTRAL</v>
      </c>
      <c r="F130" s="16">
        <v>46023</v>
      </c>
      <c r="G130" s="16">
        <v>46387</v>
      </c>
      <c r="H130" s="15">
        <f>'CUOTA LICITADA PEP'!L39</f>
        <v>5.6391040000000003E-2</v>
      </c>
      <c r="I130" s="15">
        <f>'CUOTA LICITADA PEP'!M39</f>
        <v>0</v>
      </c>
      <c r="J130" s="15">
        <f>'CUOTA LICITADA PEP'!N39</f>
        <v>5.6391040000000003E-2</v>
      </c>
      <c r="K130" s="15">
        <f>'CUOTA LICITADA PEP'!O39</f>
        <v>0</v>
      </c>
      <c r="L130" s="15">
        <f>'CUOTA LICITADA PEP'!P39</f>
        <v>5.6391040000000003E-2</v>
      </c>
      <c r="M130" s="192">
        <f>'CUOTA LICITADA PEP'!Q39</f>
        <v>0</v>
      </c>
      <c r="N130" s="16" t="s">
        <v>48</v>
      </c>
      <c r="O130" s="16">
        <f>'RESUMEN '!$B$3</f>
        <v>46324</v>
      </c>
      <c r="P130" s="14">
        <v>2026</v>
      </c>
      <c r="Q130" s="14"/>
    </row>
    <row r="131" spans="1:17" x14ac:dyDescent="0.2">
      <c r="A131" s="14" t="s">
        <v>198</v>
      </c>
      <c r="B131" s="14" t="s">
        <v>188</v>
      </c>
      <c r="C131" s="14" t="s">
        <v>112</v>
      </c>
      <c r="D131" s="14" t="s">
        <v>199</v>
      </c>
      <c r="E131" s="14" t="str">
        <f>'CUOTA LICITADA PEP'!C41</f>
        <v>COMERCIALIZADORA SIMON SEAFOOD LTDA.</v>
      </c>
      <c r="F131" s="16">
        <v>46082</v>
      </c>
      <c r="G131" s="16">
        <v>46265</v>
      </c>
      <c r="H131" s="15">
        <f>'CUOTA LICITADA PEP'!F41</f>
        <v>0</v>
      </c>
      <c r="I131" s="15">
        <f>'CUOTA LICITADA PEP'!G41</f>
        <v>0</v>
      </c>
      <c r="J131" s="15">
        <f>'CUOTA LICITADA PEP'!H41</f>
        <v>0</v>
      </c>
      <c r="K131" s="15">
        <f>'CUOTA LICITADA PEP'!I41</f>
        <v>0</v>
      </c>
      <c r="L131" s="15">
        <f>'CUOTA LICITADA PEP'!J41</f>
        <v>0</v>
      </c>
      <c r="M131" s="192">
        <f>'CUOTA LICITADA PEP'!K41</f>
        <v>0</v>
      </c>
      <c r="N131" s="16" t="s">
        <v>48</v>
      </c>
      <c r="O131" s="16">
        <f>'RESUMEN '!$B$3</f>
        <v>46324</v>
      </c>
      <c r="P131" s="14">
        <v>2026</v>
      </c>
      <c r="Q131" s="14"/>
    </row>
    <row r="132" spans="1:17" x14ac:dyDescent="0.2">
      <c r="A132" s="14" t="s">
        <v>198</v>
      </c>
      <c r="B132" s="14" t="s">
        <v>188</v>
      </c>
      <c r="C132" s="14" t="s">
        <v>112</v>
      </c>
      <c r="D132" s="14" t="s">
        <v>199</v>
      </c>
      <c r="E132" s="14" t="str">
        <f>'CUOTA LICITADA PEP'!C41</f>
        <v>COMERCIALIZADORA SIMON SEAFOOD LTDA.</v>
      </c>
      <c r="F132" s="16">
        <v>46296</v>
      </c>
      <c r="G132" s="16">
        <v>46387</v>
      </c>
      <c r="H132" s="15">
        <f>'CUOTA LICITADA PEP'!F42</f>
        <v>0</v>
      </c>
      <c r="I132" s="15">
        <f>'CUOTA LICITADA PEP'!G42</f>
        <v>0</v>
      </c>
      <c r="J132" s="15">
        <f>'CUOTA LICITADA PEP'!H42</f>
        <v>0</v>
      </c>
      <c r="K132" s="15">
        <f>'CUOTA LICITADA PEP'!I42</f>
        <v>0</v>
      </c>
      <c r="L132" s="15">
        <f>'CUOTA LICITADA PEP'!J42</f>
        <v>0</v>
      </c>
      <c r="M132" s="192">
        <f>'CUOTA LICITADA PEP'!K42</f>
        <v>0</v>
      </c>
      <c r="N132" s="16" t="s">
        <v>48</v>
      </c>
      <c r="O132" s="16">
        <f>'RESUMEN '!$B$3</f>
        <v>46324</v>
      </c>
      <c r="P132" s="14">
        <v>2026</v>
      </c>
      <c r="Q132" s="14"/>
    </row>
    <row r="133" spans="1:17" x14ac:dyDescent="0.2">
      <c r="A133" s="14" t="s">
        <v>198</v>
      </c>
      <c r="B133" s="14" t="s">
        <v>188</v>
      </c>
      <c r="C133" s="14" t="s">
        <v>112</v>
      </c>
      <c r="D133" s="14" t="s">
        <v>199</v>
      </c>
      <c r="E133" s="14" t="str">
        <f>'CUOTA LICITADA PEP'!C41</f>
        <v>COMERCIALIZADORA SIMON SEAFOOD LTDA.</v>
      </c>
      <c r="F133" s="16">
        <v>46023</v>
      </c>
      <c r="G133" s="16">
        <v>46387</v>
      </c>
      <c r="H133" s="15">
        <f>'CUOTA LICITADA PEP'!L41</f>
        <v>0</v>
      </c>
      <c r="I133" s="15">
        <f>'CUOTA LICITADA PEP'!M41</f>
        <v>0</v>
      </c>
      <c r="J133" s="15">
        <f>'CUOTA LICITADA PEP'!N41</f>
        <v>0</v>
      </c>
      <c r="K133" s="15">
        <f>'CUOTA LICITADA PEP'!O41</f>
        <v>0</v>
      </c>
      <c r="L133" s="15">
        <f>'CUOTA LICITADA PEP'!P41</f>
        <v>0</v>
      </c>
      <c r="M133" s="192">
        <f>'CUOTA LICITADA PEP'!Q41</f>
        <v>0</v>
      </c>
      <c r="N133" s="16" t="s">
        <v>48</v>
      </c>
      <c r="O133" s="16">
        <f>'RESUMEN '!$B$3</f>
        <v>46324</v>
      </c>
      <c r="P133" s="14">
        <v>2026</v>
      </c>
      <c r="Q133" s="14"/>
    </row>
    <row r="134" spans="1:17" x14ac:dyDescent="0.2">
      <c r="A134" s="14" t="s">
        <v>198</v>
      </c>
      <c r="B134" s="14" t="s">
        <v>188</v>
      </c>
      <c r="C134" s="14" t="s">
        <v>112</v>
      </c>
      <c r="D134" s="14" t="s">
        <v>199</v>
      </c>
      <c r="E134" s="14" t="str">
        <f>'CUOTA LICITADA PEP'!C43</f>
        <v>WILLIAMS MAUAD MEZA</v>
      </c>
      <c r="F134" s="16">
        <v>46082</v>
      </c>
      <c r="G134" s="16">
        <v>46265</v>
      </c>
      <c r="H134" s="15">
        <f>'CUOTA LICITADA PEP'!F43</f>
        <v>0</v>
      </c>
      <c r="I134" s="15">
        <f>'CUOTA LICITADA PEP'!G43</f>
        <v>0</v>
      </c>
      <c r="J134" s="15">
        <f>'CUOTA LICITADA PEP'!H43</f>
        <v>0</v>
      </c>
      <c r="K134" s="15">
        <f>'CUOTA LICITADA PEP'!I43</f>
        <v>0</v>
      </c>
      <c r="L134" s="15">
        <f>'CUOTA LICITADA PEP'!J43</f>
        <v>0</v>
      </c>
      <c r="M134" s="192">
        <f>'CUOTA LICITADA PEP'!K43</f>
        <v>0</v>
      </c>
      <c r="N134" s="16" t="s">
        <v>48</v>
      </c>
      <c r="O134" s="16">
        <f>'RESUMEN '!$B$3</f>
        <v>46324</v>
      </c>
      <c r="P134" s="14">
        <v>2026</v>
      </c>
      <c r="Q134" s="14"/>
    </row>
    <row r="135" spans="1:17" x14ac:dyDescent="0.2">
      <c r="A135" s="14" t="s">
        <v>198</v>
      </c>
      <c r="B135" s="14" t="s">
        <v>188</v>
      </c>
      <c r="C135" s="14" t="s">
        <v>112</v>
      </c>
      <c r="D135" s="14" t="s">
        <v>199</v>
      </c>
      <c r="E135" s="14" t="str">
        <f>'CUOTA LICITADA PEP'!C43</f>
        <v>WILLIAMS MAUAD MEZA</v>
      </c>
      <c r="F135" s="16">
        <v>46296</v>
      </c>
      <c r="G135" s="16">
        <v>46387</v>
      </c>
      <c r="H135" s="15">
        <f>'CUOTA LICITADA PEP'!F44</f>
        <v>0</v>
      </c>
      <c r="I135" s="15">
        <f>'CUOTA LICITADA PEP'!G44</f>
        <v>0</v>
      </c>
      <c r="J135" s="15">
        <f>'CUOTA LICITADA PEP'!H44</f>
        <v>0</v>
      </c>
      <c r="K135" s="15">
        <f>'CUOTA LICITADA PEP'!I44</f>
        <v>0</v>
      </c>
      <c r="L135" s="15">
        <f>'CUOTA LICITADA PEP'!J44</f>
        <v>0</v>
      </c>
      <c r="M135" s="192">
        <f>'CUOTA LICITADA PEP'!K44</f>
        <v>0</v>
      </c>
      <c r="N135" s="16" t="s">
        <v>48</v>
      </c>
      <c r="O135" s="16">
        <f>'RESUMEN '!$B$3</f>
        <v>46324</v>
      </c>
      <c r="P135" s="14">
        <v>2026</v>
      </c>
      <c r="Q135" s="14"/>
    </row>
    <row r="136" spans="1:17" x14ac:dyDescent="0.2">
      <c r="A136" s="14" t="s">
        <v>198</v>
      </c>
      <c r="B136" s="14" t="s">
        <v>188</v>
      </c>
      <c r="C136" s="14" t="s">
        <v>112</v>
      </c>
      <c r="D136" s="14" t="s">
        <v>199</v>
      </c>
      <c r="E136" s="14" t="str">
        <f>'CUOTA LICITADA PEP'!C43</f>
        <v>WILLIAMS MAUAD MEZA</v>
      </c>
      <c r="F136" s="16">
        <v>46023</v>
      </c>
      <c r="G136" s="16">
        <v>46387</v>
      </c>
      <c r="H136" s="15">
        <f>'CUOTA LICITADA PEP'!L43</f>
        <v>0</v>
      </c>
      <c r="I136" s="15">
        <f>'CUOTA LICITADA PEP'!M43</f>
        <v>0</v>
      </c>
      <c r="J136" s="15">
        <f>'CUOTA LICITADA PEP'!N43</f>
        <v>0</v>
      </c>
      <c r="K136" s="15">
        <f>'CUOTA LICITADA PEP'!O43</f>
        <v>0</v>
      </c>
      <c r="L136" s="15">
        <f>'CUOTA LICITADA PEP'!P43</f>
        <v>0</v>
      </c>
      <c r="M136" s="192">
        <f>'CUOTA LICITADA PEP'!Q43</f>
        <v>0</v>
      </c>
      <c r="N136" s="16" t="s">
        <v>48</v>
      </c>
      <c r="O136" s="16">
        <f>'RESUMEN '!$B$3</f>
        <v>46324</v>
      </c>
      <c r="P136" s="14">
        <v>2026</v>
      </c>
      <c r="Q136" s="14"/>
    </row>
    <row r="137" spans="1:17" x14ac:dyDescent="0.2">
      <c r="A137" s="14" t="s">
        <v>198</v>
      </c>
      <c r="B137" s="14" t="s">
        <v>188</v>
      </c>
      <c r="C137" s="14" t="s">
        <v>112</v>
      </c>
      <c r="D137" s="14" t="s">
        <v>199</v>
      </c>
      <c r="E137" s="14" t="str">
        <f>'CUOTA LICITADA PEP'!C45</f>
        <v xml:space="preserve">GUILLEROMO DONOSO TOBAR </v>
      </c>
      <c r="F137" s="16">
        <v>46082</v>
      </c>
      <c r="G137" s="16">
        <v>46265</v>
      </c>
      <c r="H137" s="15">
        <f>'CUOTA LICITADA PEP'!F45</f>
        <v>15.764999999999999</v>
      </c>
      <c r="I137" s="15">
        <f>'CUOTA LICITADA PEP'!G45</f>
        <v>-17.52</v>
      </c>
      <c r="J137" s="15">
        <f>'CUOTA LICITADA PEP'!H45</f>
        <v>-1.7550000000000008</v>
      </c>
      <c r="K137" s="15">
        <f>'CUOTA LICITADA PEP'!I45</f>
        <v>0</v>
      </c>
      <c r="L137" s="15">
        <f>'CUOTA LICITADA PEP'!J45</f>
        <v>-1.7550000000000008</v>
      </c>
      <c r="M137" s="192">
        <f>'CUOTA LICITADA PEP'!K45</f>
        <v>0</v>
      </c>
      <c r="N137" s="16" t="s">
        <v>48</v>
      </c>
      <c r="O137" s="16">
        <f>'RESUMEN '!$B$3</f>
        <v>46324</v>
      </c>
      <c r="P137" s="14">
        <v>2026</v>
      </c>
      <c r="Q137" s="14"/>
    </row>
    <row r="138" spans="1:17" x14ac:dyDescent="0.2">
      <c r="A138" s="14" t="s">
        <v>198</v>
      </c>
      <c r="B138" s="14" t="s">
        <v>188</v>
      </c>
      <c r="C138" s="14" t="s">
        <v>112</v>
      </c>
      <c r="D138" s="14" t="s">
        <v>199</v>
      </c>
      <c r="E138" s="14" t="str">
        <f>'CUOTA LICITADA PEP'!C45</f>
        <v xml:space="preserve">GUILLEROMO DONOSO TOBAR </v>
      </c>
      <c r="F138" s="16">
        <v>46296</v>
      </c>
      <c r="G138" s="16">
        <v>46387</v>
      </c>
      <c r="H138" s="15">
        <f>'CUOTA LICITADA PEP'!F46</f>
        <v>1.7549999999999999</v>
      </c>
      <c r="I138" s="15">
        <f>'CUOTA LICITADA PEP'!G46</f>
        <v>0</v>
      </c>
      <c r="J138" s="15">
        <f>'CUOTA LICITADA PEP'!H46</f>
        <v>0</v>
      </c>
      <c r="K138" s="15">
        <f>'CUOTA LICITADA PEP'!I46</f>
        <v>0</v>
      </c>
      <c r="L138" s="15">
        <f>'CUOTA LICITADA PEP'!J46</f>
        <v>0</v>
      </c>
      <c r="M138" s="192">
        <f>'CUOTA LICITADA PEP'!K46</f>
        <v>0</v>
      </c>
      <c r="N138" s="16" t="s">
        <v>48</v>
      </c>
      <c r="O138" s="16">
        <f>'RESUMEN '!$B$3</f>
        <v>46324</v>
      </c>
      <c r="P138" s="14">
        <v>2026</v>
      </c>
      <c r="Q138" s="14"/>
    </row>
    <row r="139" spans="1:17" x14ac:dyDescent="0.2">
      <c r="A139" s="14" t="s">
        <v>198</v>
      </c>
      <c r="B139" s="14" t="s">
        <v>188</v>
      </c>
      <c r="C139" s="14" t="s">
        <v>112</v>
      </c>
      <c r="D139" s="14" t="s">
        <v>199</v>
      </c>
      <c r="E139" s="14" t="str">
        <f>'CUOTA LICITADA PEP'!C45</f>
        <v xml:space="preserve">GUILLEROMO DONOSO TOBAR </v>
      </c>
      <c r="F139" s="16">
        <v>46023</v>
      </c>
      <c r="G139" s="16">
        <v>46387</v>
      </c>
      <c r="H139" s="15">
        <f>'CUOTA LICITADA PEP'!L45</f>
        <v>17.52</v>
      </c>
      <c r="I139" s="15">
        <f>'CUOTA LICITADA PEP'!M45</f>
        <v>-17.52</v>
      </c>
      <c r="J139" s="15">
        <f>'CUOTA LICITADA PEP'!N45</f>
        <v>0</v>
      </c>
      <c r="K139" s="15">
        <f>'CUOTA LICITADA PEP'!O45</f>
        <v>0</v>
      </c>
      <c r="L139" s="15">
        <f>'CUOTA LICITADA PEP'!P45</f>
        <v>0</v>
      </c>
      <c r="M139" s="192">
        <f>'CUOTA LICITADA PEP'!Q45</f>
        <v>0</v>
      </c>
      <c r="N139" s="16" t="s">
        <v>48</v>
      </c>
      <c r="O139" s="16">
        <f>'RESUMEN '!$B$3</f>
        <v>46324</v>
      </c>
      <c r="P139" s="14">
        <v>2026</v>
      </c>
      <c r="Q139" s="14"/>
    </row>
    <row r="140" spans="1:17" x14ac:dyDescent="0.2">
      <c r="A140" s="14" t="s">
        <v>198</v>
      </c>
      <c r="B140" s="14" t="s">
        <v>188</v>
      </c>
      <c r="C140" s="14" t="s">
        <v>113</v>
      </c>
      <c r="D140" s="14" t="s">
        <v>199</v>
      </c>
      <c r="E140" s="14" t="str">
        <f>'CUOTA LICITADA PEP'!C53</f>
        <v>ANTARTIC SEAFOOD S.A.</v>
      </c>
      <c r="F140" s="16">
        <v>46082</v>
      </c>
      <c r="G140" s="16">
        <v>46265</v>
      </c>
      <c r="H140" s="15">
        <f>'CUOTA LICITADA PEP'!F53</f>
        <v>283.20291044999999</v>
      </c>
      <c r="I140" s="15">
        <f>'CUOTA LICITADA PEP'!G53</f>
        <v>0</v>
      </c>
      <c r="J140" s="15">
        <f>'CUOTA LICITADA PEP'!H53</f>
        <v>283.20291044999999</v>
      </c>
      <c r="K140" s="15">
        <f>'CUOTA LICITADA PEP'!I53</f>
        <v>8.9610000000000003</v>
      </c>
      <c r="L140" s="15">
        <f>'CUOTA LICITADA PEP'!J53</f>
        <v>274.24191044999998</v>
      </c>
      <c r="M140" s="192">
        <f>'CUOTA LICITADA PEP'!K53</f>
        <v>3.1641623971170596E-2</v>
      </c>
      <c r="N140" s="16" t="s">
        <v>48</v>
      </c>
      <c r="O140" s="16">
        <f>'RESUMEN '!$B$3</f>
        <v>46324</v>
      </c>
      <c r="P140" s="14">
        <v>2026</v>
      </c>
      <c r="Q140" s="14"/>
    </row>
    <row r="141" spans="1:17" x14ac:dyDescent="0.2">
      <c r="A141" s="14" t="s">
        <v>198</v>
      </c>
      <c r="B141" s="14" t="s">
        <v>188</v>
      </c>
      <c r="C141" s="14" t="s">
        <v>113</v>
      </c>
      <c r="D141" s="14" t="s">
        <v>199</v>
      </c>
      <c r="E141" s="14" t="str">
        <f>'CUOTA LICITADA PEP'!C53</f>
        <v>ANTARTIC SEAFOOD S.A.</v>
      </c>
      <c r="F141" s="16">
        <v>46296</v>
      </c>
      <c r="G141" s="16">
        <v>46387</v>
      </c>
      <c r="H141" s="15">
        <f>'CUOTA LICITADA PEP'!F54</f>
        <v>31.515965910000002</v>
      </c>
      <c r="I141" s="15">
        <f>'CUOTA LICITADA PEP'!G54</f>
        <v>0</v>
      </c>
      <c r="J141" s="15">
        <f>'CUOTA LICITADA PEP'!H54</f>
        <v>305.75787635999995</v>
      </c>
      <c r="K141" s="15">
        <f>'CUOTA LICITADA PEP'!I54</f>
        <v>151.70599999999999</v>
      </c>
      <c r="L141" s="15">
        <f>'CUOTA LICITADA PEP'!J54</f>
        <v>154.05187635999997</v>
      </c>
      <c r="M141" s="192">
        <f>'CUOTA LICITADA PEP'!K54</f>
        <v>0.49616383331162672</v>
      </c>
      <c r="N141" s="16" t="s">
        <v>48</v>
      </c>
      <c r="O141" s="16">
        <f>'RESUMEN '!$B$3</f>
        <v>46324</v>
      </c>
      <c r="P141" s="14">
        <v>2026</v>
      </c>
      <c r="Q141" s="14"/>
    </row>
    <row r="142" spans="1:17" x14ac:dyDescent="0.2">
      <c r="A142" s="14" t="s">
        <v>198</v>
      </c>
      <c r="B142" s="14" t="s">
        <v>188</v>
      </c>
      <c r="C142" s="14" t="s">
        <v>113</v>
      </c>
      <c r="D142" s="14" t="s">
        <v>199</v>
      </c>
      <c r="E142" s="14" t="str">
        <f>'CUOTA LICITADA PEP'!C53</f>
        <v>ANTARTIC SEAFOOD S.A.</v>
      </c>
      <c r="F142" s="16">
        <v>46023</v>
      </c>
      <c r="G142" s="16">
        <v>46387</v>
      </c>
      <c r="H142" s="15">
        <f>'CUOTA LICITADA PEP'!L53</f>
        <v>314.71887635999997</v>
      </c>
      <c r="I142" s="15">
        <f>'CUOTA LICITADA PEP'!M53</f>
        <v>0</v>
      </c>
      <c r="J142" s="15">
        <f>'CUOTA LICITADA PEP'!N53</f>
        <v>314.71887635999997</v>
      </c>
      <c r="K142" s="15">
        <f>'CUOTA LICITADA PEP'!O53</f>
        <v>160.667</v>
      </c>
      <c r="L142" s="15">
        <f>'CUOTA LICITADA PEP'!P53</f>
        <v>154.05187635999997</v>
      </c>
      <c r="M142" s="192">
        <f>'CUOTA LICITADA PEP'!Q53</f>
        <v>0.51050957558775911</v>
      </c>
      <c r="N142" s="16" t="s">
        <v>48</v>
      </c>
      <c r="O142" s="16">
        <f>'RESUMEN '!$B$3</f>
        <v>46324</v>
      </c>
      <c r="P142" s="14">
        <v>2026</v>
      </c>
      <c r="Q142" s="14"/>
    </row>
    <row r="143" spans="1:17" x14ac:dyDescent="0.2">
      <c r="A143" s="14" t="s">
        <v>198</v>
      </c>
      <c r="B143" s="14" t="s">
        <v>188</v>
      </c>
      <c r="C143" s="14" t="s">
        <v>113</v>
      </c>
      <c r="D143" s="14" t="s">
        <v>199</v>
      </c>
      <c r="E143" s="14" t="str">
        <f>'CUOTA LICITADA PEP'!C55</f>
        <v>QUINTERO S.A. PESQ.</v>
      </c>
      <c r="F143" s="16">
        <v>46082</v>
      </c>
      <c r="G143" s="16">
        <v>46265</v>
      </c>
      <c r="H143" s="15">
        <f>'CUOTA LICITADA PEP'!F55</f>
        <v>0</v>
      </c>
      <c r="I143" s="15">
        <f>'CUOTA LICITADA PEP'!G55</f>
        <v>0</v>
      </c>
      <c r="J143" s="15">
        <f>'CUOTA LICITADA PEP'!H55</f>
        <v>0</v>
      </c>
      <c r="K143" s="15">
        <f>'CUOTA LICITADA PEP'!I55</f>
        <v>0</v>
      </c>
      <c r="L143" s="15">
        <f>'CUOTA LICITADA PEP'!J55</f>
        <v>0</v>
      </c>
      <c r="M143" s="192">
        <f>'CUOTA LICITADA PEP'!K55</f>
        <v>0</v>
      </c>
      <c r="N143" s="16" t="s">
        <v>48</v>
      </c>
      <c r="O143" s="16">
        <f>'RESUMEN '!$B$3</f>
        <v>46324</v>
      </c>
      <c r="P143" s="14">
        <v>2026</v>
      </c>
      <c r="Q143" s="14"/>
    </row>
    <row r="144" spans="1:17" x14ac:dyDescent="0.2">
      <c r="A144" s="14" t="s">
        <v>198</v>
      </c>
      <c r="B144" s="14" t="s">
        <v>188</v>
      </c>
      <c r="C144" s="14" t="s">
        <v>113</v>
      </c>
      <c r="D144" s="14" t="s">
        <v>199</v>
      </c>
      <c r="E144" s="14" t="str">
        <f>'CUOTA LICITADA PEP'!C55</f>
        <v>QUINTERO S.A. PESQ.</v>
      </c>
      <c r="F144" s="16">
        <v>46296</v>
      </c>
      <c r="G144" s="16">
        <v>46387</v>
      </c>
      <c r="H144" s="15">
        <f>'CUOTA LICITADA PEP'!F56</f>
        <v>0</v>
      </c>
      <c r="I144" s="15">
        <f>'CUOTA LICITADA PEP'!G56</f>
        <v>0</v>
      </c>
      <c r="J144" s="15">
        <f>'CUOTA LICITADA PEP'!H56</f>
        <v>0</v>
      </c>
      <c r="K144" s="15">
        <f>'CUOTA LICITADA PEP'!I56</f>
        <v>0</v>
      </c>
      <c r="L144" s="15">
        <f>'CUOTA LICITADA PEP'!J56</f>
        <v>0</v>
      </c>
      <c r="M144" s="192">
        <f>'CUOTA LICITADA PEP'!K56</f>
        <v>0</v>
      </c>
      <c r="N144" s="16" t="s">
        <v>48</v>
      </c>
      <c r="O144" s="16">
        <f>'RESUMEN '!$B$3</f>
        <v>46324</v>
      </c>
      <c r="P144" s="14">
        <v>2026</v>
      </c>
      <c r="Q144" s="14"/>
    </row>
    <row r="145" spans="1:17" x14ac:dyDescent="0.2">
      <c r="A145" s="14" t="s">
        <v>198</v>
      </c>
      <c r="B145" s="14" t="s">
        <v>188</v>
      </c>
      <c r="C145" s="14" t="s">
        <v>113</v>
      </c>
      <c r="D145" s="14" t="s">
        <v>199</v>
      </c>
      <c r="E145" s="14" t="str">
        <f>'CUOTA LICITADA PEP'!C55</f>
        <v>QUINTERO S.A. PESQ.</v>
      </c>
      <c r="F145" s="16">
        <v>46023</v>
      </c>
      <c r="G145" s="16">
        <v>46387</v>
      </c>
      <c r="H145" s="15">
        <f>'CUOTA LICITADA PEP'!L55</f>
        <v>0</v>
      </c>
      <c r="I145" s="15">
        <f>'CUOTA LICITADA PEP'!M55</f>
        <v>0</v>
      </c>
      <c r="J145" s="15">
        <f>'CUOTA LICITADA PEP'!N55</f>
        <v>0</v>
      </c>
      <c r="K145" s="15">
        <f>'CUOTA LICITADA PEP'!O55</f>
        <v>0</v>
      </c>
      <c r="L145" s="15">
        <f>'CUOTA LICITADA PEP'!P55</f>
        <v>0</v>
      </c>
      <c r="M145" s="192">
        <f>'CUOTA LICITADA PEP'!Q55</f>
        <v>0</v>
      </c>
      <c r="N145" s="16" t="s">
        <v>48</v>
      </c>
      <c r="O145" s="16">
        <f>'RESUMEN '!$B$3</f>
        <v>46324</v>
      </c>
      <c r="P145" s="14">
        <v>2026</v>
      </c>
      <c r="Q145" s="14"/>
    </row>
    <row r="146" spans="1:17" x14ac:dyDescent="0.2">
      <c r="A146" s="14" t="s">
        <v>198</v>
      </c>
      <c r="B146" s="14" t="s">
        <v>188</v>
      </c>
      <c r="C146" s="14" t="s">
        <v>113</v>
      </c>
      <c r="D146" s="14" t="s">
        <v>199</v>
      </c>
      <c r="E146" s="14" t="str">
        <f>'CUOTA LICITADA PEP'!C57</f>
        <v>BRACPESCA S.A.</v>
      </c>
      <c r="F146" s="16">
        <v>46082</v>
      </c>
      <c r="G146" s="16">
        <v>46265</v>
      </c>
      <c r="H146" s="15">
        <f>'CUOTA LICITADA PEP'!F57</f>
        <v>375.99100000000004</v>
      </c>
      <c r="I146" s="15">
        <f>'CUOTA LICITADA PEP'!G57</f>
        <v>0</v>
      </c>
      <c r="J146" s="15">
        <f>'CUOTA LICITADA PEP'!H57</f>
        <v>375.99100000000004</v>
      </c>
      <c r="K146" s="15">
        <f>'CUOTA LICITADA PEP'!I57</f>
        <v>11.382999999999999</v>
      </c>
      <c r="L146" s="15">
        <f>'CUOTA LICITADA PEP'!J57</f>
        <v>364.60800000000006</v>
      </c>
      <c r="M146" s="192">
        <f>'CUOTA LICITADA PEP'!K57</f>
        <v>3.0274660829647512E-2</v>
      </c>
      <c r="N146" s="16" t="s">
        <v>48</v>
      </c>
      <c r="O146" s="16">
        <f>'RESUMEN '!$B$3</f>
        <v>46324</v>
      </c>
      <c r="P146" s="14">
        <v>2026</v>
      </c>
      <c r="Q146" s="14"/>
    </row>
    <row r="147" spans="1:17" x14ac:dyDescent="0.2">
      <c r="A147" s="14" t="s">
        <v>198</v>
      </c>
      <c r="B147" s="14" t="s">
        <v>188</v>
      </c>
      <c r="C147" s="14" t="s">
        <v>113</v>
      </c>
      <c r="D147" s="14" t="s">
        <v>199</v>
      </c>
      <c r="E147" s="14" t="str">
        <f>'CUOTA LICITADA PEP'!C57</f>
        <v>BRACPESCA S.A.</v>
      </c>
      <c r="F147" s="16">
        <v>46296</v>
      </c>
      <c r="G147" s="16">
        <v>46387</v>
      </c>
      <c r="H147" s="15">
        <f>'CUOTA LICITADA PEP'!F58</f>
        <v>41.841800000000006</v>
      </c>
      <c r="I147" s="15">
        <f>'CUOTA LICITADA PEP'!G58</f>
        <v>0</v>
      </c>
      <c r="J147" s="15">
        <f>'CUOTA LICITADA PEP'!H58</f>
        <v>406.4498000000001</v>
      </c>
      <c r="K147" s="15">
        <f>'CUOTA LICITADA PEP'!I58</f>
        <v>87.95</v>
      </c>
      <c r="L147" s="15">
        <f>'CUOTA LICITADA PEP'!J58</f>
        <v>318.49980000000011</v>
      </c>
      <c r="M147" s="192">
        <f>'CUOTA LICITADA PEP'!K58</f>
        <v>0.21638588578466511</v>
      </c>
      <c r="N147" s="16" t="s">
        <v>48</v>
      </c>
      <c r="O147" s="16">
        <f>'RESUMEN '!$B$3</f>
        <v>46324</v>
      </c>
      <c r="P147" s="14">
        <v>2026</v>
      </c>
      <c r="Q147" s="14"/>
    </row>
    <row r="148" spans="1:17" x14ac:dyDescent="0.2">
      <c r="A148" s="14" t="s">
        <v>198</v>
      </c>
      <c r="B148" s="14" t="s">
        <v>188</v>
      </c>
      <c r="C148" s="14" t="s">
        <v>113</v>
      </c>
      <c r="D148" s="14" t="s">
        <v>199</v>
      </c>
      <c r="E148" s="14" t="str">
        <f>'CUOTA LICITADA PEP'!C57</f>
        <v>BRACPESCA S.A.</v>
      </c>
      <c r="F148" s="16">
        <v>46023</v>
      </c>
      <c r="G148" s="16">
        <v>46387</v>
      </c>
      <c r="H148" s="15">
        <f>'CUOTA LICITADA PEP'!L57</f>
        <v>417.83280000000002</v>
      </c>
      <c r="I148" s="15">
        <f>'CUOTA LICITADA PEP'!M57</f>
        <v>0</v>
      </c>
      <c r="J148" s="15">
        <f>'CUOTA LICITADA PEP'!N57</f>
        <v>417.83280000000002</v>
      </c>
      <c r="K148" s="15">
        <f>'CUOTA LICITADA PEP'!O57</f>
        <v>99.332999999999998</v>
      </c>
      <c r="L148" s="15">
        <f>'CUOTA LICITADA PEP'!P57</f>
        <v>318.49980000000005</v>
      </c>
      <c r="M148" s="192">
        <f>'CUOTA LICITADA PEP'!Q57</f>
        <v>0.2377338495206695</v>
      </c>
      <c r="N148" s="16" t="s">
        <v>48</v>
      </c>
      <c r="O148" s="16">
        <f>'RESUMEN '!$B$3</f>
        <v>46324</v>
      </c>
      <c r="P148" s="14">
        <v>2026</v>
      </c>
      <c r="Q148" s="14"/>
    </row>
    <row r="149" spans="1:17" x14ac:dyDescent="0.2">
      <c r="A149" s="14" t="s">
        <v>198</v>
      </c>
      <c r="B149" s="14" t="s">
        <v>188</v>
      </c>
      <c r="C149" s="14" t="s">
        <v>113</v>
      </c>
      <c r="D149" s="14" t="s">
        <v>199</v>
      </c>
      <c r="E149" s="14" t="str">
        <f>'CUOTA LICITADA PEP'!C59</f>
        <v>ANTONIO CRUZ CORDOVA NAKOUZI E.I.R.L.</v>
      </c>
      <c r="F149" s="16">
        <v>46082</v>
      </c>
      <c r="G149" s="16">
        <v>46265</v>
      </c>
      <c r="H149" s="15">
        <f>'CUOTA LICITADA PEP'!F59</f>
        <v>0</v>
      </c>
      <c r="I149" s="15">
        <f>'CUOTA LICITADA PEP'!G59</f>
        <v>0</v>
      </c>
      <c r="J149" s="15">
        <f>'CUOTA LICITADA PEP'!H59</f>
        <v>0</v>
      </c>
      <c r="K149" s="15">
        <f>'CUOTA LICITADA PEP'!I59</f>
        <v>0</v>
      </c>
      <c r="L149" s="15">
        <f>'CUOTA LICITADA PEP'!J59</f>
        <v>0</v>
      </c>
      <c r="M149" s="192">
        <f>'CUOTA LICITADA PEP'!K59</f>
        <v>0</v>
      </c>
      <c r="N149" s="16" t="s">
        <v>48</v>
      </c>
      <c r="O149" s="16">
        <f>'RESUMEN '!$B$3</f>
        <v>46324</v>
      </c>
      <c r="P149" s="14">
        <v>2026</v>
      </c>
      <c r="Q149" s="14"/>
    </row>
    <row r="150" spans="1:17" x14ac:dyDescent="0.2">
      <c r="A150" s="14" t="s">
        <v>198</v>
      </c>
      <c r="B150" s="14" t="s">
        <v>188</v>
      </c>
      <c r="C150" s="14" t="s">
        <v>113</v>
      </c>
      <c r="D150" s="14" t="s">
        <v>199</v>
      </c>
      <c r="E150" s="14" t="str">
        <f>'CUOTA LICITADA PEP'!C59</f>
        <v>ANTONIO CRUZ CORDOVA NAKOUZI E.I.R.L.</v>
      </c>
      <c r="F150" s="16">
        <v>46296</v>
      </c>
      <c r="G150" s="16">
        <v>46387</v>
      </c>
      <c r="H150" s="15">
        <f>'CUOTA LICITADA PEP'!F60</f>
        <v>0</v>
      </c>
      <c r="I150" s="15">
        <f>'CUOTA LICITADA PEP'!G60</f>
        <v>0</v>
      </c>
      <c r="J150" s="15">
        <f>'CUOTA LICITADA PEP'!H60</f>
        <v>0</v>
      </c>
      <c r="K150" s="15">
        <f>'CUOTA LICITADA PEP'!I60</f>
        <v>0</v>
      </c>
      <c r="L150" s="15">
        <f>'CUOTA LICITADA PEP'!J60</f>
        <v>0</v>
      </c>
      <c r="M150" s="192">
        <f>'CUOTA LICITADA PEP'!K60</f>
        <v>0</v>
      </c>
      <c r="N150" s="16" t="s">
        <v>48</v>
      </c>
      <c r="O150" s="16">
        <f>'RESUMEN '!$B$3</f>
        <v>46324</v>
      </c>
      <c r="P150" s="14">
        <v>2026</v>
      </c>
      <c r="Q150" s="14"/>
    </row>
    <row r="151" spans="1:17" x14ac:dyDescent="0.2">
      <c r="A151" s="14" t="s">
        <v>198</v>
      </c>
      <c r="B151" s="14" t="s">
        <v>188</v>
      </c>
      <c r="C151" s="14" t="s">
        <v>113</v>
      </c>
      <c r="D151" s="14" t="s">
        <v>199</v>
      </c>
      <c r="E151" s="14" t="str">
        <f>'CUOTA LICITADA PEP'!C59</f>
        <v>ANTONIO CRUZ CORDOVA NAKOUZI E.I.R.L.</v>
      </c>
      <c r="F151" s="16">
        <v>46023</v>
      </c>
      <c r="G151" s="16">
        <v>46387</v>
      </c>
      <c r="H151" s="15">
        <f>'CUOTA LICITADA PEP'!L59</f>
        <v>0</v>
      </c>
      <c r="I151" s="15">
        <f>'CUOTA LICITADA PEP'!M59</f>
        <v>0</v>
      </c>
      <c r="J151" s="15">
        <f>'CUOTA LICITADA PEP'!N59</f>
        <v>0</v>
      </c>
      <c r="K151" s="15">
        <f>'CUOTA LICITADA PEP'!O59</f>
        <v>0</v>
      </c>
      <c r="L151" s="15">
        <f>'CUOTA LICITADA PEP'!P59</f>
        <v>0</v>
      </c>
      <c r="M151" s="192">
        <v>0</v>
      </c>
      <c r="N151" s="16" t="s">
        <v>48</v>
      </c>
      <c r="O151" s="16">
        <f>'RESUMEN '!$B$3</f>
        <v>46324</v>
      </c>
      <c r="P151" s="14">
        <v>2026</v>
      </c>
      <c r="Q151" s="14"/>
    </row>
    <row r="152" spans="1:17" x14ac:dyDescent="0.2">
      <c r="A152" s="14" t="s">
        <v>198</v>
      </c>
      <c r="B152" s="14" t="s">
        <v>188</v>
      </c>
      <c r="C152" s="14" t="s">
        <v>113</v>
      </c>
      <c r="D152" s="14" t="s">
        <v>199</v>
      </c>
      <c r="E152" s="14" t="str">
        <f>'CUOTA LICITADA PEP'!C61</f>
        <v>GRIMAR S.A. PESQ.</v>
      </c>
      <c r="F152" s="16">
        <v>46082</v>
      </c>
      <c r="G152" s="16">
        <v>46265</v>
      </c>
      <c r="H152" s="15">
        <f>'CUOTA LICITADA PEP'!F61</f>
        <v>0.46739305000000003</v>
      </c>
      <c r="I152" s="15">
        <f>'CUOTA LICITADA PEP'!G61</f>
        <v>0</v>
      </c>
      <c r="J152" s="15">
        <f>'CUOTA LICITADA PEP'!H61</f>
        <v>0.46739305000000003</v>
      </c>
      <c r="K152" s="15">
        <f>'CUOTA LICITADA PEP'!I61</f>
        <v>0</v>
      </c>
      <c r="L152" s="15">
        <f>'CUOTA LICITADA PEP'!J61</f>
        <v>0.46739305000000003</v>
      </c>
      <c r="M152" s="192">
        <f>'CUOTA LICITADA PEP'!K61</f>
        <v>0</v>
      </c>
      <c r="N152" s="16" t="s">
        <v>48</v>
      </c>
      <c r="O152" s="16">
        <f>'RESUMEN '!$B$3</f>
        <v>46324</v>
      </c>
      <c r="P152" s="14">
        <v>2026</v>
      </c>
      <c r="Q152" s="14"/>
    </row>
    <row r="153" spans="1:17" x14ac:dyDescent="0.2">
      <c r="A153" s="14" t="s">
        <v>198</v>
      </c>
      <c r="B153" s="14" t="s">
        <v>188</v>
      </c>
      <c r="C153" s="14" t="s">
        <v>113</v>
      </c>
      <c r="D153" s="14" t="s">
        <v>199</v>
      </c>
      <c r="E153" s="14" t="str">
        <f>'CUOTA LICITADA PEP'!C61</f>
        <v>GRIMAR S.A. PESQ.</v>
      </c>
      <c r="F153" s="16">
        <v>46296</v>
      </c>
      <c r="G153" s="16">
        <v>46387</v>
      </c>
      <c r="H153" s="15">
        <f>'CUOTA LICITADA PEP'!F62</f>
        <v>5.2013390000000007E-2</v>
      </c>
      <c r="I153" s="15">
        <f>'CUOTA LICITADA PEP'!G62</f>
        <v>0</v>
      </c>
      <c r="J153" s="15">
        <f>'CUOTA LICITADA PEP'!H62</f>
        <v>0.51940644000000002</v>
      </c>
      <c r="K153" s="15">
        <f>'CUOTA LICITADA PEP'!I62</f>
        <v>0</v>
      </c>
      <c r="L153" s="15">
        <f>'CUOTA LICITADA PEP'!J62</f>
        <v>0.51940644000000002</v>
      </c>
      <c r="M153" s="192">
        <f>'CUOTA LICITADA PEP'!K62</f>
        <v>0</v>
      </c>
      <c r="N153" s="16" t="s">
        <v>48</v>
      </c>
      <c r="O153" s="16">
        <f>'RESUMEN '!$B$3</f>
        <v>46324</v>
      </c>
      <c r="P153" s="14">
        <v>2026</v>
      </c>
      <c r="Q153" s="14"/>
    </row>
    <row r="154" spans="1:17" x14ac:dyDescent="0.2">
      <c r="A154" s="14" t="s">
        <v>198</v>
      </c>
      <c r="B154" s="14" t="s">
        <v>188</v>
      </c>
      <c r="C154" s="14" t="s">
        <v>113</v>
      </c>
      <c r="D154" s="14" t="s">
        <v>199</v>
      </c>
      <c r="E154" s="14" t="str">
        <f>'CUOTA LICITADA PEP'!C61</f>
        <v>GRIMAR S.A. PESQ.</v>
      </c>
      <c r="F154" s="16">
        <v>46023</v>
      </c>
      <c r="G154" s="16">
        <v>46387</v>
      </c>
      <c r="H154" s="15">
        <f>'CUOTA LICITADA PEP'!L61</f>
        <v>0.51940644000000002</v>
      </c>
      <c r="I154" s="15">
        <f>'CUOTA LICITADA PEP'!M61</f>
        <v>0</v>
      </c>
      <c r="J154" s="15">
        <f>'CUOTA LICITADA PEP'!N61</f>
        <v>0.51940644000000002</v>
      </c>
      <c r="K154" s="15">
        <f>'CUOTA LICITADA PEP'!O61</f>
        <v>0</v>
      </c>
      <c r="L154" s="15">
        <f>'CUOTA LICITADA PEP'!P61</f>
        <v>0.51940644000000002</v>
      </c>
      <c r="M154" s="192">
        <f>'CUOTA LICITADA PEP'!Q61</f>
        <v>0</v>
      </c>
      <c r="N154" s="16" t="s">
        <v>48</v>
      </c>
      <c r="O154" s="16">
        <f>'RESUMEN '!$B$3</f>
        <v>46324</v>
      </c>
      <c r="P154" s="14">
        <v>2026</v>
      </c>
      <c r="Q154" s="14"/>
    </row>
    <row r="155" spans="1:17" x14ac:dyDescent="0.2">
      <c r="A155" s="14" t="s">
        <v>198</v>
      </c>
      <c r="B155" s="14" t="s">
        <v>188</v>
      </c>
      <c r="C155" s="14" t="s">
        <v>113</v>
      </c>
      <c r="D155" s="14" t="s">
        <v>199</v>
      </c>
      <c r="E155" s="14" t="str">
        <f>'CUOTA LICITADA PEP'!C63</f>
        <v>ISLADAMAS S.A. PESQ.</v>
      </c>
      <c r="F155" s="16">
        <v>46082</v>
      </c>
      <c r="G155" s="16">
        <v>46265</v>
      </c>
      <c r="H155" s="15">
        <f>'CUOTA LICITADA PEP'!F63</f>
        <v>131.50034649999998</v>
      </c>
      <c r="I155" s="15">
        <f>'CUOTA LICITADA PEP'!G63</f>
        <v>21.42</v>
      </c>
      <c r="J155" s="15">
        <f>'CUOTA LICITADA PEP'!H63</f>
        <v>152.92034649999999</v>
      </c>
      <c r="K155" s="15">
        <f>'CUOTA LICITADA PEP'!I63</f>
        <v>6.7679999999999998</v>
      </c>
      <c r="L155" s="15">
        <f>'CUOTA LICITADA PEP'!J63</f>
        <v>146.15234649999999</v>
      </c>
      <c r="M155" s="192">
        <f>'CUOTA LICITADA PEP'!K63</f>
        <v>4.4258335498867055E-2</v>
      </c>
      <c r="N155" s="16" t="s">
        <v>48</v>
      </c>
      <c r="O155" s="16">
        <f>'RESUMEN '!$B$3</f>
        <v>46324</v>
      </c>
      <c r="P155" s="14">
        <v>2026</v>
      </c>
      <c r="Q155" s="14"/>
    </row>
    <row r="156" spans="1:17" x14ac:dyDescent="0.2">
      <c r="A156" s="14" t="s">
        <v>198</v>
      </c>
      <c r="B156" s="14" t="s">
        <v>188</v>
      </c>
      <c r="C156" s="14" t="s">
        <v>113</v>
      </c>
      <c r="D156" s="14" t="s">
        <v>199</v>
      </c>
      <c r="E156" s="14" t="str">
        <f>'CUOTA LICITADA PEP'!C63</f>
        <v>ISLADAMAS S.A. PESQ.</v>
      </c>
      <c r="F156" s="16">
        <v>46296</v>
      </c>
      <c r="G156" s="16">
        <v>46387</v>
      </c>
      <c r="H156" s="15">
        <f>'CUOTA LICITADA PEP'!F64</f>
        <v>14.633890699999998</v>
      </c>
      <c r="I156" s="15">
        <f>'CUOTA LICITADA PEP'!G64</f>
        <v>0</v>
      </c>
      <c r="J156" s="15">
        <f>'CUOTA LICITADA PEP'!H64</f>
        <v>160.78623719999999</v>
      </c>
      <c r="K156" s="15">
        <f>'CUOTA LICITADA PEP'!I64</f>
        <v>0</v>
      </c>
      <c r="L156" s="15">
        <f>'CUOTA LICITADA PEP'!J64</f>
        <v>160.78623719999999</v>
      </c>
      <c r="M156" s="192">
        <f>'CUOTA LICITADA PEP'!K64</f>
        <v>0</v>
      </c>
      <c r="N156" s="16" t="s">
        <v>48</v>
      </c>
      <c r="O156" s="16">
        <f>'RESUMEN '!$B$3</f>
        <v>46324</v>
      </c>
      <c r="P156" s="14">
        <v>2026</v>
      </c>
      <c r="Q156" s="14"/>
    </row>
    <row r="157" spans="1:17" x14ac:dyDescent="0.2">
      <c r="A157" s="14" t="s">
        <v>198</v>
      </c>
      <c r="B157" s="14" t="s">
        <v>188</v>
      </c>
      <c r="C157" s="14" t="s">
        <v>113</v>
      </c>
      <c r="D157" s="14" t="s">
        <v>199</v>
      </c>
      <c r="E157" s="14" t="str">
        <f>'CUOTA LICITADA PEP'!C63</f>
        <v>ISLADAMAS S.A. PESQ.</v>
      </c>
      <c r="F157" s="16">
        <v>46023</v>
      </c>
      <c r="G157" s="16">
        <v>46387</v>
      </c>
      <c r="H157" s="15">
        <f>'CUOTA LICITADA PEP'!L63</f>
        <v>146.13423719999997</v>
      </c>
      <c r="I157" s="15">
        <f>'CUOTA LICITADA PEP'!M63</f>
        <v>21.42</v>
      </c>
      <c r="J157" s="15">
        <f>'CUOTA LICITADA PEP'!N63</f>
        <v>167.55423719999999</v>
      </c>
      <c r="K157" s="15">
        <f>'CUOTA LICITADA PEP'!O63</f>
        <v>6.7679999999999998</v>
      </c>
      <c r="L157" s="15">
        <f>'CUOTA LICITADA PEP'!P63</f>
        <v>160.78623719999999</v>
      </c>
      <c r="M157" s="192">
        <f>'CUOTA LICITADA PEP'!Q63</f>
        <v>4.0392890762418754E-2</v>
      </c>
      <c r="N157" s="16" t="s">
        <v>48</v>
      </c>
      <c r="O157" s="16">
        <f>'RESUMEN '!$B$3</f>
        <v>46324</v>
      </c>
      <c r="P157" s="14">
        <v>2026</v>
      </c>
      <c r="Q157" s="14"/>
    </row>
    <row r="158" spans="1:17" x14ac:dyDescent="0.2">
      <c r="A158" s="14" t="s">
        <v>198</v>
      </c>
      <c r="B158" s="14" t="s">
        <v>188</v>
      </c>
      <c r="C158" s="14" t="s">
        <v>113</v>
      </c>
      <c r="D158" s="14" t="s">
        <v>199</v>
      </c>
      <c r="E158" s="14" t="str">
        <f>'CUOTA LICITADA PEP'!C65</f>
        <v>LANDES S.A. PESQ.</v>
      </c>
      <c r="F158" s="16">
        <v>46082</v>
      </c>
      <c r="G158" s="16">
        <v>46265</v>
      </c>
      <c r="H158" s="15">
        <f>'CUOTA LICITADA PEP'!F65</f>
        <v>1.2849999999999999</v>
      </c>
      <c r="I158" s="15">
        <f>'CUOTA LICITADA PEP'!G65</f>
        <v>0</v>
      </c>
      <c r="J158" s="15">
        <f>'CUOTA LICITADA PEP'!H65</f>
        <v>1.2849999999999999</v>
      </c>
      <c r="K158" s="15">
        <f>'CUOTA LICITADA PEP'!I65</f>
        <v>0.14199999999999999</v>
      </c>
      <c r="L158" s="15">
        <f>'CUOTA LICITADA PEP'!J65</f>
        <v>1.143</v>
      </c>
      <c r="M158" s="192">
        <f>'CUOTA LICITADA PEP'!K65</f>
        <v>0.11050583657587548</v>
      </c>
      <c r="N158" s="16" t="s">
        <v>48</v>
      </c>
      <c r="O158" s="16">
        <f>'RESUMEN '!$B$3</f>
        <v>46324</v>
      </c>
      <c r="P158" s="14">
        <v>2026</v>
      </c>
      <c r="Q158" s="14"/>
    </row>
    <row r="159" spans="1:17" x14ac:dyDescent="0.2">
      <c r="A159" s="14" t="s">
        <v>198</v>
      </c>
      <c r="B159" s="14" t="s">
        <v>188</v>
      </c>
      <c r="C159" s="14" t="s">
        <v>113</v>
      </c>
      <c r="D159" s="14" t="s">
        <v>199</v>
      </c>
      <c r="E159" s="14" t="str">
        <f>'CUOTA LICITADA PEP'!C65</f>
        <v>LANDES S.A. PESQ.</v>
      </c>
      <c r="F159" s="16">
        <v>46296</v>
      </c>
      <c r="G159" s="16">
        <v>46387</v>
      </c>
      <c r="H159" s="15">
        <f>'CUOTA LICITADA PEP'!F66</f>
        <v>0.14300000000000002</v>
      </c>
      <c r="I159" s="15">
        <f>'CUOTA LICITADA PEP'!G66</f>
        <v>0</v>
      </c>
      <c r="J159" s="15">
        <f>'CUOTA LICITADA PEP'!H66</f>
        <v>1.286</v>
      </c>
      <c r="K159" s="15">
        <f>'CUOTA LICITADA PEP'!I66</f>
        <v>0</v>
      </c>
      <c r="L159" s="15">
        <f>'CUOTA LICITADA PEP'!J66</f>
        <v>1.286</v>
      </c>
      <c r="M159" s="192">
        <f>'CUOTA LICITADA PEP'!K66</f>
        <v>0</v>
      </c>
      <c r="N159" s="16" t="s">
        <v>48</v>
      </c>
      <c r="O159" s="16">
        <f>'RESUMEN '!$B$3</f>
        <v>46324</v>
      </c>
      <c r="P159" s="14">
        <v>2026</v>
      </c>
      <c r="Q159" s="14"/>
    </row>
    <row r="160" spans="1:17" x14ac:dyDescent="0.2">
      <c r="A160" s="14" t="s">
        <v>198</v>
      </c>
      <c r="B160" s="14" t="s">
        <v>188</v>
      </c>
      <c r="C160" s="14" t="s">
        <v>113</v>
      </c>
      <c r="D160" s="14" t="s">
        <v>199</v>
      </c>
      <c r="E160" s="14" t="str">
        <f>'CUOTA LICITADA PEP'!C65</f>
        <v>LANDES S.A. PESQ.</v>
      </c>
      <c r="F160" s="16">
        <v>46023</v>
      </c>
      <c r="G160" s="16">
        <v>46387</v>
      </c>
      <c r="H160" s="15">
        <f>'CUOTA LICITADA PEP'!L65</f>
        <v>1.4279999999999999</v>
      </c>
      <c r="I160" s="15">
        <f>'CUOTA LICITADA PEP'!M65</f>
        <v>0</v>
      </c>
      <c r="J160" s="15">
        <f>'CUOTA LICITADA PEP'!N65</f>
        <v>1.4279999999999999</v>
      </c>
      <c r="K160" s="15">
        <f>'CUOTA LICITADA PEP'!O65</f>
        <v>0.14199999999999999</v>
      </c>
      <c r="L160" s="15">
        <f>'CUOTA LICITADA PEP'!P65</f>
        <v>1.286</v>
      </c>
      <c r="M160" s="192">
        <f>'CUOTA LICITADA PEP'!Q65</f>
        <v>9.9439775910364139E-2</v>
      </c>
      <c r="N160" s="16" t="s">
        <v>48</v>
      </c>
      <c r="O160" s="16">
        <f>'RESUMEN '!$B$3</f>
        <v>46324</v>
      </c>
      <c r="P160" s="14">
        <v>2026</v>
      </c>
      <c r="Q160" s="14"/>
    </row>
    <row r="161" spans="1:17" x14ac:dyDescent="0.2">
      <c r="A161" s="14" t="s">
        <v>198</v>
      </c>
      <c r="B161" s="14" t="s">
        <v>188</v>
      </c>
      <c r="C161" s="14" t="s">
        <v>113</v>
      </c>
      <c r="D161" s="14" t="s">
        <v>199</v>
      </c>
      <c r="E161" s="14" t="str">
        <f>'CUOTA LICITADA PEP'!C67</f>
        <v>JUAN RUBIO VALENZUELA</v>
      </c>
      <c r="F161" s="16">
        <v>46082</v>
      </c>
      <c r="G161" s="16">
        <v>46265</v>
      </c>
      <c r="H161" s="15">
        <f>'CUOTA LICITADA PEP'!F67</f>
        <v>29.169500000000003</v>
      </c>
      <c r="I161" s="15">
        <f>'CUOTA LICITADA PEP'!G67</f>
        <v>-32.415999999999997</v>
      </c>
      <c r="J161" s="15">
        <f>'CUOTA LICITADA PEP'!H67</f>
        <v>-3.2464999999999939</v>
      </c>
      <c r="K161" s="15">
        <f>'CUOTA LICITADA PEP'!I67</f>
        <v>0</v>
      </c>
      <c r="L161" s="15">
        <f>'CUOTA LICITADA PEP'!J67</f>
        <v>-3.2464999999999939</v>
      </c>
      <c r="M161" s="192">
        <f>'CUOTA LICITADA PEP'!K67</f>
        <v>0</v>
      </c>
      <c r="N161" s="16" t="s">
        <v>48</v>
      </c>
      <c r="O161" s="16">
        <f>'RESUMEN '!$B$3</f>
        <v>46324</v>
      </c>
      <c r="P161" s="14">
        <v>2026</v>
      </c>
      <c r="Q161" s="14"/>
    </row>
    <row r="162" spans="1:17" x14ac:dyDescent="0.2">
      <c r="A162" s="14" t="s">
        <v>198</v>
      </c>
      <c r="B162" s="14" t="s">
        <v>188</v>
      </c>
      <c r="C162" s="14" t="s">
        <v>113</v>
      </c>
      <c r="D162" s="14" t="s">
        <v>199</v>
      </c>
      <c r="E162" s="14" t="str">
        <f>'CUOTA LICITADA PEP'!C67</f>
        <v>JUAN RUBIO VALENZUELA</v>
      </c>
      <c r="F162" s="16">
        <v>46296</v>
      </c>
      <c r="G162" s="16">
        <v>46387</v>
      </c>
      <c r="H162" s="15">
        <f>'CUOTA LICITADA PEP'!F68</f>
        <v>3.2461000000000002</v>
      </c>
      <c r="I162" s="15">
        <f>'CUOTA LICITADA PEP'!G68</f>
        <v>0</v>
      </c>
      <c r="J162" s="15">
        <f>'CUOTA LICITADA PEP'!H68</f>
        <v>-3.999999999937387E-4</v>
      </c>
      <c r="K162" s="15">
        <f>'CUOTA LICITADA PEP'!I68</f>
        <v>0</v>
      </c>
      <c r="L162" s="15">
        <f>'CUOTA LICITADA PEP'!J68</f>
        <v>-3.999999999937387E-4</v>
      </c>
      <c r="M162" s="192">
        <f>'CUOTA LICITADA PEP'!K68</f>
        <v>0</v>
      </c>
      <c r="N162" s="16" t="s">
        <v>48</v>
      </c>
      <c r="O162" s="16">
        <f>'RESUMEN '!$B$3</f>
        <v>46324</v>
      </c>
      <c r="P162" s="14">
        <v>2026</v>
      </c>
      <c r="Q162" s="14"/>
    </row>
    <row r="163" spans="1:17" x14ac:dyDescent="0.2">
      <c r="A163" s="14" t="s">
        <v>198</v>
      </c>
      <c r="B163" s="14" t="s">
        <v>188</v>
      </c>
      <c r="C163" s="14" t="s">
        <v>113</v>
      </c>
      <c r="D163" s="14" t="s">
        <v>199</v>
      </c>
      <c r="E163" s="14" t="str">
        <f>'CUOTA LICITADA PEP'!C67</f>
        <v>JUAN RUBIO VALENZUELA</v>
      </c>
      <c r="F163" s="16">
        <v>46023</v>
      </c>
      <c r="G163" s="16">
        <v>46387</v>
      </c>
      <c r="H163" s="15">
        <f>'CUOTA LICITADA PEP'!L67</f>
        <v>32.415600000000005</v>
      </c>
      <c r="I163" s="15">
        <f>'CUOTA LICITADA PEP'!M67</f>
        <v>-32.415999999999997</v>
      </c>
      <c r="J163" s="15">
        <f>'CUOTA LICITADA PEP'!N67</f>
        <v>-3.9999999999196234E-4</v>
      </c>
      <c r="K163" s="15">
        <f>'CUOTA LICITADA PEP'!O67</f>
        <v>0</v>
      </c>
      <c r="L163" s="15">
        <f>'CUOTA LICITADA PEP'!P67</f>
        <v>-3.9999999999196234E-4</v>
      </c>
      <c r="M163" s="192">
        <f>'CUOTA LICITADA PEP'!Q67</f>
        <v>0</v>
      </c>
      <c r="N163" s="16" t="s">
        <v>48</v>
      </c>
      <c r="O163" s="16">
        <f>'RESUMEN '!$B$3</f>
        <v>46324</v>
      </c>
      <c r="P163" s="14">
        <v>2026</v>
      </c>
      <c r="Q163" s="14"/>
    </row>
    <row r="164" spans="1:17" x14ac:dyDescent="0.2">
      <c r="A164" s="14" t="s">
        <v>198</v>
      </c>
      <c r="B164" s="14" t="s">
        <v>188</v>
      </c>
      <c r="C164" s="14" t="s">
        <v>113</v>
      </c>
      <c r="D164" s="14" t="s">
        <v>199</v>
      </c>
      <c r="E164" s="14" t="str">
        <f>'CUOTA LICITADA PEP'!C69</f>
        <v>PACIFICBLU SPA.</v>
      </c>
      <c r="F164" s="16">
        <v>46082</v>
      </c>
      <c r="G164" s="16">
        <v>46265</v>
      </c>
      <c r="H164" s="15">
        <f>'CUOTA LICITADA PEP'!F69</f>
        <v>41.017200000000003</v>
      </c>
      <c r="I164" s="15">
        <f>'CUOTA LICITADA PEP'!G69</f>
        <v>0</v>
      </c>
      <c r="J164" s="15">
        <f>'CUOTA LICITADA PEP'!H69</f>
        <v>41.017200000000003</v>
      </c>
      <c r="K164" s="15">
        <f>'CUOTA LICITADA PEP'!I69</f>
        <v>5.0010000000000003</v>
      </c>
      <c r="L164" s="15">
        <f>'CUOTA LICITADA PEP'!J69</f>
        <v>36.016200000000005</v>
      </c>
      <c r="M164" s="192">
        <f>'CUOTA LICITADA PEP'!K69</f>
        <v>0.12192446095784208</v>
      </c>
      <c r="N164" s="16" t="s">
        <v>48</v>
      </c>
      <c r="O164" s="16">
        <f>'RESUMEN '!$B$3</f>
        <v>46324</v>
      </c>
      <c r="P164" s="14">
        <v>2026</v>
      </c>
      <c r="Q164" s="14"/>
    </row>
    <row r="165" spans="1:17" x14ac:dyDescent="0.2">
      <c r="A165" s="14" t="s">
        <v>198</v>
      </c>
      <c r="B165" s="14" t="s">
        <v>188</v>
      </c>
      <c r="C165" s="14" t="s">
        <v>113</v>
      </c>
      <c r="D165" s="14" t="s">
        <v>199</v>
      </c>
      <c r="E165" s="14" t="str">
        <f>'CUOTA LICITADA PEP'!C69</f>
        <v>PACIFICBLU SPA.</v>
      </c>
      <c r="F165" s="16">
        <v>46296</v>
      </c>
      <c r="G165" s="16">
        <v>46387</v>
      </c>
      <c r="H165" s="15">
        <f>'CUOTA LICITADA PEP'!F70</f>
        <v>4.5645600000000002</v>
      </c>
      <c r="I165" s="15">
        <f>'CUOTA LICITADA PEP'!G70</f>
        <v>0</v>
      </c>
      <c r="J165" s="15">
        <f>'CUOTA LICITADA PEP'!H70</f>
        <v>40.580760000000005</v>
      </c>
      <c r="K165" s="15">
        <f>'CUOTA LICITADA PEP'!I70</f>
        <v>0</v>
      </c>
      <c r="L165" s="15">
        <f>'CUOTA LICITADA PEP'!J70</f>
        <v>40.580760000000005</v>
      </c>
      <c r="M165" s="192">
        <f>'CUOTA LICITADA PEP'!K70</f>
        <v>0</v>
      </c>
      <c r="N165" s="16" t="s">
        <v>48</v>
      </c>
      <c r="O165" s="16">
        <f>'RESUMEN '!$B$3</f>
        <v>46324</v>
      </c>
      <c r="P165" s="14">
        <v>2026</v>
      </c>
      <c r="Q165" s="14"/>
    </row>
    <row r="166" spans="1:17" x14ac:dyDescent="0.2">
      <c r="A166" s="14" t="s">
        <v>198</v>
      </c>
      <c r="B166" s="14" t="s">
        <v>188</v>
      </c>
      <c r="C166" s="14" t="s">
        <v>113</v>
      </c>
      <c r="D166" s="14" t="s">
        <v>199</v>
      </c>
      <c r="E166" s="14" t="str">
        <f>'CUOTA LICITADA PEP'!C69</f>
        <v>PACIFICBLU SPA.</v>
      </c>
      <c r="F166" s="16">
        <v>46023</v>
      </c>
      <c r="G166" s="16">
        <v>46387</v>
      </c>
      <c r="H166" s="15">
        <f>'CUOTA LICITADA PEP'!L69</f>
        <v>45.581760000000003</v>
      </c>
      <c r="I166" s="15">
        <f>'CUOTA LICITADA PEP'!M69</f>
        <v>0</v>
      </c>
      <c r="J166" s="15">
        <f>'CUOTA LICITADA PEP'!N69</f>
        <v>45.581760000000003</v>
      </c>
      <c r="K166" s="15">
        <f>'CUOTA LICITADA PEP'!O69</f>
        <v>5.0010000000000003</v>
      </c>
      <c r="L166" s="15">
        <f>'CUOTA LICITADA PEP'!P69</f>
        <v>40.580760000000005</v>
      </c>
      <c r="M166" s="192">
        <f>'CUOTA LICITADA PEP'!Q69</f>
        <v>0.10971493860702175</v>
      </c>
      <c r="N166" s="16" t="s">
        <v>48</v>
      </c>
      <c r="O166" s="16">
        <f>'RESUMEN '!$B$3</f>
        <v>46324</v>
      </c>
      <c r="P166" s="14">
        <v>2026</v>
      </c>
      <c r="Q166" s="14"/>
    </row>
    <row r="167" spans="1:17" x14ac:dyDescent="0.2">
      <c r="A167" s="14" t="s">
        <v>198</v>
      </c>
      <c r="B167" s="14" t="s">
        <v>188</v>
      </c>
      <c r="C167" s="14" t="s">
        <v>113</v>
      </c>
      <c r="D167" s="14" t="s">
        <v>199</v>
      </c>
      <c r="E167" s="14" t="str">
        <f>'CUOTA LICITADA PEP'!C71</f>
        <v>ERIC ARAVENA ARAVENA</v>
      </c>
      <c r="F167" s="16">
        <v>46082</v>
      </c>
      <c r="G167" s="16">
        <v>46265</v>
      </c>
      <c r="H167" s="15">
        <f>'CUOTA LICITADA PEP'!F71</f>
        <v>0.64763999999999999</v>
      </c>
      <c r="I167" s="15">
        <f>'CUOTA LICITADA PEP'!G71</f>
        <v>0</v>
      </c>
      <c r="J167" s="15">
        <f>'CUOTA LICITADA PEP'!H71</f>
        <v>0.64763999999999999</v>
      </c>
      <c r="K167" s="15">
        <f>'CUOTA LICITADA PEP'!I71</f>
        <v>0</v>
      </c>
      <c r="L167" s="15">
        <f>'CUOTA LICITADA PEP'!J71</f>
        <v>0.64763999999999999</v>
      </c>
      <c r="M167" s="192">
        <f>'CUOTA LICITADA PEP'!K71</f>
        <v>0</v>
      </c>
      <c r="N167" s="16" t="s">
        <v>48</v>
      </c>
      <c r="O167" s="16">
        <f>'RESUMEN '!$B$3</f>
        <v>46324</v>
      </c>
      <c r="P167" s="14">
        <v>2026</v>
      </c>
      <c r="Q167" s="14"/>
    </row>
    <row r="168" spans="1:17" x14ac:dyDescent="0.2">
      <c r="A168" s="14" t="s">
        <v>198</v>
      </c>
      <c r="B168" s="14" t="s">
        <v>188</v>
      </c>
      <c r="C168" s="14" t="s">
        <v>113</v>
      </c>
      <c r="D168" s="14" t="s">
        <v>199</v>
      </c>
      <c r="E168" s="14" t="str">
        <f>'CUOTA LICITADA PEP'!C71</f>
        <v>ERIC ARAVENA ARAVENA</v>
      </c>
      <c r="F168" s="16">
        <v>46296</v>
      </c>
      <c r="G168" s="16">
        <v>46387</v>
      </c>
      <c r="H168" s="15">
        <f>'CUOTA LICITADA PEP'!F72</f>
        <v>7.2071999999999997E-2</v>
      </c>
      <c r="I168" s="15">
        <f>'CUOTA LICITADA PEP'!G72</f>
        <v>0</v>
      </c>
      <c r="J168" s="15">
        <f>'CUOTA LICITADA PEP'!H72</f>
        <v>0.71971200000000002</v>
      </c>
      <c r="K168" s="15">
        <f>'CUOTA LICITADA PEP'!I72</f>
        <v>0</v>
      </c>
      <c r="L168" s="15">
        <f>'CUOTA LICITADA PEP'!J72</f>
        <v>0.71971200000000002</v>
      </c>
      <c r="M168" s="192">
        <f>'CUOTA LICITADA PEP'!K72</f>
        <v>0</v>
      </c>
      <c r="N168" s="16" t="s">
        <v>48</v>
      </c>
      <c r="O168" s="16">
        <f>'RESUMEN '!$B$3</f>
        <v>46324</v>
      </c>
      <c r="P168" s="14">
        <v>2026</v>
      </c>
      <c r="Q168" s="14"/>
    </row>
    <row r="169" spans="1:17" x14ac:dyDescent="0.2">
      <c r="A169" s="14" t="s">
        <v>198</v>
      </c>
      <c r="B169" s="14" t="s">
        <v>188</v>
      </c>
      <c r="C169" s="14" t="s">
        <v>113</v>
      </c>
      <c r="D169" s="14" t="s">
        <v>199</v>
      </c>
      <c r="E169" s="14" t="str">
        <f>'CUOTA LICITADA PEP'!C71</f>
        <v>ERIC ARAVENA ARAVENA</v>
      </c>
      <c r="F169" s="16">
        <v>46023</v>
      </c>
      <c r="G169" s="16">
        <v>46387</v>
      </c>
      <c r="H169" s="15">
        <f>'CUOTA LICITADA PEP'!L71</f>
        <v>0.71971200000000002</v>
      </c>
      <c r="I169" s="15">
        <f>'CUOTA LICITADA PEP'!M71</f>
        <v>0</v>
      </c>
      <c r="J169" s="15">
        <f>'CUOTA LICITADA PEP'!N71</f>
        <v>0.71971200000000002</v>
      </c>
      <c r="K169" s="15">
        <f>'CUOTA LICITADA PEP'!O71</f>
        <v>0</v>
      </c>
      <c r="L169" s="15">
        <f>'CUOTA LICITADA PEP'!P71</f>
        <v>0.71971200000000002</v>
      </c>
      <c r="M169" s="192">
        <f>'CUOTA LICITADA PEP'!Q71</f>
        <v>0</v>
      </c>
      <c r="N169" s="16" t="s">
        <v>48</v>
      </c>
      <c r="O169" s="16">
        <f>'RESUMEN '!$B$3</f>
        <v>46324</v>
      </c>
      <c r="P169" s="14">
        <v>2026</v>
      </c>
      <c r="Q169" s="14"/>
    </row>
    <row r="170" spans="1:17" x14ac:dyDescent="0.2">
      <c r="A170" s="14" t="s">
        <v>198</v>
      </c>
      <c r="B170" s="14" t="s">
        <v>188</v>
      </c>
      <c r="C170" s="14" t="s">
        <v>113</v>
      </c>
      <c r="D170" s="14" t="s">
        <v>199</v>
      </c>
      <c r="E170" s="14" t="str">
        <f>'CUOTA LICITADA PEP'!C73</f>
        <v>ENFEMAR LTDA. SOC. PESQ.</v>
      </c>
      <c r="F170" s="16">
        <v>46082</v>
      </c>
      <c r="G170" s="16">
        <v>46265</v>
      </c>
      <c r="H170" s="15">
        <f>'CUOTA LICITADA PEP'!F73</f>
        <v>5.2171642499999997</v>
      </c>
      <c r="I170" s="15">
        <f>'CUOTA LICITADA PEP'!G73</f>
        <v>0</v>
      </c>
      <c r="J170" s="15">
        <f>'CUOTA LICITADA PEP'!H73</f>
        <v>5.2171642499999997</v>
      </c>
      <c r="K170" s="15">
        <f>'CUOTA LICITADA PEP'!I73</f>
        <v>0</v>
      </c>
      <c r="L170" s="15">
        <f>'CUOTA LICITADA PEP'!J73</f>
        <v>5.2171642499999997</v>
      </c>
      <c r="M170" s="192">
        <f>'CUOTA LICITADA PEP'!K73</f>
        <v>0</v>
      </c>
      <c r="N170" s="16" t="s">
        <v>48</v>
      </c>
      <c r="O170" s="16">
        <f>'RESUMEN '!$B$3</f>
        <v>46324</v>
      </c>
      <c r="P170" s="14">
        <v>2026</v>
      </c>
      <c r="Q170" s="14"/>
    </row>
    <row r="171" spans="1:17" x14ac:dyDescent="0.2">
      <c r="A171" s="14" t="s">
        <v>198</v>
      </c>
      <c r="B171" s="14" t="s">
        <v>188</v>
      </c>
      <c r="C171" s="14" t="s">
        <v>113</v>
      </c>
      <c r="D171" s="14" t="s">
        <v>199</v>
      </c>
      <c r="E171" s="14" t="str">
        <f>'CUOTA LICITADA PEP'!C73</f>
        <v>ENFEMAR LTDA. SOC. PESQ.</v>
      </c>
      <c r="F171" s="16">
        <v>46296</v>
      </c>
      <c r="G171" s="16">
        <v>46387</v>
      </c>
      <c r="H171" s="15">
        <f>'CUOTA LICITADA PEP'!F74</f>
        <v>0.58058714999999994</v>
      </c>
      <c r="I171" s="15">
        <f>'CUOTA LICITADA PEP'!G74</f>
        <v>0</v>
      </c>
      <c r="J171" s="15">
        <f>'CUOTA LICITADA PEP'!H74</f>
        <v>5.7977513999999992</v>
      </c>
      <c r="K171" s="15">
        <f>'CUOTA LICITADA PEP'!I74</f>
        <v>0</v>
      </c>
      <c r="L171" s="15">
        <f>'CUOTA LICITADA PEP'!J74</f>
        <v>5.7977513999999992</v>
      </c>
      <c r="M171" s="192">
        <f>'CUOTA LICITADA PEP'!K74</f>
        <v>0</v>
      </c>
      <c r="N171" s="16" t="s">
        <v>48</v>
      </c>
      <c r="O171" s="16">
        <f>'RESUMEN '!$B$3</f>
        <v>46324</v>
      </c>
      <c r="P171" s="14">
        <v>2026</v>
      </c>
      <c r="Q171" s="14"/>
    </row>
    <row r="172" spans="1:17" x14ac:dyDescent="0.2">
      <c r="A172" s="14" t="s">
        <v>198</v>
      </c>
      <c r="B172" s="14" t="s">
        <v>188</v>
      </c>
      <c r="C172" s="14" t="s">
        <v>113</v>
      </c>
      <c r="D172" s="14" t="s">
        <v>199</v>
      </c>
      <c r="E172" s="14" t="str">
        <f>'CUOTA LICITADA PEP'!C73</f>
        <v>ENFEMAR LTDA. SOC. PESQ.</v>
      </c>
      <c r="F172" s="16">
        <v>46023</v>
      </c>
      <c r="G172" s="16">
        <v>46387</v>
      </c>
      <c r="H172" s="15">
        <f>'CUOTA LICITADA PEP'!L73</f>
        <v>5.7977513999999992</v>
      </c>
      <c r="I172" s="15">
        <f>'CUOTA LICITADA PEP'!M73</f>
        <v>0</v>
      </c>
      <c r="J172" s="15">
        <f>'CUOTA LICITADA PEP'!N73</f>
        <v>5.7977513999999992</v>
      </c>
      <c r="K172" s="15">
        <f>'CUOTA LICITADA PEP'!O73</f>
        <v>0</v>
      </c>
      <c r="L172" s="15">
        <f>'CUOTA LICITADA PEP'!P73</f>
        <v>5.7977513999999992</v>
      </c>
      <c r="M172" s="192">
        <f>'CUOTA LICITADA PEP'!Q73</f>
        <v>0</v>
      </c>
      <c r="N172" s="16" t="s">
        <v>48</v>
      </c>
      <c r="O172" s="16">
        <f>'RESUMEN '!$B$3</f>
        <v>46324</v>
      </c>
      <c r="P172" s="14">
        <v>2026</v>
      </c>
      <c r="Q172" s="14"/>
    </row>
    <row r="173" spans="1:17" x14ac:dyDescent="0.2">
      <c r="A173" s="14" t="s">
        <v>198</v>
      </c>
      <c r="B173" s="14" t="s">
        <v>188</v>
      </c>
      <c r="C173" s="14" t="s">
        <v>113</v>
      </c>
      <c r="D173" s="14" t="s">
        <v>199</v>
      </c>
      <c r="E173" s="14" t="str">
        <f>'CUOTA LICITADA PEP'!C75</f>
        <v>INVERSIONES NAKAL SPA.</v>
      </c>
      <c r="F173" s="16">
        <v>46082</v>
      </c>
      <c r="G173" s="16">
        <v>46265</v>
      </c>
      <c r="H173" s="15">
        <f>'CUOTA LICITADA PEP'!F75</f>
        <v>0</v>
      </c>
      <c r="I173" s="15">
        <f>'CUOTA LICITADA PEP'!G75</f>
        <v>32.415999999999997</v>
      </c>
      <c r="J173" s="15">
        <f>'CUOTA LICITADA PEP'!H75</f>
        <v>32.415999999999997</v>
      </c>
      <c r="K173" s="15">
        <f>'CUOTA LICITADA PEP'!I75</f>
        <v>0</v>
      </c>
      <c r="L173" s="15">
        <f>'CUOTA LICITADA PEP'!J75</f>
        <v>32.415999999999997</v>
      </c>
      <c r="M173" s="192">
        <f>'CUOTA LICITADA PEP'!K75</f>
        <v>0</v>
      </c>
      <c r="N173" s="16" t="s">
        <v>48</v>
      </c>
      <c r="O173" s="16">
        <f>'RESUMEN '!$B$3</f>
        <v>46324</v>
      </c>
      <c r="P173" s="14">
        <v>2026</v>
      </c>
      <c r="Q173" s="14"/>
    </row>
    <row r="174" spans="1:17" x14ac:dyDescent="0.2">
      <c r="A174" s="14" t="s">
        <v>198</v>
      </c>
      <c r="B174" s="14" t="s">
        <v>188</v>
      </c>
      <c r="C174" s="14" t="s">
        <v>113</v>
      </c>
      <c r="D174" s="14" t="s">
        <v>199</v>
      </c>
      <c r="E174" s="14" t="str">
        <f>'CUOTA LICITADA PEP'!C75</f>
        <v>INVERSIONES NAKAL SPA.</v>
      </c>
      <c r="F174" s="16">
        <v>46296</v>
      </c>
      <c r="G174" s="16">
        <v>46387</v>
      </c>
      <c r="H174" s="15">
        <f>'CUOTA LICITADA PEP'!F76</f>
        <v>0</v>
      </c>
      <c r="I174" s="15">
        <f>'CUOTA LICITADA PEP'!G76</f>
        <v>0</v>
      </c>
      <c r="J174" s="15">
        <f>'CUOTA LICITADA PEP'!H76</f>
        <v>32.415999999999997</v>
      </c>
      <c r="K174" s="15">
        <f>'CUOTA LICITADA PEP'!I76</f>
        <v>0</v>
      </c>
      <c r="L174" s="15">
        <f>'CUOTA LICITADA PEP'!J76</f>
        <v>32.415999999999997</v>
      </c>
      <c r="M174" s="192">
        <f>'CUOTA LICITADA PEP'!K76</f>
        <v>0</v>
      </c>
      <c r="N174" s="16" t="s">
        <v>48</v>
      </c>
      <c r="O174" s="16">
        <f>'RESUMEN '!$B$3</f>
        <v>46324</v>
      </c>
      <c r="P174" s="14">
        <v>2026</v>
      </c>
      <c r="Q174" s="14"/>
    </row>
    <row r="175" spans="1:17" x14ac:dyDescent="0.2">
      <c r="A175" s="14" t="s">
        <v>198</v>
      </c>
      <c r="B175" s="14" t="s">
        <v>188</v>
      </c>
      <c r="C175" s="14" t="s">
        <v>113</v>
      </c>
      <c r="D175" s="14" t="s">
        <v>199</v>
      </c>
      <c r="E175" s="14" t="str">
        <f>'CUOTA LICITADA PEP'!C75</f>
        <v>INVERSIONES NAKAL SPA.</v>
      </c>
      <c r="F175" s="16">
        <v>46023</v>
      </c>
      <c r="G175" s="16">
        <v>46387</v>
      </c>
      <c r="H175" s="15">
        <f>'CUOTA LICITADA PEP'!L75</f>
        <v>0</v>
      </c>
      <c r="I175" s="15">
        <f>'CUOTA LICITADA PEP'!M75</f>
        <v>32.415999999999997</v>
      </c>
      <c r="J175" s="15">
        <f>'CUOTA LICITADA PEP'!N75</f>
        <v>32.415999999999997</v>
      </c>
      <c r="K175" s="15">
        <f>'CUOTA LICITADA PEP'!O75</f>
        <v>0</v>
      </c>
      <c r="L175" s="15">
        <f>'CUOTA LICITADA PEP'!P75</f>
        <v>32.415999999999997</v>
      </c>
      <c r="M175" s="192">
        <v>0</v>
      </c>
      <c r="N175" s="16" t="s">
        <v>48</v>
      </c>
      <c r="O175" s="16">
        <f>'RESUMEN '!$B$3</f>
        <v>46324</v>
      </c>
      <c r="P175" s="14">
        <v>2026</v>
      </c>
      <c r="Q175" s="14"/>
    </row>
    <row r="176" spans="1:17" x14ac:dyDescent="0.2">
      <c r="A176" s="14" t="s">
        <v>198</v>
      </c>
      <c r="B176" s="14" t="s">
        <v>188</v>
      </c>
      <c r="C176" s="14" t="s">
        <v>113</v>
      </c>
      <c r="D176" s="14" t="s">
        <v>199</v>
      </c>
      <c r="E176" s="14" t="str">
        <f>'CUOTA LICITADA PEP'!C77</f>
        <v>SOC. PESQ. NORDIOMAR SPA.</v>
      </c>
      <c r="F176" s="16">
        <v>46082</v>
      </c>
      <c r="G176" s="16">
        <v>46265</v>
      </c>
      <c r="H176" s="15">
        <f>'CUOTA LICITADA PEP'!F77</f>
        <v>12.78575</v>
      </c>
      <c r="I176" s="15">
        <f>'CUOTA LICITADA PEP'!G77</f>
        <v>0</v>
      </c>
      <c r="J176" s="15">
        <f>'CUOTA LICITADA PEP'!H77</f>
        <v>12.78575</v>
      </c>
      <c r="K176" s="15">
        <f>'CUOTA LICITADA PEP'!I77</f>
        <v>0</v>
      </c>
      <c r="L176" s="15">
        <f>'CUOTA LICITADA PEP'!J77</f>
        <v>12.78575</v>
      </c>
      <c r="M176" s="192">
        <f>'CUOTA LICITADA PEP'!K77</f>
        <v>0</v>
      </c>
      <c r="N176" s="16" t="s">
        <v>48</v>
      </c>
      <c r="O176" s="16">
        <f>'RESUMEN '!$B$3</f>
        <v>46324</v>
      </c>
      <c r="P176" s="14">
        <v>2026</v>
      </c>
      <c r="Q176" s="14"/>
    </row>
    <row r="177" spans="1:17" x14ac:dyDescent="0.2">
      <c r="A177" s="14" t="s">
        <v>198</v>
      </c>
      <c r="B177" s="14" t="s">
        <v>188</v>
      </c>
      <c r="C177" s="14" t="s">
        <v>113</v>
      </c>
      <c r="D177" s="14" t="s">
        <v>199</v>
      </c>
      <c r="E177" s="14" t="str">
        <f>'CUOTA LICITADA PEP'!C77</f>
        <v>SOC. PESQ. NORDIOMAR SPA.</v>
      </c>
      <c r="F177" s="16">
        <v>46296</v>
      </c>
      <c r="G177" s="16">
        <v>46387</v>
      </c>
      <c r="H177" s="15">
        <f>'CUOTA LICITADA PEP'!F78</f>
        <v>1.4228500000000002</v>
      </c>
      <c r="I177" s="15">
        <f>'CUOTA LICITADA PEP'!G78</f>
        <v>0</v>
      </c>
      <c r="J177" s="15">
        <f>'CUOTA LICITADA PEP'!H78</f>
        <v>14.208600000000001</v>
      </c>
      <c r="K177" s="15">
        <f>'CUOTA LICITADA PEP'!I78</f>
        <v>0</v>
      </c>
      <c r="L177" s="15">
        <f>'CUOTA LICITADA PEP'!J78</f>
        <v>14.208600000000001</v>
      </c>
      <c r="M177" s="192">
        <f>'CUOTA LICITADA PEP'!K78</f>
        <v>0</v>
      </c>
      <c r="N177" s="16" t="s">
        <v>48</v>
      </c>
      <c r="O177" s="16">
        <f>'RESUMEN '!$B$3</f>
        <v>46324</v>
      </c>
      <c r="P177" s="14">
        <v>2026</v>
      </c>
      <c r="Q177" s="14"/>
    </row>
    <row r="178" spans="1:17" x14ac:dyDescent="0.2">
      <c r="A178" s="14" t="s">
        <v>198</v>
      </c>
      <c r="B178" s="14" t="s">
        <v>188</v>
      </c>
      <c r="C178" s="14" t="s">
        <v>113</v>
      </c>
      <c r="D178" s="14" t="s">
        <v>199</v>
      </c>
      <c r="E178" s="14" t="str">
        <f>'CUOTA LICITADA PEP'!C77</f>
        <v>SOC. PESQ. NORDIOMAR SPA.</v>
      </c>
      <c r="F178" s="16">
        <v>46023</v>
      </c>
      <c r="G178" s="16">
        <v>46387</v>
      </c>
      <c r="H178" s="15">
        <f>'CUOTA LICITADA PEP'!L77</f>
        <v>14.208600000000001</v>
      </c>
      <c r="I178" s="15">
        <f>'CUOTA LICITADA PEP'!M77</f>
        <v>0</v>
      </c>
      <c r="J178" s="15">
        <f>'CUOTA LICITADA PEP'!N77</f>
        <v>14.208600000000001</v>
      </c>
      <c r="K178" s="15">
        <f>'CUOTA LICITADA PEP'!O77</f>
        <v>0</v>
      </c>
      <c r="L178" s="15">
        <f>'CUOTA LICITADA PEP'!P77</f>
        <v>14.208600000000001</v>
      </c>
      <c r="M178" s="192">
        <f>'CUOTA LICITADA PEP'!Q77</f>
        <v>0</v>
      </c>
      <c r="N178" s="16" t="s">
        <v>48</v>
      </c>
      <c r="O178" s="16">
        <f>'RESUMEN '!$B$3</f>
        <v>46324</v>
      </c>
      <c r="P178" s="14">
        <v>2026</v>
      </c>
      <c r="Q178" s="14"/>
    </row>
    <row r="179" spans="1:17" x14ac:dyDescent="0.2">
      <c r="A179" s="14" t="s">
        <v>198</v>
      </c>
      <c r="B179" s="14" t="s">
        <v>188</v>
      </c>
      <c r="C179" s="14" t="s">
        <v>113</v>
      </c>
      <c r="D179" s="14" t="s">
        <v>199</v>
      </c>
      <c r="E179" s="14" t="str">
        <f>'CUOTA LICITADA PEP'!C79</f>
        <v>PESQUERA SUR AUSTRAL</v>
      </c>
      <c r="F179" s="16">
        <v>46082</v>
      </c>
      <c r="G179" s="16">
        <v>46265</v>
      </c>
      <c r="H179" s="15">
        <f>'CUOTA LICITADA PEP'!F79</f>
        <v>6.2039799999999999E-2</v>
      </c>
      <c r="I179" s="15">
        <f>'CUOTA LICITADA PEP'!G79</f>
        <v>0</v>
      </c>
      <c r="J179" s="15">
        <f>'CUOTA LICITADA PEP'!H79</f>
        <v>6.2039799999999999E-2</v>
      </c>
      <c r="K179" s="15">
        <f>'CUOTA LICITADA PEP'!I79</f>
        <v>0</v>
      </c>
      <c r="L179" s="15">
        <f>'CUOTA LICITADA PEP'!J79</f>
        <v>6.2039799999999999E-2</v>
      </c>
      <c r="M179" s="192">
        <f>'CUOTA LICITADA PEP'!K79</f>
        <v>0</v>
      </c>
      <c r="N179" s="16" t="s">
        <v>48</v>
      </c>
      <c r="O179" s="16">
        <f>'RESUMEN '!$B$3</f>
        <v>46324</v>
      </c>
      <c r="P179" s="14">
        <v>2026</v>
      </c>
      <c r="Q179" s="14"/>
    </row>
    <row r="180" spans="1:17" x14ac:dyDescent="0.2">
      <c r="A180" s="14" t="s">
        <v>198</v>
      </c>
      <c r="B180" s="14" t="s">
        <v>188</v>
      </c>
      <c r="C180" s="14" t="s">
        <v>113</v>
      </c>
      <c r="D180" s="14" t="s">
        <v>199</v>
      </c>
      <c r="E180" s="14" t="str">
        <f>'CUOTA LICITADA PEP'!C79</f>
        <v>PESQUERA SUR AUSTRAL</v>
      </c>
      <c r="F180" s="16">
        <v>46296</v>
      </c>
      <c r="G180" s="16">
        <v>46387</v>
      </c>
      <c r="H180" s="15">
        <f>'CUOTA LICITADA PEP'!F80</f>
        <v>6.9040400000000002E-3</v>
      </c>
      <c r="I180" s="15">
        <f>'CUOTA LICITADA PEP'!G80</f>
        <v>0</v>
      </c>
      <c r="J180" s="15">
        <f>'CUOTA LICITADA PEP'!H80</f>
        <v>6.8943840000000006E-2</v>
      </c>
      <c r="K180" s="15">
        <f>'CUOTA LICITADA PEP'!I80</f>
        <v>0</v>
      </c>
      <c r="L180" s="15">
        <f>'CUOTA LICITADA PEP'!J80</f>
        <v>6.8943840000000006E-2</v>
      </c>
      <c r="M180" s="192">
        <f>'CUOTA LICITADA PEP'!K80</f>
        <v>0</v>
      </c>
      <c r="N180" s="16" t="s">
        <v>48</v>
      </c>
      <c r="O180" s="16">
        <f>'RESUMEN '!$B$3</f>
        <v>46324</v>
      </c>
      <c r="P180" s="14">
        <v>2026</v>
      </c>
      <c r="Q180" s="14"/>
    </row>
    <row r="181" spans="1:17" x14ac:dyDescent="0.2">
      <c r="A181" s="14" t="s">
        <v>198</v>
      </c>
      <c r="B181" s="14" t="s">
        <v>188</v>
      </c>
      <c r="C181" s="14" t="s">
        <v>113</v>
      </c>
      <c r="D181" s="14" t="s">
        <v>199</v>
      </c>
      <c r="E181" s="14" t="str">
        <f>'CUOTA LICITADA PEP'!C79</f>
        <v>PESQUERA SUR AUSTRAL</v>
      </c>
      <c r="F181" s="16">
        <v>46023</v>
      </c>
      <c r="G181" s="16">
        <v>46387</v>
      </c>
      <c r="H181" s="15">
        <f>'CUOTA LICITADA PEP'!L79</f>
        <v>6.8943840000000006E-2</v>
      </c>
      <c r="I181" s="15">
        <f>'CUOTA LICITADA PEP'!M79</f>
        <v>0</v>
      </c>
      <c r="J181" s="15">
        <f>'CUOTA LICITADA PEP'!N79</f>
        <v>6.8943840000000006E-2</v>
      </c>
      <c r="K181" s="15">
        <f>'CUOTA LICITADA PEP'!O79</f>
        <v>0</v>
      </c>
      <c r="L181" s="15">
        <f>'CUOTA LICITADA PEP'!P79</f>
        <v>6.8943840000000006E-2</v>
      </c>
      <c r="M181" s="192">
        <f>'CUOTA LICITADA PEP'!Q79</f>
        <v>0</v>
      </c>
      <c r="N181" s="16" t="s">
        <v>48</v>
      </c>
      <c r="O181" s="16">
        <f>'RESUMEN '!$B$3</f>
        <v>46324</v>
      </c>
      <c r="P181" s="14">
        <v>2026</v>
      </c>
      <c r="Q181" s="14"/>
    </row>
    <row r="182" spans="1:17" x14ac:dyDescent="0.2">
      <c r="A182" s="14" t="s">
        <v>198</v>
      </c>
      <c r="B182" s="14" t="s">
        <v>188</v>
      </c>
      <c r="C182" s="14" t="s">
        <v>113</v>
      </c>
      <c r="D182" s="14" t="s">
        <v>199</v>
      </c>
      <c r="E182" s="14" t="str">
        <f>'CUOTA LICITADA PEP'!C81</f>
        <v>COMERCIALIZADORA SIMON SEAFOOD LTDA.</v>
      </c>
      <c r="F182" s="16">
        <v>46082</v>
      </c>
      <c r="G182" s="16">
        <v>46265</v>
      </c>
      <c r="H182" s="15">
        <f>'CUOTA LICITADA PEP'!F81</f>
        <v>0</v>
      </c>
      <c r="I182" s="15">
        <f>'CUOTA LICITADA PEP'!G81</f>
        <v>0</v>
      </c>
      <c r="J182" s="15">
        <f>'CUOTA LICITADA PEP'!H81</f>
        <v>0</v>
      </c>
      <c r="K182" s="15">
        <f>'CUOTA LICITADA PEP'!I81</f>
        <v>0</v>
      </c>
      <c r="L182" s="15">
        <f>'CUOTA LICITADA PEP'!J81</f>
        <v>0</v>
      </c>
      <c r="M182" s="192">
        <f>'CUOTA LICITADA PEP'!K81</f>
        <v>0</v>
      </c>
      <c r="N182" s="16" t="s">
        <v>48</v>
      </c>
      <c r="O182" s="16">
        <f>'RESUMEN '!$B$3</f>
        <v>46324</v>
      </c>
      <c r="P182" s="14">
        <v>2026</v>
      </c>
      <c r="Q182" s="14"/>
    </row>
    <row r="183" spans="1:17" x14ac:dyDescent="0.2">
      <c r="A183" s="14" t="s">
        <v>198</v>
      </c>
      <c r="B183" s="14" t="s">
        <v>188</v>
      </c>
      <c r="C183" s="14" t="s">
        <v>113</v>
      </c>
      <c r="D183" s="14" t="s">
        <v>199</v>
      </c>
      <c r="E183" s="14" t="str">
        <f>'CUOTA LICITADA PEP'!C81</f>
        <v>COMERCIALIZADORA SIMON SEAFOOD LTDA.</v>
      </c>
      <c r="F183" s="16">
        <v>46296</v>
      </c>
      <c r="G183" s="16">
        <v>46387</v>
      </c>
      <c r="H183" s="15">
        <f>'CUOTA LICITADA PEP'!F82</f>
        <v>0</v>
      </c>
      <c r="I183" s="15">
        <f>'CUOTA LICITADA PEP'!G82</f>
        <v>0</v>
      </c>
      <c r="J183" s="15">
        <f>'CUOTA LICITADA PEP'!H82</f>
        <v>0</v>
      </c>
      <c r="K183" s="15">
        <f>'CUOTA LICITADA PEP'!I82</f>
        <v>0</v>
      </c>
      <c r="L183" s="15">
        <f>'CUOTA LICITADA PEP'!J82</f>
        <v>0</v>
      </c>
      <c r="M183" s="192">
        <f>'CUOTA LICITADA PEP'!K82</f>
        <v>0</v>
      </c>
      <c r="N183" s="16" t="s">
        <v>48</v>
      </c>
      <c r="O183" s="16">
        <f>'RESUMEN '!$B$3</f>
        <v>46324</v>
      </c>
      <c r="P183" s="14">
        <v>2026</v>
      </c>
      <c r="Q183" s="14"/>
    </row>
    <row r="184" spans="1:17" x14ac:dyDescent="0.2">
      <c r="A184" s="14" t="s">
        <v>198</v>
      </c>
      <c r="B184" s="14" t="s">
        <v>188</v>
      </c>
      <c r="C184" s="14" t="s">
        <v>113</v>
      </c>
      <c r="D184" s="14" t="s">
        <v>199</v>
      </c>
      <c r="E184" s="14" t="str">
        <f>'CUOTA LICITADA PEP'!C81</f>
        <v>COMERCIALIZADORA SIMON SEAFOOD LTDA.</v>
      </c>
      <c r="F184" s="16">
        <v>46023</v>
      </c>
      <c r="G184" s="16">
        <v>46387</v>
      </c>
      <c r="H184" s="15">
        <f>'CUOTA LICITADA PEP'!L81</f>
        <v>0</v>
      </c>
      <c r="I184" s="15">
        <f>'CUOTA LICITADA PEP'!M81</f>
        <v>0</v>
      </c>
      <c r="J184" s="15">
        <f>'CUOTA LICITADA PEP'!N81</f>
        <v>0</v>
      </c>
      <c r="K184" s="15">
        <f>'CUOTA LICITADA PEP'!O81</f>
        <v>0</v>
      </c>
      <c r="L184" s="15">
        <f>'CUOTA LICITADA PEP'!P81</f>
        <v>0</v>
      </c>
      <c r="M184" s="192">
        <f>'CUOTA LICITADA PEP'!Q81</f>
        <v>0</v>
      </c>
      <c r="N184" s="16" t="s">
        <v>48</v>
      </c>
      <c r="O184" s="16">
        <f>'RESUMEN '!$B$3</f>
        <v>46324</v>
      </c>
      <c r="P184" s="14">
        <v>2026</v>
      </c>
      <c r="Q184" s="14"/>
    </row>
    <row r="185" spans="1:17" x14ac:dyDescent="0.2">
      <c r="A185" s="14" t="s">
        <v>198</v>
      </c>
      <c r="B185" s="14" t="s">
        <v>188</v>
      </c>
      <c r="C185" s="14" t="s">
        <v>113</v>
      </c>
      <c r="D185" s="14" t="s">
        <v>199</v>
      </c>
      <c r="E185" s="14" t="str">
        <f>'CUOTA LICITADA PEP'!C83</f>
        <v>WILLIAMS MAUAD MEZA</v>
      </c>
      <c r="F185" s="16">
        <v>46082</v>
      </c>
      <c r="G185" s="16">
        <v>46265</v>
      </c>
      <c r="H185" s="15">
        <f>'CUOTA LICITADA PEP'!F83</f>
        <v>0</v>
      </c>
      <c r="I185" s="15">
        <f>'CUOTA LICITADA PEP'!G83</f>
        <v>0</v>
      </c>
      <c r="J185" s="15">
        <f>'CUOTA LICITADA PEP'!H83</f>
        <v>0</v>
      </c>
      <c r="K185" s="15">
        <f>'CUOTA LICITADA PEP'!I83</f>
        <v>0</v>
      </c>
      <c r="L185" s="15">
        <f>'CUOTA LICITADA PEP'!J83</f>
        <v>0</v>
      </c>
      <c r="M185" s="192">
        <f>'CUOTA LICITADA PEP'!K83</f>
        <v>0</v>
      </c>
      <c r="N185" s="16" t="s">
        <v>48</v>
      </c>
      <c r="O185" s="16">
        <f>'RESUMEN '!$B$3</f>
        <v>46324</v>
      </c>
      <c r="P185" s="14">
        <v>2026</v>
      </c>
      <c r="Q185" s="14"/>
    </row>
    <row r="186" spans="1:17" x14ac:dyDescent="0.2">
      <c r="A186" s="14" t="s">
        <v>198</v>
      </c>
      <c r="B186" s="14" t="s">
        <v>188</v>
      </c>
      <c r="C186" s="14" t="s">
        <v>113</v>
      </c>
      <c r="D186" s="14" t="s">
        <v>199</v>
      </c>
      <c r="E186" s="14" t="str">
        <f>'CUOTA LICITADA PEP'!C83</f>
        <v>WILLIAMS MAUAD MEZA</v>
      </c>
      <c r="F186" s="16">
        <v>46296</v>
      </c>
      <c r="G186" s="16">
        <v>46387</v>
      </c>
      <c r="H186" s="15">
        <f>'CUOTA LICITADA PEP'!F84</f>
        <v>0</v>
      </c>
      <c r="I186" s="15">
        <f>'CUOTA LICITADA PEP'!G84</f>
        <v>0</v>
      </c>
      <c r="J186" s="15">
        <f>'CUOTA LICITADA PEP'!H84</f>
        <v>0</v>
      </c>
      <c r="K186" s="15">
        <f>'CUOTA LICITADA PEP'!I84</f>
        <v>0</v>
      </c>
      <c r="L186" s="15">
        <f>'CUOTA LICITADA PEP'!J84</f>
        <v>0</v>
      </c>
      <c r="M186" s="192">
        <f>'CUOTA LICITADA PEP'!K84</f>
        <v>0</v>
      </c>
      <c r="N186" s="16" t="s">
        <v>48</v>
      </c>
      <c r="O186" s="16">
        <f>'RESUMEN '!$B$3</f>
        <v>46324</v>
      </c>
      <c r="P186" s="14">
        <v>2026</v>
      </c>
      <c r="Q186" s="14"/>
    </row>
    <row r="187" spans="1:17" x14ac:dyDescent="0.2">
      <c r="A187" s="14" t="s">
        <v>198</v>
      </c>
      <c r="B187" s="14" t="s">
        <v>188</v>
      </c>
      <c r="C187" s="14" t="s">
        <v>113</v>
      </c>
      <c r="D187" s="14" t="s">
        <v>199</v>
      </c>
      <c r="E187" s="14" t="str">
        <f>'CUOTA LICITADA PEP'!C83</f>
        <v>WILLIAMS MAUAD MEZA</v>
      </c>
      <c r="F187" s="16">
        <v>46023</v>
      </c>
      <c r="G187" s="16">
        <v>46387</v>
      </c>
      <c r="H187" s="15">
        <f>'CUOTA LICITADA PEP'!L83</f>
        <v>0</v>
      </c>
      <c r="I187" s="15">
        <f>'CUOTA LICITADA PEP'!M83</f>
        <v>0</v>
      </c>
      <c r="J187" s="15">
        <f>'CUOTA LICITADA PEP'!N83</f>
        <v>0</v>
      </c>
      <c r="K187" s="15">
        <f>'CUOTA LICITADA PEP'!O83</f>
        <v>0</v>
      </c>
      <c r="L187" s="15">
        <f>'CUOTA LICITADA PEP'!P83</f>
        <v>0</v>
      </c>
      <c r="M187" s="192">
        <f>'CUOTA LICITADA PEP'!Q83</f>
        <v>0</v>
      </c>
      <c r="N187" s="16" t="s">
        <v>48</v>
      </c>
      <c r="O187" s="16">
        <f>'RESUMEN '!$B$3</f>
        <v>46324</v>
      </c>
      <c r="P187" s="14">
        <v>2026</v>
      </c>
      <c r="Q187" s="14"/>
    </row>
    <row r="188" spans="1:17" x14ac:dyDescent="0.2">
      <c r="A188" s="14" t="s">
        <v>198</v>
      </c>
      <c r="B188" s="14" t="s">
        <v>188</v>
      </c>
      <c r="C188" s="14" t="s">
        <v>113</v>
      </c>
      <c r="D188" s="14" t="s">
        <v>199</v>
      </c>
      <c r="E188" s="14" t="str">
        <f>'CUOTA LICITADA PEP'!C85</f>
        <v xml:space="preserve">GUILLEROMO DONOSO TOBAR </v>
      </c>
      <c r="F188" s="16">
        <v>46082</v>
      </c>
      <c r="G188" s="16">
        <v>46265</v>
      </c>
      <c r="H188" s="15">
        <f>'CUOTA LICITADA PEP'!F85</f>
        <v>19.274999999999999</v>
      </c>
      <c r="I188" s="15">
        <f>'CUOTA LICITADA PEP'!G85</f>
        <v>-21.42</v>
      </c>
      <c r="J188" s="15">
        <f>'CUOTA LICITADA PEP'!H85</f>
        <v>-2.1450000000000031</v>
      </c>
      <c r="K188" s="15">
        <f>'CUOTA LICITADA PEP'!I85</f>
        <v>0</v>
      </c>
      <c r="L188" s="15">
        <f>'CUOTA LICITADA PEP'!J85</f>
        <v>-2.1450000000000031</v>
      </c>
      <c r="M188" s="192">
        <f>'CUOTA LICITADA PEP'!K85</f>
        <v>0</v>
      </c>
      <c r="N188" s="16" t="s">
        <v>48</v>
      </c>
      <c r="O188" s="16">
        <f>'RESUMEN '!$B$3</f>
        <v>46324</v>
      </c>
      <c r="P188" s="14">
        <v>2026</v>
      </c>
      <c r="Q188" s="14"/>
    </row>
    <row r="189" spans="1:17" x14ac:dyDescent="0.2">
      <c r="A189" s="14" t="s">
        <v>198</v>
      </c>
      <c r="B189" s="14" t="s">
        <v>188</v>
      </c>
      <c r="C189" s="14" t="s">
        <v>113</v>
      </c>
      <c r="D189" s="14" t="s">
        <v>199</v>
      </c>
      <c r="E189" s="14" t="str">
        <f>'CUOTA LICITADA PEP'!C85</f>
        <v xml:space="preserve">GUILLEROMO DONOSO TOBAR </v>
      </c>
      <c r="F189" s="16">
        <v>46296</v>
      </c>
      <c r="G189" s="16">
        <v>46387</v>
      </c>
      <c r="H189" s="15">
        <f>'CUOTA LICITADA PEP'!F86</f>
        <v>2.145</v>
      </c>
      <c r="I189" s="15">
        <f>'CUOTA LICITADA PEP'!G86</f>
        <v>0</v>
      </c>
      <c r="J189" s="15">
        <f>'CUOTA LICITADA PEP'!H86</f>
        <v>0</v>
      </c>
      <c r="K189" s="15">
        <f>'CUOTA LICITADA PEP'!I86</f>
        <v>0</v>
      </c>
      <c r="L189" s="15">
        <f>'CUOTA LICITADA PEP'!J86</f>
        <v>0</v>
      </c>
      <c r="M189" s="192">
        <f>'CUOTA LICITADA PEP'!K86</f>
        <v>0</v>
      </c>
      <c r="N189" s="16" t="s">
        <v>48</v>
      </c>
      <c r="O189" s="16">
        <f>'RESUMEN '!$B$3</f>
        <v>46324</v>
      </c>
      <c r="P189" s="14">
        <v>2026</v>
      </c>
      <c r="Q189" s="14"/>
    </row>
    <row r="190" spans="1:17" x14ac:dyDescent="0.2">
      <c r="A190" s="14" t="s">
        <v>198</v>
      </c>
      <c r="B190" s="14" t="s">
        <v>188</v>
      </c>
      <c r="C190" s="14" t="s">
        <v>113</v>
      </c>
      <c r="D190" s="14" t="s">
        <v>199</v>
      </c>
      <c r="E190" s="14" t="str">
        <f>'CUOTA LICITADA PEP'!C85</f>
        <v xml:space="preserve">GUILLEROMO DONOSO TOBAR </v>
      </c>
      <c r="F190" s="16">
        <v>46023</v>
      </c>
      <c r="G190" s="16">
        <v>46387</v>
      </c>
      <c r="H190" s="15">
        <f>'CUOTA LICITADA PEP'!L85</f>
        <v>21.419999999999998</v>
      </c>
      <c r="I190" s="15">
        <f>'CUOTA LICITADA PEP'!M85</f>
        <v>-21.42</v>
      </c>
      <c r="J190" s="15">
        <f>'CUOTA LICITADA PEP'!N85</f>
        <v>0</v>
      </c>
      <c r="K190" s="15">
        <f>'CUOTA LICITADA PEP'!O85</f>
        <v>0</v>
      </c>
      <c r="L190" s="15">
        <f>'CUOTA LICITADA PEP'!P85</f>
        <v>0</v>
      </c>
      <c r="M190" s="192">
        <f>'CUOTA LICITADA PEP'!Q85</f>
        <v>0</v>
      </c>
      <c r="N190" s="16" t="s">
        <v>48</v>
      </c>
      <c r="O190" s="16">
        <f>'RESUMEN '!$B$3</f>
        <v>46324</v>
      </c>
      <c r="P190" s="14">
        <v>2026</v>
      </c>
      <c r="Q190" s="14"/>
    </row>
    <row r="191" spans="1:17" x14ac:dyDescent="0.2">
      <c r="A191" s="17" t="s">
        <v>198</v>
      </c>
      <c r="B191" s="17" t="s">
        <v>188</v>
      </c>
      <c r="C191" s="17" t="s">
        <v>200</v>
      </c>
      <c r="D191" s="17" t="s">
        <v>201</v>
      </c>
      <c r="E191" s="17" t="s">
        <v>202</v>
      </c>
      <c r="F191" s="19">
        <v>46023</v>
      </c>
      <c r="G191" s="19">
        <v>46387</v>
      </c>
      <c r="H191" s="18">
        <f>'CUOTA LICITADA PEP'!F93</f>
        <v>2432.2052320280009</v>
      </c>
      <c r="I191" s="18">
        <f>'CUOTA LICITADA PEP'!G93</f>
        <v>0</v>
      </c>
      <c r="J191" s="18">
        <f>'CUOTA LICITADA PEP'!H93</f>
        <v>2432.2052320280009</v>
      </c>
      <c r="K191" s="18">
        <f>'CUOTA LICITADA PEP'!I93</f>
        <v>1372.771</v>
      </c>
      <c r="L191" s="18">
        <f>'CUOTA LICITADA PEP'!J93</f>
        <v>1059.4342320280009</v>
      </c>
      <c r="M191" s="193">
        <f>'CUOTA LICITADA PEP'!K93</f>
        <v>0.56441412999320273</v>
      </c>
      <c r="N191" s="19" t="s">
        <v>48</v>
      </c>
      <c r="O191" s="19">
        <f>'RESUMEN '!$B$3</f>
        <v>46324</v>
      </c>
      <c r="P191" s="250">
        <v>2026</v>
      </c>
      <c r="Q191" s="14"/>
    </row>
  </sheetData>
  <autoFilter ref="A1:Q191" xr:uid="{00000000-0001-0000-07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cf7c8d3-8c47-4a85-ae2f-ccca1975db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D0522A5D04824CAFEE4629576674BA" ma:contentTypeVersion="12" ma:contentTypeDescription="Crear nuevo documento." ma:contentTypeScope="" ma:versionID="d359c461a8625a1532763e7bdd91cd6f">
  <xsd:schema xmlns:xsd="http://www.w3.org/2001/XMLSchema" xmlns:xs="http://www.w3.org/2001/XMLSchema" xmlns:p="http://schemas.microsoft.com/office/2006/metadata/properties" xmlns:ns3="8cf7c8d3-8c47-4a85-ae2f-ccca1975db4e" targetNamespace="http://schemas.microsoft.com/office/2006/metadata/properties" ma:root="true" ma:fieldsID="ea36896f7037ed9c66295b0d5fccc10a" ns3:_="">
    <xsd:import namespace="8cf7c8d3-8c47-4a85-ae2f-ccca1975db4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7c8d3-8c47-4a85-ae2f-ccca1975db4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6A6AD2-AAE5-4BC6-A3E8-1E78101766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AD67BE-9254-4DC6-9872-473CAE7260AA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8cf7c8d3-8c47-4a85-ae2f-ccca1975db4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9220B25-B62E-4933-BC75-9FA6E072A3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f7c8d3-8c47-4a85-ae2f-ccca1975db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RESUMEN </vt:lpstr>
      <vt:lpstr>CUOTA ARTESANAL</vt:lpstr>
      <vt:lpstr>CUOTA LTP -INDUSTRIAL</vt:lpstr>
      <vt:lpstr>CUOTA LICITADA PEP</vt:lpstr>
      <vt:lpstr>LEY 21.752 CRUC</vt:lpstr>
      <vt:lpstr>PESCA DE INVESTIGACION</vt:lpstr>
      <vt:lpstr>CESIONES INDIVIDUALES</vt:lpstr>
      <vt:lpstr>MOVIMIENTOS</vt:lpstr>
      <vt:lpstr>PAG. 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CEA TELLO, MARIO ANDRES</dc:creator>
  <cp:keywords/>
  <dc:description/>
  <cp:lastModifiedBy>ARCE VERGARA,MARCELA MARGARITA</cp:lastModifiedBy>
  <cp:revision/>
  <dcterms:created xsi:type="dcterms:W3CDTF">2020-01-22T15:25:15Z</dcterms:created>
  <dcterms:modified xsi:type="dcterms:W3CDTF">2026-10-29T18:41:07Z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0x010100E3D0522A5D04824CAFEE4629576674BA</vt:lpwstr>
  </property>
</Properties>
</file>