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eseo\Proceso_de_Control_de_Cuotas\1_PLANILLAS CONTROL DE CUOTAS\2021\1.- Bentonicos\"/>
    </mc:Choice>
  </mc:AlternateContent>
  <bookViews>
    <workbookView xWindow="0" yWindow="0" windowWidth="19200" windowHeight="11295" tabRatio="728" activeTab="4"/>
  </bookViews>
  <sheets>
    <sheet name="RESUMEN " sheetId="1" r:id="rId1"/>
    <sheet name="CUOTA ARTESANAL" sheetId="2" r:id="rId2"/>
    <sheet name="REMANENTE" sheetId="10" r:id="rId3"/>
    <sheet name="CESIONES INDIVIDUALES" sheetId="5" r:id="rId4"/>
    <sheet name="CUOTA LTP (2)" sheetId="11" r:id="rId5"/>
    <sheet name="CUOTA LTP" sheetId="3" r:id="rId6"/>
    <sheet name="PESCA INVESTIGACION" sheetId="6" r:id="rId7"/>
    <sheet name="PAG. WEB" sheetId="4" r:id="rId8"/>
    <sheet name="Hoja2" sheetId="8" r:id="rId9"/>
    <sheet name="Hoja1" sheetId="9" r:id="rId10"/>
  </sheets>
  <definedNames>
    <definedName name="_xlnm._FilterDatabase" localSheetId="7" hidden="1">'PAG. WEB'!$A$1:$Q$336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1" i="11" l="1"/>
  <c r="O24" i="9"/>
  <c r="F50" i="11"/>
  <c r="H14" i="9" l="1"/>
  <c r="G14" i="9"/>
  <c r="N10" i="9"/>
  <c r="F93" i="11"/>
  <c r="F9" i="11"/>
  <c r="E56" i="11"/>
  <c r="F63" i="11"/>
  <c r="F105" i="11"/>
  <c r="F128" i="11"/>
  <c r="F21" i="11"/>
  <c r="F41" i="11"/>
  <c r="E23" i="11"/>
  <c r="K24" i="9"/>
  <c r="P24" i="9" s="1"/>
  <c r="J24" i="9"/>
  <c r="I24" i="9"/>
  <c r="H24" i="9"/>
  <c r="G24" i="9"/>
  <c r="F24" i="9"/>
  <c r="N24" i="9" s="1"/>
  <c r="L24" i="9" l="1"/>
  <c r="G132" i="11" l="1"/>
  <c r="I132" i="11"/>
  <c r="G133" i="11" s="1"/>
  <c r="I133" i="11" s="1"/>
  <c r="J132" i="11"/>
  <c r="K132" i="11"/>
  <c r="L132" i="11"/>
  <c r="N132" i="11"/>
  <c r="G86" i="11"/>
  <c r="I86" i="11" s="1"/>
  <c r="G87" i="11" s="1"/>
  <c r="J86" i="11"/>
  <c r="K86" i="11"/>
  <c r="L86" i="11"/>
  <c r="M86" i="11"/>
  <c r="O86" i="11" s="1"/>
  <c r="N86" i="11"/>
  <c r="G44" i="11"/>
  <c r="J44" i="11" s="1"/>
  <c r="I44" i="11"/>
  <c r="G45" i="11" s="1"/>
  <c r="I45" i="11" s="1"/>
  <c r="K44" i="11"/>
  <c r="L44" i="11"/>
  <c r="N44" i="11"/>
  <c r="P23" i="9"/>
  <c r="O23" i="9"/>
  <c r="N23" i="9"/>
  <c r="K23" i="9"/>
  <c r="J23" i="9"/>
  <c r="I23" i="9"/>
  <c r="H23" i="9"/>
  <c r="G23" i="9"/>
  <c r="F23" i="9"/>
  <c r="P21" i="9"/>
  <c r="O21" i="9"/>
  <c r="N21" i="9"/>
  <c r="G130" i="11"/>
  <c r="I130" i="11"/>
  <c r="G131" i="11" s="1"/>
  <c r="J130" i="11"/>
  <c r="K130" i="11"/>
  <c r="L130" i="11"/>
  <c r="M130" i="11"/>
  <c r="N130" i="11"/>
  <c r="O130" i="11"/>
  <c r="P130" i="11"/>
  <c r="G84" i="11"/>
  <c r="I84" i="11"/>
  <c r="G85" i="11" s="1"/>
  <c r="I85" i="11" s="1"/>
  <c r="J84" i="11"/>
  <c r="K84" i="11"/>
  <c r="M84" i="11" s="1"/>
  <c r="L84" i="11"/>
  <c r="N84" i="11"/>
  <c r="G42" i="11"/>
  <c r="I42" i="11" s="1"/>
  <c r="G43" i="11" s="1"/>
  <c r="K42" i="11"/>
  <c r="L42" i="11"/>
  <c r="M42" i="11"/>
  <c r="O42" i="11" s="1"/>
  <c r="N42" i="11"/>
  <c r="K22" i="9"/>
  <c r="J22" i="9"/>
  <c r="I22" i="9"/>
  <c r="H22" i="9"/>
  <c r="G22" i="9"/>
  <c r="F22" i="9"/>
  <c r="L40" i="11"/>
  <c r="M40" i="11" s="1"/>
  <c r="G40" i="11"/>
  <c r="I40" i="11"/>
  <c r="G41" i="11" s="1"/>
  <c r="J40" i="11"/>
  <c r="K40" i="11"/>
  <c r="N40" i="11"/>
  <c r="L82" i="11"/>
  <c r="M82" i="11" s="1"/>
  <c r="G82" i="11"/>
  <c r="I82" i="11"/>
  <c r="G83" i="11" s="1"/>
  <c r="J82" i="11"/>
  <c r="K82" i="11"/>
  <c r="N82" i="11"/>
  <c r="G128" i="11"/>
  <c r="I128" i="11"/>
  <c r="G129" i="11" s="1"/>
  <c r="J129" i="11" s="1"/>
  <c r="J128" i="11"/>
  <c r="K128" i="11"/>
  <c r="L128" i="11"/>
  <c r="N128" i="11"/>
  <c r="K21" i="9"/>
  <c r="J21" i="9"/>
  <c r="I21" i="9"/>
  <c r="H21" i="9"/>
  <c r="G21" i="9"/>
  <c r="F21" i="9"/>
  <c r="F10" i="9"/>
  <c r="M132" i="11" l="1"/>
  <c r="O132" i="11" s="1"/>
  <c r="P86" i="11"/>
  <c r="M44" i="11"/>
  <c r="O44" i="11" s="1"/>
  <c r="J133" i="11"/>
  <c r="I87" i="11"/>
  <c r="J87" i="11"/>
  <c r="J45" i="11"/>
  <c r="L23" i="9"/>
  <c r="M128" i="11"/>
  <c r="I131" i="11"/>
  <c r="J131" i="11"/>
  <c r="O84" i="11"/>
  <c r="P84" i="11"/>
  <c r="J85" i="11"/>
  <c r="P42" i="11"/>
  <c r="J43" i="11"/>
  <c r="I43" i="11"/>
  <c r="J42" i="11"/>
  <c r="L22" i="9"/>
  <c r="I41" i="11"/>
  <c r="J41" i="11"/>
  <c r="O40" i="11"/>
  <c r="P40" i="11"/>
  <c r="I83" i="11"/>
  <c r="J83" i="11"/>
  <c r="O82" i="11"/>
  <c r="P82" i="11"/>
  <c r="O128" i="11"/>
  <c r="P128" i="11"/>
  <c r="I129" i="11"/>
  <c r="L21" i="9"/>
  <c r="F118" i="11"/>
  <c r="P44" i="11" l="1"/>
  <c r="P132" i="11"/>
  <c r="H99" i="11"/>
  <c r="H63" i="11"/>
  <c r="H21" i="2" l="1"/>
  <c r="H105" i="11"/>
  <c r="H62" i="11" l="1"/>
  <c r="F134" i="11" l="1"/>
  <c r="F122" i="11"/>
  <c r="E121" i="11"/>
  <c r="E120" i="11"/>
  <c r="E119" i="11"/>
  <c r="E118" i="11"/>
  <c r="E117" i="11"/>
  <c r="E116" i="11"/>
  <c r="H115" i="11"/>
  <c r="H114" i="11"/>
  <c r="E115" i="11"/>
  <c r="E114" i="11"/>
  <c r="E113" i="11"/>
  <c r="E112" i="11"/>
  <c r="E111" i="11"/>
  <c r="E110" i="11"/>
  <c r="E109" i="11"/>
  <c r="E108" i="11"/>
  <c r="E107" i="11"/>
  <c r="E106" i="11"/>
  <c r="H104" i="11"/>
  <c r="E105" i="11"/>
  <c r="E104" i="11"/>
  <c r="E103" i="11"/>
  <c r="E102" i="11"/>
  <c r="E101" i="11"/>
  <c r="E100" i="11"/>
  <c r="H98" i="11"/>
  <c r="F98" i="11"/>
  <c r="E99" i="11"/>
  <c r="E98" i="11"/>
  <c r="H96" i="11"/>
  <c r="E97" i="11"/>
  <c r="E96" i="11"/>
  <c r="E95" i="11"/>
  <c r="E94" i="11"/>
  <c r="E93" i="11"/>
  <c r="E92" i="11"/>
  <c r="E91" i="11"/>
  <c r="E90" i="11"/>
  <c r="R10" i="11" s="1"/>
  <c r="U8" i="11"/>
  <c r="H15" i="1" s="1"/>
  <c r="E89" i="11"/>
  <c r="E88" i="11"/>
  <c r="E77" i="11"/>
  <c r="E76" i="11"/>
  <c r="E75" i="11"/>
  <c r="E74" i="11"/>
  <c r="E73" i="11"/>
  <c r="E72" i="11"/>
  <c r="E71" i="11"/>
  <c r="E70" i="11"/>
  <c r="E69" i="11"/>
  <c r="E68" i="11"/>
  <c r="E67" i="11"/>
  <c r="E66" i="11"/>
  <c r="E65" i="11"/>
  <c r="E64" i="11"/>
  <c r="E63" i="11"/>
  <c r="E62" i="11"/>
  <c r="E61" i="11"/>
  <c r="E60" i="11"/>
  <c r="H58" i="11"/>
  <c r="E59" i="11"/>
  <c r="E58" i="11"/>
  <c r="E57" i="11"/>
  <c r="H54" i="11"/>
  <c r="E55" i="11"/>
  <c r="E54" i="11"/>
  <c r="E53" i="11"/>
  <c r="E52" i="11"/>
  <c r="H50" i="11"/>
  <c r="E51" i="11"/>
  <c r="E50" i="11"/>
  <c r="H48" i="11"/>
  <c r="U9" i="11" s="1"/>
  <c r="E49" i="11"/>
  <c r="E48" i="11"/>
  <c r="E47" i="11"/>
  <c r="E4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2" i="11"/>
  <c r="E21" i="11"/>
  <c r="E20" i="11"/>
  <c r="E19" i="11"/>
  <c r="E18" i="11"/>
  <c r="E17" i="11"/>
  <c r="E16" i="11"/>
  <c r="E15" i="11"/>
  <c r="E14" i="11"/>
  <c r="E13" i="11"/>
  <c r="E12" i="11"/>
  <c r="E17" i="1" l="1"/>
  <c r="R9" i="11"/>
  <c r="E16" i="1" s="1"/>
  <c r="H16" i="1"/>
  <c r="E11" i="11"/>
  <c r="E10" i="11"/>
  <c r="G10" i="11" s="1"/>
  <c r="J10" i="11" s="1"/>
  <c r="E9" i="11"/>
  <c r="E8" i="11"/>
  <c r="E7" i="11"/>
  <c r="E6" i="11"/>
  <c r="G6" i="11" s="1"/>
  <c r="J6" i="11" s="1"/>
  <c r="N134" i="11"/>
  <c r="K134" i="11"/>
  <c r="N126" i="11"/>
  <c r="K126" i="11"/>
  <c r="N124" i="11"/>
  <c r="K124" i="11"/>
  <c r="N122" i="11"/>
  <c r="L122" i="11"/>
  <c r="K122" i="11"/>
  <c r="G122" i="11"/>
  <c r="I122" i="11" s="1"/>
  <c r="G123" i="11" s="1"/>
  <c r="J123" i="11" s="1"/>
  <c r="N120" i="11"/>
  <c r="N118" i="11"/>
  <c r="K118" i="11"/>
  <c r="N116" i="11"/>
  <c r="L116" i="11"/>
  <c r="K116" i="11"/>
  <c r="G116" i="11"/>
  <c r="N114" i="11"/>
  <c r="K114" i="11"/>
  <c r="N112" i="11"/>
  <c r="K112" i="11"/>
  <c r="N110" i="11"/>
  <c r="L110" i="11"/>
  <c r="K110" i="11"/>
  <c r="G110" i="11"/>
  <c r="I110" i="11" s="1"/>
  <c r="G111" i="11" s="1"/>
  <c r="J111" i="11" s="1"/>
  <c r="N108" i="11"/>
  <c r="L108" i="11"/>
  <c r="K108" i="11"/>
  <c r="G108" i="11"/>
  <c r="J108" i="11" s="1"/>
  <c r="N106" i="11"/>
  <c r="L106" i="11"/>
  <c r="K106" i="11"/>
  <c r="G106" i="11"/>
  <c r="I106" i="11" s="1"/>
  <c r="G107" i="11" s="1"/>
  <c r="N102" i="11"/>
  <c r="L102" i="11"/>
  <c r="K102" i="11"/>
  <c r="G102" i="11"/>
  <c r="J102" i="11" s="1"/>
  <c r="N100" i="11"/>
  <c r="L100" i="11"/>
  <c r="K100" i="11"/>
  <c r="G100" i="11"/>
  <c r="I100" i="11" s="1"/>
  <c r="G101" i="11" s="1"/>
  <c r="I101" i="11" s="1"/>
  <c r="N98" i="11"/>
  <c r="L98" i="11"/>
  <c r="N96" i="11"/>
  <c r="N94" i="11"/>
  <c r="L94" i="11"/>
  <c r="K94" i="11"/>
  <c r="G94" i="11"/>
  <c r="J94" i="11" s="1"/>
  <c r="H92" i="11"/>
  <c r="N90" i="11"/>
  <c r="L90" i="11"/>
  <c r="G90" i="11"/>
  <c r="J90" i="11" s="1"/>
  <c r="N88" i="11"/>
  <c r="N80" i="11"/>
  <c r="K80" i="11"/>
  <c r="N78" i="11"/>
  <c r="K78" i="11"/>
  <c r="N76" i="11"/>
  <c r="K76" i="11"/>
  <c r="N74" i="11"/>
  <c r="L74" i="11"/>
  <c r="K74" i="11"/>
  <c r="G74" i="11"/>
  <c r="J74" i="11" s="1"/>
  <c r="N72" i="11"/>
  <c r="K72" i="11"/>
  <c r="N70" i="11"/>
  <c r="K70" i="11"/>
  <c r="N68" i="11"/>
  <c r="L68" i="11"/>
  <c r="K68" i="11"/>
  <c r="G68" i="11"/>
  <c r="J68" i="11" s="1"/>
  <c r="N66" i="11"/>
  <c r="L66" i="11"/>
  <c r="K66" i="11"/>
  <c r="G66" i="11"/>
  <c r="J66" i="11" s="1"/>
  <c r="N64" i="11"/>
  <c r="L64" i="11"/>
  <c r="K64" i="11"/>
  <c r="G64" i="11"/>
  <c r="I64" i="11" s="1"/>
  <c r="G65" i="11" s="1"/>
  <c r="I65" i="11" s="1"/>
  <c r="N60" i="11"/>
  <c r="L60" i="11"/>
  <c r="G60" i="11"/>
  <c r="N58" i="11"/>
  <c r="L58" i="11"/>
  <c r="N56" i="11"/>
  <c r="L56" i="11"/>
  <c r="G56" i="11"/>
  <c r="J56" i="11" s="1"/>
  <c r="N54" i="11"/>
  <c r="N52" i="11"/>
  <c r="L52" i="11"/>
  <c r="N50" i="11"/>
  <c r="N48" i="11"/>
  <c r="L48" i="11"/>
  <c r="G48" i="11"/>
  <c r="N46" i="11"/>
  <c r="N38" i="11"/>
  <c r="K38" i="11"/>
  <c r="N36" i="11"/>
  <c r="K36" i="11"/>
  <c r="N34" i="11"/>
  <c r="K34" i="11"/>
  <c r="N32" i="11"/>
  <c r="L32" i="11"/>
  <c r="G32" i="11"/>
  <c r="N30" i="11"/>
  <c r="N28" i="11"/>
  <c r="N26" i="11"/>
  <c r="L26" i="11"/>
  <c r="G26" i="11"/>
  <c r="N24" i="11"/>
  <c r="L24" i="11"/>
  <c r="G24" i="11"/>
  <c r="J24" i="11" s="1"/>
  <c r="N22" i="11"/>
  <c r="L22" i="11"/>
  <c r="K22" i="11"/>
  <c r="G22" i="11"/>
  <c r="I22" i="11" s="1"/>
  <c r="G23" i="11" s="1"/>
  <c r="N20" i="11"/>
  <c r="N18" i="11"/>
  <c r="L18" i="11"/>
  <c r="N16" i="11"/>
  <c r="L16" i="11"/>
  <c r="G16" i="11"/>
  <c r="N14" i="11"/>
  <c r="L14" i="11"/>
  <c r="N12" i="11"/>
  <c r="N10" i="11"/>
  <c r="L10" i="11"/>
  <c r="N8" i="11"/>
  <c r="N6" i="11"/>
  <c r="L6" i="11"/>
  <c r="B3" i="11"/>
  <c r="N92" i="11" l="1"/>
  <c r="U10" i="11"/>
  <c r="H17" i="1" s="1"/>
  <c r="R8" i="11"/>
  <c r="K52" i="11"/>
  <c r="M52" i="11" s="1"/>
  <c r="O52" i="11" s="1"/>
  <c r="M74" i="11"/>
  <c r="O74" i="11" s="1"/>
  <c r="M94" i="11"/>
  <c r="O94" i="11" s="1"/>
  <c r="K32" i="11"/>
  <c r="M32" i="11" s="1"/>
  <c r="O32" i="11" s="1"/>
  <c r="K54" i="11"/>
  <c r="M64" i="11"/>
  <c r="O64" i="11" s="1"/>
  <c r="I74" i="11"/>
  <c r="G75" i="11" s="1"/>
  <c r="I75" i="11" s="1"/>
  <c r="N104" i="11"/>
  <c r="M100" i="11"/>
  <c r="P100" i="11" s="1"/>
  <c r="I66" i="11"/>
  <c r="G67" i="11" s="1"/>
  <c r="I67" i="11" s="1"/>
  <c r="K62" i="11"/>
  <c r="J64" i="11"/>
  <c r="M66" i="11"/>
  <c r="O66" i="11" s="1"/>
  <c r="I90" i="11"/>
  <c r="G91" i="11" s="1"/>
  <c r="J48" i="11"/>
  <c r="I48" i="11"/>
  <c r="G49" i="11" s="1"/>
  <c r="K48" i="11"/>
  <c r="M48" i="11" s="1"/>
  <c r="O48" i="11" s="1"/>
  <c r="G52" i="11"/>
  <c r="J52" i="11" s="1"/>
  <c r="J110" i="11"/>
  <c r="M116" i="11"/>
  <c r="O116" i="11" s="1"/>
  <c r="J100" i="11"/>
  <c r="K92" i="11"/>
  <c r="I68" i="11"/>
  <c r="G69" i="11" s="1"/>
  <c r="I69" i="11" s="1"/>
  <c r="K88" i="11"/>
  <c r="K98" i="11"/>
  <c r="M98" i="11" s="1"/>
  <c r="K10" i="11"/>
  <c r="M10" i="11" s="1"/>
  <c r="O10" i="11" s="1"/>
  <c r="K96" i="11"/>
  <c r="I60" i="11"/>
  <c r="G61" i="11" s="1"/>
  <c r="J60" i="11"/>
  <c r="J16" i="11"/>
  <c r="I16" i="11"/>
  <c r="G17" i="11" s="1"/>
  <c r="I17" i="11" s="1"/>
  <c r="K16" i="11"/>
  <c r="M16" i="11" s="1"/>
  <c r="I56" i="11"/>
  <c r="G57" i="11" s="1"/>
  <c r="I108" i="11"/>
  <c r="G109" i="11" s="1"/>
  <c r="J109" i="11" s="1"/>
  <c r="J122" i="11"/>
  <c r="K8" i="11"/>
  <c r="K12" i="11"/>
  <c r="K20" i="11"/>
  <c r="N62" i="11"/>
  <c r="J65" i="11"/>
  <c r="M68" i="11"/>
  <c r="O68" i="11" s="1"/>
  <c r="K104" i="11"/>
  <c r="J106" i="11"/>
  <c r="J101" i="11"/>
  <c r="I94" i="11"/>
  <c r="G95" i="11" s="1"/>
  <c r="M102" i="11"/>
  <c r="O102" i="11" s="1"/>
  <c r="E136" i="11"/>
  <c r="I6" i="11"/>
  <c r="G7" i="11" s="1"/>
  <c r="J23" i="11"/>
  <c r="I23" i="11"/>
  <c r="K14" i="11"/>
  <c r="M14" i="11" s="1"/>
  <c r="G14" i="11"/>
  <c r="K24" i="11"/>
  <c r="M24" i="11" s="1"/>
  <c r="O24" i="11" s="1"/>
  <c r="K58" i="11"/>
  <c r="M58" i="11" s="1"/>
  <c r="O58" i="11" s="1"/>
  <c r="G58" i="11"/>
  <c r="I10" i="11"/>
  <c r="G11" i="11" s="1"/>
  <c r="I24" i="11"/>
  <c r="G25" i="11" s="1"/>
  <c r="I32" i="11"/>
  <c r="G33" i="11" s="1"/>
  <c r="J32" i="11"/>
  <c r="K6" i="11"/>
  <c r="M6" i="11" s="1"/>
  <c r="J26" i="11"/>
  <c r="I26" i="11"/>
  <c r="G27" i="11" s="1"/>
  <c r="K26" i="11"/>
  <c r="M26" i="11" s="1"/>
  <c r="O26" i="11" s="1"/>
  <c r="K18" i="11"/>
  <c r="M18" i="11" s="1"/>
  <c r="O18" i="11" s="1"/>
  <c r="G18" i="11"/>
  <c r="J22" i="11"/>
  <c r="K28" i="11"/>
  <c r="K46" i="11"/>
  <c r="K50" i="11"/>
  <c r="K56" i="11"/>
  <c r="M56" i="11" s="1"/>
  <c r="J107" i="11"/>
  <c r="I107" i="11"/>
  <c r="M22" i="11"/>
  <c r="O22" i="11" s="1"/>
  <c r="H136" i="11"/>
  <c r="K30" i="11"/>
  <c r="K60" i="11"/>
  <c r="M60" i="11" s="1"/>
  <c r="K90" i="11"/>
  <c r="M90" i="11" s="1"/>
  <c r="G134" i="11"/>
  <c r="L134" i="11"/>
  <c r="M134" i="11" s="1"/>
  <c r="O134" i="11" s="1"/>
  <c r="G98" i="11"/>
  <c r="I98" i="11" s="1"/>
  <c r="G99" i="11" s="1"/>
  <c r="I111" i="11"/>
  <c r="I102" i="11"/>
  <c r="G103" i="11" s="1"/>
  <c r="M110" i="11"/>
  <c r="O110" i="11" s="1"/>
  <c r="I116" i="11"/>
  <c r="G117" i="11" s="1"/>
  <c r="J116" i="11"/>
  <c r="K120" i="11"/>
  <c r="I123" i="11"/>
  <c r="M106" i="11"/>
  <c r="O106" i="11" s="1"/>
  <c r="M122" i="11"/>
  <c r="O122" i="11" s="1"/>
  <c r="M108" i="11"/>
  <c r="H165" i="3"/>
  <c r="E15" i="1" l="1"/>
  <c r="P32" i="11"/>
  <c r="P74" i="11"/>
  <c r="P52" i="11"/>
  <c r="P68" i="11"/>
  <c r="P94" i="11"/>
  <c r="P24" i="11"/>
  <c r="P102" i="11"/>
  <c r="J67" i="11"/>
  <c r="N136" i="11"/>
  <c r="J69" i="11"/>
  <c r="I52" i="11"/>
  <c r="G53" i="11" s="1"/>
  <c r="I53" i="11" s="1"/>
  <c r="I109" i="11"/>
  <c r="P10" i="11"/>
  <c r="P66" i="11"/>
  <c r="P122" i="11"/>
  <c r="P64" i="11"/>
  <c r="J75" i="11"/>
  <c r="P116" i="11"/>
  <c r="P106" i="11"/>
  <c r="O100" i="11"/>
  <c r="P48" i="11"/>
  <c r="P18" i="11"/>
  <c r="P58" i="11"/>
  <c r="J17" i="11"/>
  <c r="P22" i="11"/>
  <c r="J95" i="11"/>
  <c r="I95" i="11"/>
  <c r="P26" i="11"/>
  <c r="J134" i="11"/>
  <c r="I134" i="11"/>
  <c r="G135" i="11" s="1"/>
  <c r="V64" i="11"/>
  <c r="O60" i="11"/>
  <c r="P60" i="11"/>
  <c r="J49" i="11"/>
  <c r="I49" i="11"/>
  <c r="O14" i="11"/>
  <c r="P14" i="11"/>
  <c r="I103" i="11"/>
  <c r="J103" i="11"/>
  <c r="I91" i="11"/>
  <c r="J91" i="11"/>
  <c r="P110" i="11"/>
  <c r="O16" i="11"/>
  <c r="P16" i="11"/>
  <c r="J33" i="11"/>
  <c r="I33" i="11"/>
  <c r="J58" i="11"/>
  <c r="I58" i="11"/>
  <c r="G59" i="11" s="1"/>
  <c r="J98" i="11"/>
  <c r="O90" i="11"/>
  <c r="P90" i="11"/>
  <c r="O56" i="11"/>
  <c r="P56" i="11"/>
  <c r="I27" i="11"/>
  <c r="J27" i="11"/>
  <c r="O108" i="11"/>
  <c r="P108" i="11"/>
  <c r="I117" i="11"/>
  <c r="J117" i="11"/>
  <c r="K136" i="11"/>
  <c r="I57" i="11"/>
  <c r="J57" i="11"/>
  <c r="J11" i="11"/>
  <c r="I11" i="11"/>
  <c r="O6" i="11"/>
  <c r="P6" i="11"/>
  <c r="O98" i="11"/>
  <c r="P98" i="11"/>
  <c r="I61" i="11"/>
  <c r="J61" i="11"/>
  <c r="I25" i="11"/>
  <c r="J25" i="11"/>
  <c r="I7" i="11"/>
  <c r="J7" i="11"/>
  <c r="I14" i="11"/>
  <c r="G15" i="11" s="1"/>
  <c r="J14" i="11"/>
  <c r="P134" i="11"/>
  <c r="I99" i="11"/>
  <c r="J99" i="11"/>
  <c r="J18" i="11"/>
  <c r="I18" i="11"/>
  <c r="G19" i="11" s="1"/>
  <c r="H93" i="3"/>
  <c r="J53" i="11" l="1"/>
  <c r="J15" i="11"/>
  <c r="I15" i="11"/>
  <c r="I59" i="11"/>
  <c r="J59" i="11"/>
  <c r="I19" i="11"/>
  <c r="J19" i="11"/>
  <c r="J135" i="11"/>
  <c r="I135" i="11"/>
  <c r="E20" i="9"/>
  <c r="K226" i="3"/>
  <c r="N226" i="3"/>
  <c r="K186" i="3"/>
  <c r="N186" i="3"/>
  <c r="K146" i="3"/>
  <c r="N146" i="3"/>
  <c r="K110" i="3"/>
  <c r="N110" i="3"/>
  <c r="K74" i="3"/>
  <c r="N74" i="3"/>
  <c r="N38" i="3"/>
  <c r="E39" i="3"/>
  <c r="K38" i="3" l="1"/>
  <c r="H158" i="3" l="1"/>
  <c r="H10" i="2"/>
  <c r="H12" i="2" l="1"/>
  <c r="F10" i="2"/>
  <c r="F228" i="3" l="1"/>
  <c r="F198" i="3"/>
  <c r="F188" i="3"/>
  <c r="F158" i="3" l="1"/>
  <c r="H14" i="2" l="1"/>
  <c r="E11" i="6"/>
  <c r="H92" i="3"/>
  <c r="F18" i="2"/>
  <c r="H152" i="3" l="1"/>
  <c r="H128" i="3"/>
  <c r="H80" i="3"/>
  <c r="H198" i="3" l="1"/>
  <c r="H204" i="3" l="1"/>
  <c r="H116" i="3"/>
  <c r="F6" i="6"/>
  <c r="F11" i="6" s="1"/>
  <c r="H164" i="3" l="1"/>
  <c r="H7" i="10" l="1"/>
  <c r="G7" i="10"/>
  <c r="G13" i="10" l="1"/>
  <c r="G14" i="10"/>
  <c r="G15" i="10"/>
  <c r="H13" i="10"/>
  <c r="H14" i="10"/>
  <c r="H15" i="10"/>
  <c r="H8" i="10" l="1"/>
  <c r="H11" i="10"/>
  <c r="G8" i="10"/>
  <c r="B2" i="10" l="1"/>
  <c r="B3" i="2"/>
  <c r="G9" i="10" l="1"/>
  <c r="H9" i="10"/>
  <c r="G10" i="10"/>
  <c r="H10" i="10"/>
  <c r="G11" i="10"/>
  <c r="G12" i="10"/>
  <c r="H12" i="10"/>
  <c r="K224" i="3" l="1"/>
  <c r="N224" i="3"/>
  <c r="K184" i="3"/>
  <c r="N184" i="3"/>
  <c r="K144" i="3"/>
  <c r="N144" i="3"/>
  <c r="K108" i="3"/>
  <c r="N108" i="3"/>
  <c r="K72" i="3"/>
  <c r="N72" i="3"/>
  <c r="N36" i="3"/>
  <c r="E37" i="3"/>
  <c r="K36" i="3" s="1"/>
  <c r="H3" i="9" l="1"/>
  <c r="H2" i="9"/>
  <c r="D4" i="9"/>
  <c r="E4" i="9"/>
  <c r="F4" i="9"/>
  <c r="G4" i="9"/>
  <c r="K11" i="9"/>
  <c r="C4" i="9"/>
  <c r="B4" i="9"/>
  <c r="I19" i="9" l="1"/>
  <c r="I17" i="9"/>
  <c r="I15" i="9"/>
  <c r="I18" i="9"/>
  <c r="I20" i="9" s="1"/>
  <c r="I14" i="9"/>
  <c r="F136" i="3" s="1"/>
  <c r="I16" i="9"/>
  <c r="H18" i="9"/>
  <c r="H15" i="9"/>
  <c r="H16" i="9"/>
  <c r="H17" i="9"/>
  <c r="H19" i="9"/>
  <c r="K18" i="9"/>
  <c r="K20" i="9" s="1"/>
  <c r="K14" i="9"/>
  <c r="F212" i="3" s="1"/>
  <c r="K15" i="9"/>
  <c r="K16" i="9"/>
  <c r="K17" i="9"/>
  <c r="K19" i="9"/>
  <c r="G18" i="9"/>
  <c r="G17" i="9"/>
  <c r="G19" i="9"/>
  <c r="G15" i="9"/>
  <c r="G16" i="9"/>
  <c r="F13" i="9"/>
  <c r="F19" i="9"/>
  <c r="F15" i="9"/>
  <c r="F14" i="9"/>
  <c r="F18" i="9"/>
  <c r="F20" i="9" s="1"/>
  <c r="F17" i="9"/>
  <c r="F16" i="9"/>
  <c r="J15" i="9"/>
  <c r="J16" i="9"/>
  <c r="J17" i="9"/>
  <c r="J18" i="9"/>
  <c r="J19" i="9"/>
  <c r="J14" i="9"/>
  <c r="K10" i="9"/>
  <c r="F192" i="3" s="1"/>
  <c r="K13" i="9"/>
  <c r="I10" i="9"/>
  <c r="F116" i="3" s="1"/>
  <c r="I13" i="9"/>
  <c r="J10" i="9"/>
  <c r="J13" i="9"/>
  <c r="H10" i="9"/>
  <c r="F108" i="3" s="1"/>
  <c r="H13" i="9"/>
  <c r="G10" i="9"/>
  <c r="G13" i="9"/>
  <c r="F144" i="3"/>
  <c r="F184" i="3"/>
  <c r="F36" i="3"/>
  <c r="F224" i="3"/>
  <c r="H4" i="9"/>
  <c r="E12" i="9" s="1"/>
  <c r="I11" i="9"/>
  <c r="L10" i="9" l="1"/>
  <c r="F8" i="3"/>
  <c r="F28" i="3"/>
  <c r="L14" i="9"/>
  <c r="F36" i="11"/>
  <c r="F8" i="11"/>
  <c r="F44" i="3"/>
  <c r="F124" i="11"/>
  <c r="F92" i="11"/>
  <c r="F152" i="3"/>
  <c r="J20" i="9"/>
  <c r="L16" i="9"/>
  <c r="L15" i="9"/>
  <c r="L18" i="9"/>
  <c r="G20" i="9"/>
  <c r="F76" i="11"/>
  <c r="F80" i="11"/>
  <c r="F106" i="3"/>
  <c r="F110" i="3"/>
  <c r="F70" i="11"/>
  <c r="F100" i="3"/>
  <c r="F114" i="11"/>
  <c r="F96" i="11"/>
  <c r="F34" i="11"/>
  <c r="F38" i="11"/>
  <c r="F70" i="3"/>
  <c r="F74" i="3"/>
  <c r="F128" i="3"/>
  <c r="F148" i="3"/>
  <c r="F72" i="11"/>
  <c r="F54" i="11"/>
  <c r="F126" i="11"/>
  <c r="F186" i="3"/>
  <c r="F178" i="3"/>
  <c r="L17" i="9"/>
  <c r="F38" i="3"/>
  <c r="F34" i="3"/>
  <c r="L19" i="9"/>
  <c r="F146" i="3"/>
  <c r="F142" i="3"/>
  <c r="F30" i="11"/>
  <c r="F12" i="11"/>
  <c r="H20" i="9"/>
  <c r="F78" i="11"/>
  <c r="F80" i="3"/>
  <c r="F112" i="11"/>
  <c r="F172" i="3"/>
  <c r="F40" i="3"/>
  <c r="F20" i="3"/>
  <c r="F12" i="3"/>
  <c r="L13" i="9"/>
  <c r="F28" i="11"/>
  <c r="F64" i="3"/>
  <c r="F218" i="3"/>
  <c r="F226" i="3"/>
  <c r="F204" i="3"/>
  <c r="F220" i="3"/>
  <c r="F72" i="3"/>
  <c r="G72" i="3" s="1"/>
  <c r="F138" i="3"/>
  <c r="F120" i="3"/>
  <c r="F30" i="3"/>
  <c r="F156" i="3"/>
  <c r="F174" i="3"/>
  <c r="F214" i="3"/>
  <c r="F196" i="3"/>
  <c r="F48" i="3"/>
  <c r="F66" i="3"/>
  <c r="F102" i="3"/>
  <c r="F84" i="3"/>
  <c r="G26" i="9"/>
  <c r="G36" i="3"/>
  <c r="L36" i="3"/>
  <c r="M36" i="3" s="1"/>
  <c r="L108" i="3"/>
  <c r="M108" i="3" s="1"/>
  <c r="G108" i="3"/>
  <c r="L224" i="3"/>
  <c r="M224" i="3" s="1"/>
  <c r="G224" i="3"/>
  <c r="G144" i="3"/>
  <c r="L144" i="3"/>
  <c r="M144" i="3" s="1"/>
  <c r="L184" i="3"/>
  <c r="M184" i="3" s="1"/>
  <c r="G184" i="3"/>
  <c r="L112" i="11" l="1"/>
  <c r="M112" i="11" s="1"/>
  <c r="G112" i="11"/>
  <c r="G76" i="11"/>
  <c r="L76" i="11"/>
  <c r="M76" i="11" s="1"/>
  <c r="L12" i="11"/>
  <c r="M12" i="11" s="1"/>
  <c r="G12" i="11"/>
  <c r="L54" i="11"/>
  <c r="M54" i="11" s="1"/>
  <c r="G54" i="11"/>
  <c r="L74" i="3"/>
  <c r="M74" i="3" s="1"/>
  <c r="G74" i="3"/>
  <c r="L96" i="11"/>
  <c r="M96" i="11" s="1"/>
  <c r="G96" i="11"/>
  <c r="L110" i="3"/>
  <c r="M110" i="3" s="1"/>
  <c r="G110" i="3"/>
  <c r="F20" i="11"/>
  <c r="F46" i="11"/>
  <c r="F56" i="3"/>
  <c r="F76" i="3"/>
  <c r="F120" i="11"/>
  <c r="F104" i="11"/>
  <c r="F180" i="3"/>
  <c r="F164" i="3"/>
  <c r="G146" i="3"/>
  <c r="L146" i="3"/>
  <c r="M146" i="3" s="1"/>
  <c r="G34" i="11"/>
  <c r="L34" i="11"/>
  <c r="M34" i="11" s="1"/>
  <c r="L124" i="11"/>
  <c r="M124" i="11" s="1"/>
  <c r="G124" i="11"/>
  <c r="L28" i="11"/>
  <c r="M28" i="11" s="1"/>
  <c r="G28" i="11"/>
  <c r="L78" i="11"/>
  <c r="M78" i="11" s="1"/>
  <c r="G78" i="11"/>
  <c r="L30" i="11"/>
  <c r="M30" i="11" s="1"/>
  <c r="G30" i="11"/>
  <c r="L186" i="3"/>
  <c r="M186" i="3" s="1"/>
  <c r="G186" i="3"/>
  <c r="L72" i="11"/>
  <c r="M72" i="11" s="1"/>
  <c r="G72" i="11"/>
  <c r="G114" i="11"/>
  <c r="L114" i="11"/>
  <c r="M114" i="11" s="1"/>
  <c r="L20" i="9"/>
  <c r="G8" i="11"/>
  <c r="L8" i="11"/>
  <c r="F88" i="11"/>
  <c r="F62" i="11"/>
  <c r="F112" i="3"/>
  <c r="F230" i="3" s="1"/>
  <c r="F92" i="3"/>
  <c r="G118" i="11"/>
  <c r="L118" i="11"/>
  <c r="M118" i="11" s="1"/>
  <c r="L70" i="11"/>
  <c r="M70" i="11" s="1"/>
  <c r="G70" i="11"/>
  <c r="L72" i="3"/>
  <c r="M72" i="3" s="1"/>
  <c r="L226" i="3"/>
  <c r="M226" i="3" s="1"/>
  <c r="G226" i="3"/>
  <c r="L50" i="11"/>
  <c r="M50" i="11" s="1"/>
  <c r="G50" i="11"/>
  <c r="L38" i="3"/>
  <c r="M38" i="3" s="1"/>
  <c r="G38" i="3"/>
  <c r="G126" i="11"/>
  <c r="L126" i="11"/>
  <c r="M126" i="11" s="1"/>
  <c r="G38" i="11"/>
  <c r="L38" i="11"/>
  <c r="M38" i="11" s="1"/>
  <c r="L80" i="11"/>
  <c r="M80" i="11" s="1"/>
  <c r="G80" i="11"/>
  <c r="L92" i="11"/>
  <c r="M92" i="11" s="1"/>
  <c r="G92" i="11"/>
  <c r="L36" i="11"/>
  <c r="M36" i="11" s="1"/>
  <c r="G36" i="11"/>
  <c r="P72" i="3"/>
  <c r="O72" i="3"/>
  <c r="O184" i="3"/>
  <c r="P184" i="3"/>
  <c r="O224" i="3"/>
  <c r="P224" i="3"/>
  <c r="I36" i="3"/>
  <c r="G37" i="3" s="1"/>
  <c r="J36" i="3"/>
  <c r="I72" i="3"/>
  <c r="G73" i="3" s="1"/>
  <c r="J72" i="3"/>
  <c r="O144" i="3"/>
  <c r="P144" i="3"/>
  <c r="J108" i="3"/>
  <c r="I108" i="3"/>
  <c r="G109" i="3" s="1"/>
  <c r="J144" i="3"/>
  <c r="I144" i="3"/>
  <c r="G145" i="3" s="1"/>
  <c r="O108" i="3"/>
  <c r="P108" i="3"/>
  <c r="I184" i="3"/>
  <c r="G185" i="3" s="1"/>
  <c r="J184" i="3"/>
  <c r="J224" i="3"/>
  <c r="I224" i="3"/>
  <c r="G225" i="3" s="1"/>
  <c r="O36" i="3"/>
  <c r="P36" i="3"/>
  <c r="M330" i="4"/>
  <c r="M332" i="4"/>
  <c r="M334" i="4"/>
  <c r="S10" i="11" l="1"/>
  <c r="F17" i="1" s="1"/>
  <c r="G17" i="1" s="1"/>
  <c r="F136" i="11"/>
  <c r="G136" i="11" s="1"/>
  <c r="I136" i="11" s="1"/>
  <c r="S8" i="11"/>
  <c r="F15" i="1" s="1"/>
  <c r="G15" i="1" s="1"/>
  <c r="J38" i="11"/>
  <c r="I38" i="11"/>
  <c r="G39" i="11" s="1"/>
  <c r="O70" i="11"/>
  <c r="P70" i="11"/>
  <c r="O114" i="11"/>
  <c r="P114" i="11"/>
  <c r="J78" i="11"/>
  <c r="I78" i="11"/>
  <c r="G79" i="11" s="1"/>
  <c r="O146" i="3"/>
  <c r="P146" i="3"/>
  <c r="P76" i="11"/>
  <c r="O76" i="11"/>
  <c r="O36" i="11"/>
  <c r="P36" i="11"/>
  <c r="J80" i="11"/>
  <c r="I80" i="11"/>
  <c r="G81" i="11" s="1"/>
  <c r="O126" i="11"/>
  <c r="P126" i="11"/>
  <c r="J50" i="11"/>
  <c r="I50" i="11"/>
  <c r="G51" i="11" s="1"/>
  <c r="O226" i="3"/>
  <c r="P226" i="3"/>
  <c r="O118" i="11"/>
  <c r="P118" i="11"/>
  <c r="L62" i="11"/>
  <c r="M62" i="11" s="1"/>
  <c r="G62" i="11"/>
  <c r="J8" i="11"/>
  <c r="I8" i="11"/>
  <c r="G9" i="11" s="1"/>
  <c r="I114" i="11"/>
  <c r="G115" i="11" s="1"/>
  <c r="J114" i="11"/>
  <c r="P186" i="3"/>
  <c r="O186" i="3"/>
  <c r="O78" i="11"/>
  <c r="P78" i="11"/>
  <c r="P124" i="11"/>
  <c r="O124" i="11"/>
  <c r="I146" i="3"/>
  <c r="G147" i="3" s="1"/>
  <c r="J146" i="3"/>
  <c r="L120" i="11"/>
  <c r="M120" i="11" s="1"/>
  <c r="G120" i="11"/>
  <c r="L20" i="11"/>
  <c r="M20" i="11" s="1"/>
  <c r="G20" i="11"/>
  <c r="O96" i="11"/>
  <c r="P96" i="11"/>
  <c r="O54" i="11"/>
  <c r="P54" i="11"/>
  <c r="I76" i="11"/>
  <c r="G77" i="11" s="1"/>
  <c r="J76" i="11"/>
  <c r="L104" i="11"/>
  <c r="M104" i="11" s="1"/>
  <c r="G104" i="11"/>
  <c r="J96" i="11"/>
  <c r="I96" i="11"/>
  <c r="G97" i="11" s="1"/>
  <c r="I92" i="11"/>
  <c r="G93" i="11" s="1"/>
  <c r="J92" i="11"/>
  <c r="O80" i="11"/>
  <c r="P80" i="11"/>
  <c r="I126" i="11"/>
  <c r="G127" i="11" s="1"/>
  <c r="J126" i="11"/>
  <c r="O50" i="11"/>
  <c r="P50" i="11"/>
  <c r="J118" i="11"/>
  <c r="I118" i="11"/>
  <c r="G119" i="11" s="1"/>
  <c r="L88" i="11"/>
  <c r="M88" i="11" s="1"/>
  <c r="G88" i="11"/>
  <c r="I72" i="11"/>
  <c r="G73" i="11" s="1"/>
  <c r="J72" i="11"/>
  <c r="J30" i="11"/>
  <c r="I30" i="11"/>
  <c r="G31" i="11" s="1"/>
  <c r="J28" i="11"/>
  <c r="I28" i="11"/>
  <c r="G29" i="11" s="1"/>
  <c r="O34" i="11"/>
  <c r="P34" i="11"/>
  <c r="I110" i="3"/>
  <c r="G111" i="3" s="1"/>
  <c r="J110" i="3"/>
  <c r="J74" i="3"/>
  <c r="I74" i="3"/>
  <c r="G75" i="3" s="1"/>
  <c r="J12" i="11"/>
  <c r="I12" i="11"/>
  <c r="G13" i="11" s="1"/>
  <c r="I112" i="11"/>
  <c r="G113" i="11" s="1"/>
  <c r="J112" i="11"/>
  <c r="J36" i="11"/>
  <c r="I36" i="11"/>
  <c r="G37" i="11" s="1"/>
  <c r="O38" i="3"/>
  <c r="P38" i="3"/>
  <c r="J226" i="3"/>
  <c r="I226" i="3"/>
  <c r="G227" i="3" s="1"/>
  <c r="J186" i="3"/>
  <c r="I186" i="3"/>
  <c r="G187" i="3" s="1"/>
  <c r="J124" i="11"/>
  <c r="I124" i="11"/>
  <c r="G125" i="11" s="1"/>
  <c r="L46" i="11"/>
  <c r="M46" i="11" s="1"/>
  <c r="G46" i="11"/>
  <c r="I54" i="11"/>
  <c r="G55" i="11" s="1"/>
  <c r="J54" i="11"/>
  <c r="O92" i="11"/>
  <c r="P92" i="11"/>
  <c r="O38" i="11"/>
  <c r="P38" i="11"/>
  <c r="I38" i="3"/>
  <c r="G39" i="3" s="1"/>
  <c r="J38" i="3"/>
  <c r="S9" i="11"/>
  <c r="I70" i="11"/>
  <c r="G71" i="11" s="1"/>
  <c r="J70" i="11"/>
  <c r="M8" i="11"/>
  <c r="O72" i="11"/>
  <c r="P72" i="11"/>
  <c r="P30" i="11"/>
  <c r="O30" i="11"/>
  <c r="P28" i="11"/>
  <c r="O28" i="11"/>
  <c r="J34" i="11"/>
  <c r="I34" i="11"/>
  <c r="G35" i="11" s="1"/>
  <c r="O110" i="3"/>
  <c r="P110" i="3"/>
  <c r="P74" i="3"/>
  <c r="O74" i="3"/>
  <c r="O12" i="11"/>
  <c r="P12" i="11"/>
  <c r="O112" i="11"/>
  <c r="P112" i="11"/>
  <c r="J73" i="3"/>
  <c r="I73" i="3"/>
  <c r="I145" i="3"/>
  <c r="J145" i="3"/>
  <c r="J185" i="3"/>
  <c r="I185" i="3"/>
  <c r="J37" i="3"/>
  <c r="I37" i="3"/>
  <c r="I225" i="3"/>
  <c r="J225" i="3"/>
  <c r="I109" i="3"/>
  <c r="J109" i="3"/>
  <c r="E221" i="3"/>
  <c r="E220" i="3"/>
  <c r="E205" i="3"/>
  <c r="E204" i="3"/>
  <c r="E190" i="3"/>
  <c r="E199" i="3"/>
  <c r="E198" i="3"/>
  <c r="E197" i="3"/>
  <c r="E196" i="3"/>
  <c r="E193" i="3"/>
  <c r="E192" i="3"/>
  <c r="E191" i="3"/>
  <c r="G214" i="8"/>
  <c r="C212" i="8"/>
  <c r="E212" i="8" s="1"/>
  <c r="F212" i="8" s="1"/>
  <c r="C210" i="8"/>
  <c r="E210" i="8" s="1"/>
  <c r="C208" i="8"/>
  <c r="E208" i="8" s="1"/>
  <c r="C206" i="8"/>
  <c r="E206" i="8" s="1"/>
  <c r="F206" i="8" s="1"/>
  <c r="C204" i="8"/>
  <c r="E204" i="8" s="1"/>
  <c r="F204" i="8" s="1"/>
  <c r="C202" i="8"/>
  <c r="E202" i="8" s="1"/>
  <c r="C200" i="8"/>
  <c r="E200" i="8" s="1"/>
  <c r="C198" i="8"/>
  <c r="E198" i="8" s="1"/>
  <c r="F198" i="8" s="1"/>
  <c r="D196" i="8"/>
  <c r="C196" i="8"/>
  <c r="C194" i="8"/>
  <c r="E194" i="8" s="1"/>
  <c r="C192" i="8"/>
  <c r="E192" i="8" s="1"/>
  <c r="C190" i="8"/>
  <c r="E190" i="8" s="1"/>
  <c r="F190" i="8" s="1"/>
  <c r="D188" i="8"/>
  <c r="C188" i="8"/>
  <c r="C186" i="8"/>
  <c r="E186" i="8" s="1"/>
  <c r="F186" i="8" s="1"/>
  <c r="D184" i="8"/>
  <c r="C184" i="8"/>
  <c r="D182" i="8"/>
  <c r="C182" i="8"/>
  <c r="E181" i="3"/>
  <c r="E180" i="3"/>
  <c r="G106" i="8"/>
  <c r="E164" i="3"/>
  <c r="E165" i="3"/>
  <c r="E152" i="3"/>
  <c r="E151" i="3"/>
  <c r="E159" i="3"/>
  <c r="E158" i="3"/>
  <c r="E157" i="3"/>
  <c r="E156" i="3"/>
  <c r="E153" i="3"/>
  <c r="E150" i="3"/>
  <c r="G178" i="8"/>
  <c r="C176" i="8"/>
  <c r="E176" i="8" s="1"/>
  <c r="F176" i="8" s="1"/>
  <c r="C174" i="8"/>
  <c r="E174" i="8" s="1"/>
  <c r="C172" i="8"/>
  <c r="E172" i="8" s="1"/>
  <c r="F172" i="8" s="1"/>
  <c r="C170" i="8"/>
  <c r="E170" i="8" s="1"/>
  <c r="C168" i="8"/>
  <c r="E168" i="8" s="1"/>
  <c r="F168" i="8" s="1"/>
  <c r="C166" i="8"/>
  <c r="E166" i="8" s="1"/>
  <c r="C164" i="8"/>
  <c r="E164" i="8" s="1"/>
  <c r="F164" i="8" s="1"/>
  <c r="C162" i="8"/>
  <c r="E162" i="8" s="1"/>
  <c r="D160" i="8"/>
  <c r="C160" i="8"/>
  <c r="C158" i="8"/>
  <c r="E158" i="8" s="1"/>
  <c r="C156" i="8"/>
  <c r="E156" i="8" s="1"/>
  <c r="F156" i="8" s="1"/>
  <c r="C154" i="8"/>
  <c r="E154" i="8" s="1"/>
  <c r="F154" i="8" s="1"/>
  <c r="D152" i="8"/>
  <c r="C152" i="8"/>
  <c r="C150" i="8"/>
  <c r="E150" i="8" s="1"/>
  <c r="D148" i="8"/>
  <c r="C148" i="8"/>
  <c r="D146" i="8"/>
  <c r="C146" i="8"/>
  <c r="G142" i="8"/>
  <c r="E149" i="3"/>
  <c r="E148" i="3"/>
  <c r="E130" i="3"/>
  <c r="E129" i="3"/>
  <c r="E128" i="3"/>
  <c r="E123" i="3"/>
  <c r="E122" i="3"/>
  <c r="E121" i="3"/>
  <c r="E120" i="3"/>
  <c r="E116" i="3"/>
  <c r="E117" i="3"/>
  <c r="E115" i="3"/>
  <c r="E114" i="3"/>
  <c r="C140" i="8"/>
  <c r="E140" i="8" s="1"/>
  <c r="F140" i="8" s="1"/>
  <c r="C138" i="8"/>
  <c r="E138" i="8" s="1"/>
  <c r="C136" i="8"/>
  <c r="E136" i="8" s="1"/>
  <c r="C134" i="8"/>
  <c r="E134" i="8" s="1"/>
  <c r="F134" i="8" s="1"/>
  <c r="C132" i="8"/>
  <c r="E132" i="8" s="1"/>
  <c r="F132" i="8" s="1"/>
  <c r="C130" i="8"/>
  <c r="E130" i="8" s="1"/>
  <c r="C128" i="8"/>
  <c r="E128" i="8" s="1"/>
  <c r="C126" i="8"/>
  <c r="E126" i="8" s="1"/>
  <c r="F126" i="8" s="1"/>
  <c r="D124" i="8"/>
  <c r="C124" i="8"/>
  <c r="C122" i="8"/>
  <c r="E122" i="8" s="1"/>
  <c r="C120" i="8"/>
  <c r="E120" i="8" s="1"/>
  <c r="F120" i="8" s="1"/>
  <c r="C118" i="8"/>
  <c r="E118" i="8" s="1"/>
  <c r="F118" i="8" s="1"/>
  <c r="D116" i="8"/>
  <c r="C116" i="8"/>
  <c r="C114" i="8"/>
  <c r="E114" i="8" s="1"/>
  <c r="D112" i="8"/>
  <c r="C112" i="8"/>
  <c r="D110" i="8"/>
  <c r="C110" i="8"/>
  <c r="E113" i="3"/>
  <c r="E112" i="3"/>
  <c r="E79" i="3"/>
  <c r="H133" i="4" s="1"/>
  <c r="E78" i="3"/>
  <c r="H132" i="4" s="1"/>
  <c r="E81" i="3"/>
  <c r="E80" i="3"/>
  <c r="E85" i="3"/>
  <c r="E84" i="3"/>
  <c r="E87" i="3"/>
  <c r="E86" i="3"/>
  <c r="E93" i="3"/>
  <c r="E92" i="3"/>
  <c r="E91" i="3"/>
  <c r="E90" i="3"/>
  <c r="E89" i="3"/>
  <c r="E88" i="3"/>
  <c r="E83" i="3"/>
  <c r="E82" i="3"/>
  <c r="C104" i="8"/>
  <c r="E104" i="8" s="1"/>
  <c r="F104" i="8" s="1"/>
  <c r="C102" i="8"/>
  <c r="E102" i="8" s="1"/>
  <c r="C100" i="8"/>
  <c r="E100" i="8" s="1"/>
  <c r="F100" i="8" s="1"/>
  <c r="C98" i="8"/>
  <c r="E98" i="8" s="1"/>
  <c r="C96" i="8"/>
  <c r="E96" i="8" s="1"/>
  <c r="F96" i="8" s="1"/>
  <c r="C94" i="8"/>
  <c r="E94" i="8" s="1"/>
  <c r="F94" i="8" s="1"/>
  <c r="C92" i="8"/>
  <c r="E92" i="8" s="1"/>
  <c r="C90" i="8"/>
  <c r="E90" i="8" s="1"/>
  <c r="D88" i="8"/>
  <c r="C88" i="8"/>
  <c r="C86" i="8"/>
  <c r="E86" i="8" s="1"/>
  <c r="C84" i="8"/>
  <c r="E84" i="8" s="1"/>
  <c r="C82" i="8"/>
  <c r="E82" i="8" s="1"/>
  <c r="F82" i="8" s="1"/>
  <c r="D80" i="8"/>
  <c r="C80" i="8"/>
  <c r="C78" i="8"/>
  <c r="E78" i="8" s="1"/>
  <c r="F78" i="8" s="1"/>
  <c r="D76" i="8"/>
  <c r="C76" i="8"/>
  <c r="D74" i="8"/>
  <c r="C74" i="8"/>
  <c r="E56" i="3"/>
  <c r="E57" i="3"/>
  <c r="E60" i="3"/>
  <c r="E61" i="3"/>
  <c r="E62" i="3"/>
  <c r="E64" i="3"/>
  <c r="E65" i="3"/>
  <c r="E66" i="3"/>
  <c r="E67" i="3"/>
  <c r="E68" i="3"/>
  <c r="E69" i="3"/>
  <c r="E70" i="3"/>
  <c r="E76" i="3"/>
  <c r="E77" i="3"/>
  <c r="E45" i="3"/>
  <c r="E44" i="3"/>
  <c r="E43" i="3"/>
  <c r="E42" i="3"/>
  <c r="E49" i="3"/>
  <c r="E48" i="3"/>
  <c r="E51" i="3"/>
  <c r="E50" i="3"/>
  <c r="E55" i="3"/>
  <c r="E54" i="3"/>
  <c r="E53" i="3"/>
  <c r="E52" i="3"/>
  <c r="E47" i="3"/>
  <c r="E46" i="3"/>
  <c r="C68" i="8"/>
  <c r="E68" i="8" s="1"/>
  <c r="F68" i="8" s="1"/>
  <c r="H68" i="8" s="1"/>
  <c r="C66" i="8"/>
  <c r="E66" i="8" s="1"/>
  <c r="F66" i="8" s="1"/>
  <c r="H66" i="8" s="1"/>
  <c r="C64" i="8"/>
  <c r="E64" i="8" s="1"/>
  <c r="F64" i="8" s="1"/>
  <c r="H64" i="8" s="1"/>
  <c r="C62" i="8"/>
  <c r="E62" i="8" s="1"/>
  <c r="F62" i="8" s="1"/>
  <c r="H62" i="8" s="1"/>
  <c r="C60" i="8"/>
  <c r="E60" i="8" s="1"/>
  <c r="F60" i="8" s="1"/>
  <c r="H60" i="8" s="1"/>
  <c r="C58" i="8"/>
  <c r="E58" i="8" s="1"/>
  <c r="F58" i="8" s="1"/>
  <c r="H58" i="8" s="1"/>
  <c r="C56" i="8"/>
  <c r="E56" i="8" s="1"/>
  <c r="F56" i="8" s="1"/>
  <c r="H56" i="8" s="1"/>
  <c r="C54" i="8"/>
  <c r="E54" i="8" s="1"/>
  <c r="F54" i="8" s="1"/>
  <c r="H54" i="8" s="1"/>
  <c r="D52" i="8"/>
  <c r="C52" i="8"/>
  <c r="C50" i="8"/>
  <c r="E50" i="8" s="1"/>
  <c r="F50" i="8" s="1"/>
  <c r="H50" i="8" s="1"/>
  <c r="C48" i="8"/>
  <c r="E48" i="8" s="1"/>
  <c r="F48" i="8" s="1"/>
  <c r="H48" i="8" s="1"/>
  <c r="C46" i="8"/>
  <c r="E46" i="8" s="1"/>
  <c r="F46" i="8" s="1"/>
  <c r="H46" i="8" s="1"/>
  <c r="D44" i="8"/>
  <c r="C44" i="8"/>
  <c r="C42" i="8"/>
  <c r="E42" i="8" s="1"/>
  <c r="F42" i="8" s="1"/>
  <c r="H42" i="8" s="1"/>
  <c r="D40" i="8"/>
  <c r="C40" i="8"/>
  <c r="D38" i="8"/>
  <c r="C38" i="8"/>
  <c r="E20" i="3"/>
  <c r="D6" i="8"/>
  <c r="D4" i="8"/>
  <c r="D10" i="8"/>
  <c r="D18" i="8"/>
  <c r="E21" i="3"/>
  <c r="E41" i="3"/>
  <c r="E40" i="3"/>
  <c r="E9" i="3"/>
  <c r="E8" i="3"/>
  <c r="E7" i="3"/>
  <c r="E6" i="3"/>
  <c r="E12" i="3"/>
  <c r="E13" i="3"/>
  <c r="E14" i="3"/>
  <c r="E15" i="3"/>
  <c r="E31" i="3"/>
  <c r="C34" i="8"/>
  <c r="E34" i="8" s="1"/>
  <c r="F34" i="8" s="1"/>
  <c r="C18" i="8"/>
  <c r="C32" i="8"/>
  <c r="E32" i="8" s="1"/>
  <c r="F32" i="8" s="1"/>
  <c r="C30" i="8"/>
  <c r="E30" i="8" s="1"/>
  <c r="F30" i="8" s="1"/>
  <c r="C28" i="8"/>
  <c r="E28" i="8" s="1"/>
  <c r="F28" i="8" s="1"/>
  <c r="C6" i="8"/>
  <c r="C26" i="8"/>
  <c r="E26" i="8" s="1"/>
  <c r="F26" i="8" s="1"/>
  <c r="C24" i="8"/>
  <c r="E24" i="8" s="1"/>
  <c r="F24" i="8" s="1"/>
  <c r="C22" i="8"/>
  <c r="E22" i="8" s="1"/>
  <c r="F22" i="8" s="1"/>
  <c r="C20" i="8"/>
  <c r="E20" i="8" s="1"/>
  <c r="F20" i="8" s="1"/>
  <c r="C16" i="8"/>
  <c r="E16" i="8" s="1"/>
  <c r="F16" i="8" s="1"/>
  <c r="C14" i="8"/>
  <c r="E14" i="8" s="1"/>
  <c r="F14" i="8" s="1"/>
  <c r="C12" i="8"/>
  <c r="E12" i="8" s="1"/>
  <c r="F12" i="8" s="1"/>
  <c r="C10" i="8"/>
  <c r="C8" i="8"/>
  <c r="E8" i="8" s="1"/>
  <c r="F8" i="8" s="1"/>
  <c r="C4" i="8"/>
  <c r="E35" i="3"/>
  <c r="E34" i="3"/>
  <c r="E33" i="3"/>
  <c r="E32" i="3"/>
  <c r="E30" i="3"/>
  <c r="E29" i="3"/>
  <c r="E28" i="3"/>
  <c r="E27" i="3"/>
  <c r="E26" i="3"/>
  <c r="E25" i="3"/>
  <c r="E24" i="3"/>
  <c r="E23" i="3"/>
  <c r="E22" i="3"/>
  <c r="E19" i="3"/>
  <c r="E18" i="3"/>
  <c r="E17" i="3"/>
  <c r="E11" i="3"/>
  <c r="E10" i="3"/>
  <c r="G216" i="3"/>
  <c r="T10" i="11" l="1"/>
  <c r="V10" i="11" s="1"/>
  <c r="J136" i="11"/>
  <c r="T8" i="11"/>
  <c r="V8" i="11" s="1"/>
  <c r="L136" i="11"/>
  <c r="M136" i="11" s="1"/>
  <c r="P136" i="11" s="1"/>
  <c r="I227" i="3"/>
  <c r="J227" i="3"/>
  <c r="I119" i="11"/>
  <c r="J119" i="11"/>
  <c r="I104" i="11"/>
  <c r="G105" i="11" s="1"/>
  <c r="J104" i="11"/>
  <c r="I120" i="11"/>
  <c r="G121" i="11" s="1"/>
  <c r="J120" i="11"/>
  <c r="I81" i="11"/>
  <c r="J81" i="11"/>
  <c r="I79" i="11"/>
  <c r="J79" i="11"/>
  <c r="I35" i="11"/>
  <c r="J35" i="11"/>
  <c r="O8" i="11"/>
  <c r="P8" i="11"/>
  <c r="F16" i="1"/>
  <c r="G16" i="1" s="1"/>
  <c r="T9" i="11"/>
  <c r="V9" i="11" s="1"/>
  <c r="J55" i="11"/>
  <c r="I55" i="11"/>
  <c r="J111" i="3"/>
  <c r="I111" i="3"/>
  <c r="I73" i="11"/>
  <c r="J73" i="11"/>
  <c r="J127" i="11"/>
  <c r="I127" i="11"/>
  <c r="J93" i="11"/>
  <c r="I93" i="11"/>
  <c r="O104" i="11"/>
  <c r="P104" i="11"/>
  <c r="I77" i="11"/>
  <c r="J77" i="11"/>
  <c r="P120" i="11"/>
  <c r="O120" i="11"/>
  <c r="I17" i="1"/>
  <c r="J17" i="1"/>
  <c r="I71" i="11"/>
  <c r="J71" i="11"/>
  <c r="J37" i="11"/>
  <c r="I37" i="11"/>
  <c r="J29" i="11"/>
  <c r="I29" i="11"/>
  <c r="J9" i="11"/>
  <c r="I9" i="11"/>
  <c r="I46" i="11"/>
  <c r="G47" i="11" s="1"/>
  <c r="J46" i="11"/>
  <c r="I187" i="3"/>
  <c r="J187" i="3"/>
  <c r="I75" i="3"/>
  <c r="J75" i="3"/>
  <c r="J31" i="11"/>
  <c r="I31" i="11"/>
  <c r="I88" i="11"/>
  <c r="G89" i="11" s="1"/>
  <c r="J88" i="11"/>
  <c r="J97" i="11"/>
  <c r="I97" i="11"/>
  <c r="J20" i="11"/>
  <c r="I20" i="11"/>
  <c r="G21" i="11" s="1"/>
  <c r="I62" i="11"/>
  <c r="G63" i="11" s="1"/>
  <c r="J62" i="11"/>
  <c r="I39" i="11"/>
  <c r="J39" i="11"/>
  <c r="I125" i="11"/>
  <c r="J125" i="11"/>
  <c r="J13" i="11"/>
  <c r="I13" i="11"/>
  <c r="J51" i="11"/>
  <c r="I51" i="11"/>
  <c r="J39" i="3"/>
  <c r="I39" i="3"/>
  <c r="O46" i="11"/>
  <c r="P46" i="11"/>
  <c r="J113" i="11"/>
  <c r="I113" i="11"/>
  <c r="O88" i="11"/>
  <c r="P88" i="11"/>
  <c r="P20" i="11"/>
  <c r="O20" i="11"/>
  <c r="J147" i="3"/>
  <c r="I147" i="3"/>
  <c r="J115" i="11"/>
  <c r="I115" i="11"/>
  <c r="O62" i="11"/>
  <c r="P62" i="11"/>
  <c r="I15" i="1"/>
  <c r="J15" i="1"/>
  <c r="E152" i="8"/>
  <c r="E184" i="8"/>
  <c r="E40" i="8"/>
  <c r="F40" i="8" s="1"/>
  <c r="H40" i="8" s="1"/>
  <c r="E76" i="8"/>
  <c r="F76" i="8" s="1"/>
  <c r="H76" i="8" s="1"/>
  <c r="E112" i="8"/>
  <c r="F112" i="8" s="1"/>
  <c r="H112" i="8" s="1"/>
  <c r="E146" i="8"/>
  <c r="F146" i="8" s="1"/>
  <c r="E116" i="8"/>
  <c r="K115" i="8" s="1"/>
  <c r="E148" i="8"/>
  <c r="F148" i="8" s="1"/>
  <c r="H148" i="8" s="1"/>
  <c r="E160" i="8"/>
  <c r="F160" i="8" s="1"/>
  <c r="H160" i="8" s="1"/>
  <c r="E44" i="8"/>
  <c r="F44" i="8" s="1"/>
  <c r="H44" i="8" s="1"/>
  <c r="D142" i="8"/>
  <c r="E4" i="8"/>
  <c r="F4" i="8" s="1"/>
  <c r="D106" i="8"/>
  <c r="E80" i="8"/>
  <c r="D214" i="8"/>
  <c r="E188" i="8"/>
  <c r="F188" i="8" s="1"/>
  <c r="H188" i="8" s="1"/>
  <c r="F170" i="8"/>
  <c r="H170" i="8" s="1"/>
  <c r="F80" i="8"/>
  <c r="H80" i="8" s="1"/>
  <c r="F84" i="8"/>
  <c r="H84" i="8" s="1"/>
  <c r="F162" i="8"/>
  <c r="H162" i="8" s="1"/>
  <c r="F192" i="8"/>
  <c r="H192" i="8" s="1"/>
  <c r="F166" i="8"/>
  <c r="H166" i="8" s="1"/>
  <c r="F174" i="8"/>
  <c r="H174" i="8" s="1"/>
  <c r="E38" i="8"/>
  <c r="F38" i="8" s="1"/>
  <c r="H38" i="8" s="1"/>
  <c r="E52" i="8"/>
  <c r="F52" i="8" s="1"/>
  <c r="H52" i="8" s="1"/>
  <c r="E88" i="8"/>
  <c r="H96" i="8"/>
  <c r="H104" i="8"/>
  <c r="F92" i="8"/>
  <c r="H92" i="8" s="1"/>
  <c r="E124" i="8"/>
  <c r="F124" i="8" s="1"/>
  <c r="H124" i="8" s="1"/>
  <c r="F138" i="8"/>
  <c r="H138" i="8" s="1"/>
  <c r="F130" i="8"/>
  <c r="H130" i="8" s="1"/>
  <c r="F122" i="8"/>
  <c r="H122" i="8" s="1"/>
  <c r="F114" i="8"/>
  <c r="H114" i="8" s="1"/>
  <c r="F152" i="8"/>
  <c r="H152" i="8" s="1"/>
  <c r="E196" i="8"/>
  <c r="H204" i="8"/>
  <c r="H212" i="8"/>
  <c r="F210" i="8"/>
  <c r="H210" i="8" s="1"/>
  <c r="F202" i="8"/>
  <c r="H202" i="8" s="1"/>
  <c r="F194" i="8"/>
  <c r="H194" i="8" s="1"/>
  <c r="H100" i="8"/>
  <c r="H126" i="8"/>
  <c r="H190" i="8"/>
  <c r="H94" i="8"/>
  <c r="F102" i="8"/>
  <c r="H102" i="8" s="1"/>
  <c r="F86" i="8"/>
  <c r="H86" i="8" s="1"/>
  <c r="E110" i="8"/>
  <c r="F110" i="8" s="1"/>
  <c r="D70" i="8"/>
  <c r="C106" i="8"/>
  <c r="H78" i="8"/>
  <c r="F98" i="8"/>
  <c r="H98" i="8" s="1"/>
  <c r="F90" i="8"/>
  <c r="H90" i="8" s="1"/>
  <c r="C142" i="8"/>
  <c r="F136" i="8"/>
  <c r="H136" i="8" s="1"/>
  <c r="F128" i="8"/>
  <c r="H128" i="8" s="1"/>
  <c r="C178" i="8"/>
  <c r="H156" i="8"/>
  <c r="H164" i="8"/>
  <c r="H168" i="8"/>
  <c r="H172" i="8"/>
  <c r="H176" i="8"/>
  <c r="F158" i="8"/>
  <c r="H158" i="8" s="1"/>
  <c r="F150" i="8"/>
  <c r="H150" i="8" s="1"/>
  <c r="C214" i="8"/>
  <c r="H186" i="8"/>
  <c r="F208" i="8"/>
  <c r="H208" i="8" s="1"/>
  <c r="F200" i="8"/>
  <c r="H200" i="8" s="1"/>
  <c r="F184" i="8"/>
  <c r="H184" i="8" s="1"/>
  <c r="H198" i="8"/>
  <c r="H206" i="8"/>
  <c r="E182" i="8"/>
  <c r="F182" i="8" s="1"/>
  <c r="H154" i="8"/>
  <c r="H120" i="8"/>
  <c r="H132" i="8"/>
  <c r="D178" i="8"/>
  <c r="H134" i="8"/>
  <c r="H118" i="8"/>
  <c r="H140" i="8"/>
  <c r="H82" i="8"/>
  <c r="E74" i="8"/>
  <c r="F74" i="8" s="1"/>
  <c r="C70" i="8"/>
  <c r="E6" i="8"/>
  <c r="F6" i="8" s="1"/>
  <c r="D36" i="8"/>
  <c r="E10" i="8"/>
  <c r="F10" i="8" s="1"/>
  <c r="E18" i="8"/>
  <c r="F18" i="8" s="1"/>
  <c r="K8" i="3"/>
  <c r="C36" i="8"/>
  <c r="O136" i="11" l="1"/>
  <c r="J89" i="11"/>
  <c r="I89" i="11"/>
  <c r="I47" i="11"/>
  <c r="J47" i="11"/>
  <c r="I121" i="11"/>
  <c r="J121" i="11"/>
  <c r="I21" i="11"/>
  <c r="J21" i="11"/>
  <c r="I63" i="11"/>
  <c r="J63" i="11"/>
  <c r="J16" i="1"/>
  <c r="I16" i="1"/>
  <c r="J105" i="11"/>
  <c r="I105" i="11"/>
  <c r="E142" i="8"/>
  <c r="F116" i="8"/>
  <c r="H116" i="8" s="1"/>
  <c r="E178" i="8"/>
  <c r="E70" i="8"/>
  <c r="F70" i="8"/>
  <c r="F196" i="8"/>
  <c r="H196" i="8" s="1"/>
  <c r="F88" i="8"/>
  <c r="H88" i="8" s="1"/>
  <c r="E214" i="8"/>
  <c r="H146" i="8"/>
  <c r="H178" i="8" s="1"/>
  <c r="F178" i="8"/>
  <c r="H110" i="8"/>
  <c r="E106" i="8"/>
  <c r="F36" i="8"/>
  <c r="E36" i="8"/>
  <c r="F9" i="5"/>
  <c r="E9" i="5"/>
  <c r="H8" i="5"/>
  <c r="G8" i="5"/>
  <c r="H142" i="8" l="1"/>
  <c r="F142" i="8"/>
  <c r="G9" i="5"/>
  <c r="F214" i="8"/>
  <c r="H182" i="8"/>
  <c r="H214" i="8" s="1"/>
  <c r="F106" i="8"/>
  <c r="H74" i="8"/>
  <c r="H106" i="8" s="1"/>
  <c r="H9" i="5"/>
  <c r="H230" i="3"/>
  <c r="H29" i="2"/>
  <c r="G20" i="1" l="1"/>
  <c r="O330" i="4"/>
  <c r="O331" i="4"/>
  <c r="O332" i="4"/>
  <c r="O333" i="4"/>
  <c r="O334" i="4"/>
  <c r="O335" i="4"/>
  <c r="K333" i="4"/>
  <c r="I334" i="4"/>
  <c r="K334" i="4"/>
  <c r="H334" i="4"/>
  <c r="H333" i="4"/>
  <c r="K330" i="4"/>
  <c r="I331" i="4"/>
  <c r="K331" i="4"/>
  <c r="H331" i="4"/>
  <c r="H330" i="4"/>
  <c r="E335" i="4"/>
  <c r="E334" i="4"/>
  <c r="E333" i="4"/>
  <c r="E332" i="4"/>
  <c r="E331" i="4"/>
  <c r="E330" i="4"/>
  <c r="I280" i="4"/>
  <c r="K280" i="4"/>
  <c r="K279" i="4"/>
  <c r="H280" i="4"/>
  <c r="H279" i="4"/>
  <c r="O276" i="4"/>
  <c r="O277" i="4"/>
  <c r="O278" i="4"/>
  <c r="O279" i="4"/>
  <c r="O280" i="4"/>
  <c r="O281" i="4"/>
  <c r="I277" i="4"/>
  <c r="K277" i="4"/>
  <c r="K276" i="4"/>
  <c r="H277" i="4"/>
  <c r="H276" i="4"/>
  <c r="E278" i="4"/>
  <c r="E277" i="4"/>
  <c r="E276" i="4"/>
  <c r="E281" i="4"/>
  <c r="E280" i="4"/>
  <c r="E279" i="4"/>
  <c r="K188" i="3"/>
  <c r="N188" i="3"/>
  <c r="K281" i="4" s="1"/>
  <c r="L188" i="3"/>
  <c r="E230" i="3"/>
  <c r="I333" i="4"/>
  <c r="K228" i="3"/>
  <c r="L228" i="3"/>
  <c r="I335" i="4" s="1"/>
  <c r="N228" i="3"/>
  <c r="K335" i="4" s="1"/>
  <c r="G228" i="3" l="1"/>
  <c r="I228" i="3" s="1"/>
  <c r="G229" i="3" s="1"/>
  <c r="J334" i="4" s="1"/>
  <c r="I281" i="4"/>
  <c r="M188" i="3"/>
  <c r="J281" i="4" s="1"/>
  <c r="I279" i="4"/>
  <c r="H281" i="4"/>
  <c r="M228" i="3"/>
  <c r="P228" i="3" s="1"/>
  <c r="G188" i="3"/>
  <c r="H335" i="4"/>
  <c r="J228" i="3" l="1"/>
  <c r="J333" i="4"/>
  <c r="I229" i="3"/>
  <c r="L334" i="4" s="1"/>
  <c r="J229" i="3"/>
  <c r="O188" i="3"/>
  <c r="L281" i="4" s="1"/>
  <c r="P188" i="3"/>
  <c r="M281" i="4" s="1"/>
  <c r="L333" i="4"/>
  <c r="O228" i="3"/>
  <c r="L335" i="4" s="1"/>
  <c r="J335" i="4"/>
  <c r="J188" i="3"/>
  <c r="M279" i="4" s="1"/>
  <c r="I188" i="3"/>
  <c r="J279" i="4"/>
  <c r="G189" i="3" l="1"/>
  <c r="L279" i="4"/>
  <c r="H6" i="6"/>
  <c r="D11" i="6"/>
  <c r="G11" i="6" s="1"/>
  <c r="I189" i="3" l="1"/>
  <c r="L280" i="4" s="1"/>
  <c r="J280" i="4"/>
  <c r="J189" i="3"/>
  <c r="M280" i="4" s="1"/>
  <c r="H19" i="1"/>
  <c r="H11" i="6"/>
  <c r="G6" i="6"/>
  <c r="F20" i="1"/>
  <c r="H20" i="1"/>
  <c r="H7" i="5"/>
  <c r="G7" i="5"/>
  <c r="H6" i="5" l="1"/>
  <c r="G6" i="5"/>
  <c r="I20" i="1" l="1"/>
  <c r="G214" i="3" l="1"/>
  <c r="I214" i="3" s="1"/>
  <c r="G215" i="3" s="1"/>
  <c r="K214" i="3"/>
  <c r="L214" i="3"/>
  <c r="N214" i="3"/>
  <c r="M214" i="3" l="1"/>
  <c r="O214" i="3" s="1"/>
  <c r="I215" i="3"/>
  <c r="J215" i="3"/>
  <c r="J214" i="3"/>
  <c r="P214" i="3" l="1"/>
  <c r="K198" i="3"/>
  <c r="K182" i="3"/>
  <c r="H278" i="4" s="1"/>
  <c r="N182" i="3"/>
  <c r="K278" i="4" s="1"/>
  <c r="K222" i="3"/>
  <c r="H332" i="4" s="1"/>
  <c r="L222" i="3"/>
  <c r="N222" i="3"/>
  <c r="K332" i="4" s="1"/>
  <c r="L198" i="3"/>
  <c r="L182" i="3" l="1"/>
  <c r="I276" i="4"/>
  <c r="G230" i="3"/>
  <c r="M222" i="3"/>
  <c r="J332" i="4" s="1"/>
  <c r="I332" i="4"/>
  <c r="G222" i="3"/>
  <c r="J330" i="4" s="1"/>
  <c r="I330" i="4"/>
  <c r="G182" i="3"/>
  <c r="M198" i="3"/>
  <c r="O222" i="3" l="1"/>
  <c r="L332" i="4" s="1"/>
  <c r="P222" i="3"/>
  <c r="J222" i="3"/>
  <c r="I222" i="3"/>
  <c r="I182" i="3"/>
  <c r="J276" i="4"/>
  <c r="I230" i="3"/>
  <c r="J230" i="3"/>
  <c r="J182" i="3"/>
  <c r="M276" i="4" s="1"/>
  <c r="M182" i="3"/>
  <c r="I278" i="4"/>
  <c r="G183" i="3" l="1"/>
  <c r="L276" i="4"/>
  <c r="J278" i="4"/>
  <c r="O182" i="3"/>
  <c r="L278" i="4" s="1"/>
  <c r="P182" i="3"/>
  <c r="M278" i="4" s="1"/>
  <c r="G223" i="3"/>
  <c r="L330" i="4"/>
  <c r="O35" i="4"/>
  <c r="O336" i="4"/>
  <c r="I223" i="3" l="1"/>
  <c r="L331" i="4" s="1"/>
  <c r="J331" i="4"/>
  <c r="J223" i="3"/>
  <c r="I183" i="3"/>
  <c r="L277" i="4" s="1"/>
  <c r="J277" i="4"/>
  <c r="J183" i="3"/>
  <c r="M277" i="4" s="1"/>
  <c r="O3" i="4"/>
  <c r="O4" i="4"/>
  <c r="O5" i="4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63" i="4"/>
  <c r="O64" i="4"/>
  <c r="O65" i="4"/>
  <c r="O66" i="4"/>
  <c r="O67" i="4"/>
  <c r="O68" i="4"/>
  <c r="O69" i="4"/>
  <c r="O70" i="4"/>
  <c r="O71" i="4"/>
  <c r="O72" i="4"/>
  <c r="O73" i="4"/>
  <c r="O74" i="4"/>
  <c r="O75" i="4"/>
  <c r="O76" i="4"/>
  <c r="O77" i="4"/>
  <c r="O78" i="4"/>
  <c r="O79" i="4"/>
  <c r="O80" i="4"/>
  <c r="O81" i="4"/>
  <c r="O82" i="4"/>
  <c r="O83" i="4"/>
  <c r="O84" i="4"/>
  <c r="O85" i="4"/>
  <c r="O86" i="4"/>
  <c r="O87" i="4"/>
  <c r="O88" i="4"/>
  <c r="O89" i="4"/>
  <c r="O90" i="4"/>
  <c r="O91" i="4"/>
  <c r="O92" i="4"/>
  <c r="O93" i="4"/>
  <c r="O94" i="4"/>
  <c r="O95" i="4"/>
  <c r="O96" i="4"/>
  <c r="O97" i="4"/>
  <c r="O98" i="4"/>
  <c r="O99" i="4"/>
  <c r="O100" i="4"/>
  <c r="O101" i="4"/>
  <c r="O102" i="4"/>
  <c r="O103" i="4"/>
  <c r="O104" i="4"/>
  <c r="O105" i="4"/>
  <c r="O106" i="4"/>
  <c r="O107" i="4"/>
  <c r="O108" i="4"/>
  <c r="O109" i="4"/>
  <c r="O110" i="4"/>
  <c r="O111" i="4"/>
  <c r="O112" i="4"/>
  <c r="O113" i="4"/>
  <c r="O114" i="4"/>
  <c r="O115" i="4"/>
  <c r="O116" i="4"/>
  <c r="O117" i="4"/>
  <c r="O118" i="4"/>
  <c r="O119" i="4"/>
  <c r="O120" i="4"/>
  <c r="O121" i="4"/>
  <c r="O122" i="4"/>
  <c r="O123" i="4"/>
  <c r="O124" i="4"/>
  <c r="O125" i="4"/>
  <c r="O126" i="4"/>
  <c r="O127" i="4"/>
  <c r="O128" i="4"/>
  <c r="O129" i="4"/>
  <c r="O130" i="4"/>
  <c r="O131" i="4"/>
  <c r="O132" i="4"/>
  <c r="O133" i="4"/>
  <c r="O134" i="4"/>
  <c r="O135" i="4"/>
  <c r="O136" i="4"/>
  <c r="O137" i="4"/>
  <c r="O138" i="4"/>
  <c r="O139" i="4"/>
  <c r="O140" i="4"/>
  <c r="O141" i="4"/>
  <c r="O142" i="4"/>
  <c r="O143" i="4"/>
  <c r="O144" i="4"/>
  <c r="O145" i="4"/>
  <c r="O146" i="4"/>
  <c r="O147" i="4"/>
  <c r="O148" i="4"/>
  <c r="O149" i="4"/>
  <c r="O150" i="4"/>
  <c r="O151" i="4"/>
  <c r="O152" i="4"/>
  <c r="O153" i="4"/>
  <c r="O154" i="4"/>
  <c r="O155" i="4"/>
  <c r="O156" i="4"/>
  <c r="O157" i="4"/>
  <c r="O158" i="4"/>
  <c r="O159" i="4"/>
  <c r="O160" i="4"/>
  <c r="O161" i="4"/>
  <c r="O162" i="4"/>
  <c r="O163" i="4"/>
  <c r="O164" i="4"/>
  <c r="O165" i="4"/>
  <c r="O166" i="4"/>
  <c r="O167" i="4"/>
  <c r="O168" i="4"/>
  <c r="O169" i="4"/>
  <c r="O170" i="4"/>
  <c r="O171" i="4"/>
  <c r="O172" i="4"/>
  <c r="O173" i="4"/>
  <c r="O174" i="4"/>
  <c r="O175" i="4"/>
  <c r="O176" i="4"/>
  <c r="O177" i="4"/>
  <c r="O178" i="4"/>
  <c r="O179" i="4"/>
  <c r="O180" i="4"/>
  <c r="O181" i="4"/>
  <c r="O182" i="4"/>
  <c r="O183" i="4"/>
  <c r="O184" i="4"/>
  <c r="O185" i="4"/>
  <c r="O186" i="4"/>
  <c r="O187" i="4"/>
  <c r="O188" i="4"/>
  <c r="O189" i="4"/>
  <c r="O190" i="4"/>
  <c r="O191" i="4"/>
  <c r="O192" i="4"/>
  <c r="O193" i="4"/>
  <c r="O194" i="4"/>
  <c r="O195" i="4"/>
  <c r="O196" i="4"/>
  <c r="O197" i="4"/>
  <c r="O198" i="4"/>
  <c r="O199" i="4"/>
  <c r="O200" i="4"/>
  <c r="O201" i="4"/>
  <c r="O202" i="4"/>
  <c r="O203" i="4"/>
  <c r="O204" i="4"/>
  <c r="O205" i="4"/>
  <c r="O206" i="4"/>
  <c r="O207" i="4"/>
  <c r="O208" i="4"/>
  <c r="O209" i="4"/>
  <c r="O210" i="4"/>
  <c r="O211" i="4"/>
  <c r="O212" i="4"/>
  <c r="O213" i="4"/>
  <c r="O214" i="4"/>
  <c r="O215" i="4"/>
  <c r="O216" i="4"/>
  <c r="O217" i="4"/>
  <c r="O218" i="4"/>
  <c r="O219" i="4"/>
  <c r="O220" i="4"/>
  <c r="O221" i="4"/>
  <c r="O222" i="4"/>
  <c r="O223" i="4"/>
  <c r="O224" i="4"/>
  <c r="O225" i="4"/>
  <c r="O226" i="4"/>
  <c r="O227" i="4"/>
  <c r="O228" i="4"/>
  <c r="O229" i="4"/>
  <c r="O230" i="4"/>
  <c r="O231" i="4"/>
  <c r="O232" i="4"/>
  <c r="O233" i="4"/>
  <c r="O234" i="4"/>
  <c r="O235" i="4"/>
  <c r="O236" i="4"/>
  <c r="O237" i="4"/>
  <c r="O238" i="4"/>
  <c r="O239" i="4"/>
  <c r="O240" i="4"/>
  <c r="O241" i="4"/>
  <c r="O242" i="4"/>
  <c r="O243" i="4"/>
  <c r="O244" i="4"/>
  <c r="O245" i="4"/>
  <c r="O246" i="4"/>
  <c r="O247" i="4"/>
  <c r="O248" i="4"/>
  <c r="O249" i="4"/>
  <c r="O250" i="4"/>
  <c r="O251" i="4"/>
  <c r="O252" i="4"/>
  <c r="O253" i="4"/>
  <c r="O254" i="4"/>
  <c r="O255" i="4"/>
  <c r="O256" i="4"/>
  <c r="O257" i="4"/>
  <c r="O258" i="4"/>
  <c r="O259" i="4"/>
  <c r="O260" i="4"/>
  <c r="O261" i="4"/>
  <c r="O262" i="4"/>
  <c r="O263" i="4"/>
  <c r="O264" i="4"/>
  <c r="O265" i="4"/>
  <c r="O266" i="4"/>
  <c r="O267" i="4"/>
  <c r="O268" i="4"/>
  <c r="O269" i="4"/>
  <c r="O270" i="4"/>
  <c r="O271" i="4"/>
  <c r="O272" i="4"/>
  <c r="O273" i="4"/>
  <c r="O274" i="4"/>
  <c r="O275" i="4"/>
  <c r="O282" i="4"/>
  <c r="O283" i="4"/>
  <c r="O284" i="4"/>
  <c r="O285" i="4"/>
  <c r="O286" i="4"/>
  <c r="O287" i="4"/>
  <c r="O288" i="4"/>
  <c r="O289" i="4"/>
  <c r="O290" i="4"/>
  <c r="O291" i="4"/>
  <c r="O292" i="4"/>
  <c r="O293" i="4"/>
  <c r="O294" i="4"/>
  <c r="O295" i="4"/>
  <c r="O296" i="4"/>
  <c r="O297" i="4"/>
  <c r="O298" i="4"/>
  <c r="O299" i="4"/>
  <c r="O300" i="4"/>
  <c r="O301" i="4"/>
  <c r="O302" i="4"/>
  <c r="O303" i="4"/>
  <c r="O304" i="4"/>
  <c r="O305" i="4"/>
  <c r="O306" i="4"/>
  <c r="O307" i="4"/>
  <c r="O308" i="4"/>
  <c r="O309" i="4"/>
  <c r="O310" i="4"/>
  <c r="O311" i="4"/>
  <c r="O312" i="4"/>
  <c r="O313" i="4"/>
  <c r="O314" i="4"/>
  <c r="O315" i="4"/>
  <c r="O316" i="4"/>
  <c r="O317" i="4"/>
  <c r="O318" i="4"/>
  <c r="O319" i="4"/>
  <c r="O320" i="4"/>
  <c r="O321" i="4"/>
  <c r="O322" i="4"/>
  <c r="O323" i="4"/>
  <c r="O324" i="4"/>
  <c r="O325" i="4"/>
  <c r="O326" i="4"/>
  <c r="O327" i="4"/>
  <c r="O328" i="4"/>
  <c r="O329" i="4"/>
  <c r="O2" i="4"/>
  <c r="B3" i="3"/>
  <c r="E329" i="4" l="1"/>
  <c r="E328" i="4"/>
  <c r="E326" i="4"/>
  <c r="E325" i="4"/>
  <c r="E323" i="4"/>
  <c r="E322" i="4"/>
  <c r="E320" i="4"/>
  <c r="E319" i="4"/>
  <c r="E317" i="4"/>
  <c r="E316" i="4"/>
  <c r="E314" i="4"/>
  <c r="E313" i="4"/>
  <c r="E311" i="4"/>
  <c r="E310" i="4"/>
  <c r="E308" i="4"/>
  <c r="E307" i="4"/>
  <c r="E305" i="4"/>
  <c r="E304" i="4"/>
  <c r="E302" i="4"/>
  <c r="E301" i="4"/>
  <c r="E299" i="4"/>
  <c r="E298" i="4"/>
  <c r="E296" i="4"/>
  <c r="E295" i="4"/>
  <c r="E293" i="4"/>
  <c r="E292" i="4"/>
  <c r="E290" i="4"/>
  <c r="E289" i="4"/>
  <c r="E287" i="4"/>
  <c r="E286" i="4"/>
  <c r="E284" i="4"/>
  <c r="E283" i="4"/>
  <c r="I282" i="4"/>
  <c r="K282" i="4"/>
  <c r="I283" i="4"/>
  <c r="K283" i="4"/>
  <c r="I285" i="4"/>
  <c r="K285" i="4"/>
  <c r="I286" i="4"/>
  <c r="K286" i="4"/>
  <c r="I288" i="4"/>
  <c r="K288" i="4"/>
  <c r="I289" i="4"/>
  <c r="K289" i="4"/>
  <c r="I291" i="4"/>
  <c r="K291" i="4"/>
  <c r="I292" i="4"/>
  <c r="K292" i="4"/>
  <c r="I294" i="4"/>
  <c r="K294" i="4"/>
  <c r="I295" i="4"/>
  <c r="K295" i="4"/>
  <c r="I297" i="4"/>
  <c r="K297" i="4"/>
  <c r="I298" i="4"/>
  <c r="K298" i="4"/>
  <c r="I300" i="4"/>
  <c r="K300" i="4"/>
  <c r="I301" i="4"/>
  <c r="K301" i="4"/>
  <c r="I303" i="4"/>
  <c r="K303" i="4"/>
  <c r="I304" i="4"/>
  <c r="K304" i="4"/>
  <c r="I306" i="4"/>
  <c r="K306" i="4"/>
  <c r="I307" i="4"/>
  <c r="K307" i="4"/>
  <c r="I309" i="4"/>
  <c r="K309" i="4"/>
  <c r="I310" i="4"/>
  <c r="K310" i="4"/>
  <c r="I312" i="4"/>
  <c r="K312" i="4"/>
  <c r="I313" i="4"/>
  <c r="K313" i="4"/>
  <c r="I315" i="4"/>
  <c r="K315" i="4"/>
  <c r="I316" i="4"/>
  <c r="K316" i="4"/>
  <c r="I318" i="4"/>
  <c r="K318" i="4"/>
  <c r="I319" i="4"/>
  <c r="K319" i="4"/>
  <c r="I321" i="4"/>
  <c r="K321" i="4"/>
  <c r="I322" i="4"/>
  <c r="K322" i="4"/>
  <c r="I324" i="4"/>
  <c r="K324" i="4"/>
  <c r="I325" i="4"/>
  <c r="K325" i="4"/>
  <c r="I327" i="4"/>
  <c r="K327" i="4"/>
  <c r="I328" i="4"/>
  <c r="K328" i="4"/>
  <c r="E327" i="4"/>
  <c r="E324" i="4"/>
  <c r="E285" i="4"/>
  <c r="E288" i="4"/>
  <c r="E291" i="4"/>
  <c r="E294" i="4"/>
  <c r="E297" i="4"/>
  <c r="E300" i="4"/>
  <c r="E303" i="4"/>
  <c r="E306" i="4"/>
  <c r="E309" i="4"/>
  <c r="E312" i="4"/>
  <c r="E315" i="4"/>
  <c r="E318" i="4"/>
  <c r="E321" i="4"/>
  <c r="E282" i="4"/>
  <c r="E275" i="4"/>
  <c r="E274" i="4"/>
  <c r="E272" i="4"/>
  <c r="E271" i="4"/>
  <c r="E269" i="4"/>
  <c r="E268" i="4"/>
  <c r="E266" i="4"/>
  <c r="E265" i="4"/>
  <c r="E263" i="4"/>
  <c r="E262" i="4"/>
  <c r="E260" i="4"/>
  <c r="E259" i="4"/>
  <c r="E257" i="4"/>
  <c r="E256" i="4"/>
  <c r="E254" i="4"/>
  <c r="E253" i="4"/>
  <c r="E251" i="4"/>
  <c r="E250" i="4"/>
  <c r="E248" i="4"/>
  <c r="E247" i="4"/>
  <c r="E245" i="4"/>
  <c r="E244" i="4"/>
  <c r="E242" i="4"/>
  <c r="E241" i="4"/>
  <c r="E239" i="4"/>
  <c r="E238" i="4"/>
  <c r="E236" i="4"/>
  <c r="E235" i="4"/>
  <c r="E233" i="4"/>
  <c r="E232" i="4"/>
  <c r="E230" i="4"/>
  <c r="E229" i="4"/>
  <c r="I228" i="4"/>
  <c r="K228" i="4"/>
  <c r="I229" i="4"/>
  <c r="K229" i="4"/>
  <c r="I231" i="4"/>
  <c r="K231" i="4"/>
  <c r="I232" i="4"/>
  <c r="K232" i="4"/>
  <c r="I234" i="4"/>
  <c r="K234" i="4"/>
  <c r="I235" i="4"/>
  <c r="K235" i="4"/>
  <c r="I237" i="4"/>
  <c r="K237" i="4"/>
  <c r="I238" i="4"/>
  <c r="K238" i="4"/>
  <c r="I240" i="4"/>
  <c r="K240" i="4"/>
  <c r="I241" i="4"/>
  <c r="K241" i="4"/>
  <c r="I243" i="4"/>
  <c r="K243" i="4"/>
  <c r="I244" i="4"/>
  <c r="K244" i="4"/>
  <c r="I246" i="4"/>
  <c r="K246" i="4"/>
  <c r="I247" i="4"/>
  <c r="K247" i="4"/>
  <c r="I249" i="4"/>
  <c r="K249" i="4"/>
  <c r="I250" i="4"/>
  <c r="K250" i="4"/>
  <c r="I252" i="4"/>
  <c r="K252" i="4"/>
  <c r="I253" i="4"/>
  <c r="K253" i="4"/>
  <c r="I255" i="4"/>
  <c r="K255" i="4"/>
  <c r="I256" i="4"/>
  <c r="K256" i="4"/>
  <c r="I258" i="4"/>
  <c r="K258" i="4"/>
  <c r="I259" i="4"/>
  <c r="K259" i="4"/>
  <c r="I261" i="4"/>
  <c r="K261" i="4"/>
  <c r="I262" i="4"/>
  <c r="K262" i="4"/>
  <c r="I264" i="4"/>
  <c r="K264" i="4"/>
  <c r="I265" i="4"/>
  <c r="K265" i="4"/>
  <c r="I267" i="4"/>
  <c r="K267" i="4"/>
  <c r="I268" i="4"/>
  <c r="K268" i="4"/>
  <c r="I270" i="4"/>
  <c r="K270" i="4"/>
  <c r="I271" i="4"/>
  <c r="K271" i="4"/>
  <c r="I273" i="4"/>
  <c r="K273" i="4"/>
  <c r="I274" i="4"/>
  <c r="K274" i="4"/>
  <c r="E270" i="4"/>
  <c r="E273" i="4"/>
  <c r="E231" i="4"/>
  <c r="E234" i="4"/>
  <c r="E237" i="4"/>
  <c r="E240" i="4"/>
  <c r="E243" i="4"/>
  <c r="E246" i="4"/>
  <c r="E249" i="4"/>
  <c r="E252" i="4"/>
  <c r="E255" i="4"/>
  <c r="E258" i="4"/>
  <c r="E261" i="4"/>
  <c r="E264" i="4"/>
  <c r="E267" i="4"/>
  <c r="E228" i="4"/>
  <c r="E227" i="4"/>
  <c r="E226" i="4"/>
  <c r="E224" i="4"/>
  <c r="E223" i="4"/>
  <c r="E221" i="4"/>
  <c r="E220" i="4"/>
  <c r="E218" i="4"/>
  <c r="E217" i="4"/>
  <c r="E215" i="4"/>
  <c r="E214" i="4"/>
  <c r="E212" i="4"/>
  <c r="E211" i="4"/>
  <c r="E209" i="4"/>
  <c r="E208" i="4"/>
  <c r="E206" i="4"/>
  <c r="E205" i="4"/>
  <c r="E203" i="4"/>
  <c r="E202" i="4"/>
  <c r="E200" i="4"/>
  <c r="E199" i="4"/>
  <c r="E197" i="4"/>
  <c r="E196" i="4"/>
  <c r="E194" i="4"/>
  <c r="E193" i="4"/>
  <c r="E191" i="4"/>
  <c r="E190" i="4"/>
  <c r="E188" i="4"/>
  <c r="E187" i="4"/>
  <c r="E185" i="4"/>
  <c r="E184" i="4"/>
  <c r="E182" i="4"/>
  <c r="E181" i="4"/>
  <c r="I180" i="4"/>
  <c r="K180" i="4"/>
  <c r="I181" i="4"/>
  <c r="K181" i="4"/>
  <c r="I183" i="4"/>
  <c r="K183" i="4"/>
  <c r="I184" i="4"/>
  <c r="K184" i="4"/>
  <c r="I186" i="4"/>
  <c r="K186" i="4"/>
  <c r="I187" i="4"/>
  <c r="K187" i="4"/>
  <c r="I189" i="4"/>
  <c r="K189" i="4"/>
  <c r="I190" i="4"/>
  <c r="K190" i="4"/>
  <c r="I192" i="4"/>
  <c r="K192" i="4"/>
  <c r="I193" i="4"/>
  <c r="K193" i="4"/>
  <c r="I195" i="4"/>
  <c r="K195" i="4"/>
  <c r="I196" i="4"/>
  <c r="K196" i="4"/>
  <c r="I198" i="4"/>
  <c r="K198" i="4"/>
  <c r="I199" i="4"/>
  <c r="K199" i="4"/>
  <c r="I201" i="4"/>
  <c r="K201" i="4"/>
  <c r="I202" i="4"/>
  <c r="K202" i="4"/>
  <c r="I204" i="4"/>
  <c r="K204" i="4"/>
  <c r="I205" i="4"/>
  <c r="K205" i="4"/>
  <c r="I207" i="4"/>
  <c r="K207" i="4"/>
  <c r="I208" i="4"/>
  <c r="K208" i="4"/>
  <c r="I210" i="4"/>
  <c r="K210" i="4"/>
  <c r="I211" i="4"/>
  <c r="K211" i="4"/>
  <c r="I213" i="4"/>
  <c r="K213" i="4"/>
  <c r="I214" i="4"/>
  <c r="K214" i="4"/>
  <c r="I216" i="4"/>
  <c r="K216" i="4"/>
  <c r="I217" i="4"/>
  <c r="K217" i="4"/>
  <c r="I219" i="4"/>
  <c r="K219" i="4"/>
  <c r="I220" i="4"/>
  <c r="K220" i="4"/>
  <c r="I222" i="4"/>
  <c r="K222" i="4"/>
  <c r="I223" i="4"/>
  <c r="K223" i="4"/>
  <c r="I225" i="4"/>
  <c r="K225" i="4"/>
  <c r="I226" i="4"/>
  <c r="K226" i="4"/>
  <c r="E225" i="4"/>
  <c r="E183" i="4"/>
  <c r="E186" i="4"/>
  <c r="E189" i="4"/>
  <c r="E192" i="4"/>
  <c r="E195" i="4"/>
  <c r="E198" i="4"/>
  <c r="E201" i="4"/>
  <c r="E204" i="4"/>
  <c r="E207" i="4"/>
  <c r="E210" i="4"/>
  <c r="E213" i="4"/>
  <c r="E216" i="4"/>
  <c r="E219" i="4"/>
  <c r="E222" i="4"/>
  <c r="E180" i="4"/>
  <c r="E164" i="4"/>
  <c r="E179" i="4"/>
  <c r="E178" i="4"/>
  <c r="E176" i="4"/>
  <c r="E175" i="4"/>
  <c r="E173" i="4"/>
  <c r="E172" i="4"/>
  <c r="E170" i="4"/>
  <c r="E169" i="4"/>
  <c r="E167" i="4"/>
  <c r="E166" i="4"/>
  <c r="E163" i="4"/>
  <c r="E161" i="4"/>
  <c r="E160" i="4"/>
  <c r="E158" i="4"/>
  <c r="E157" i="4"/>
  <c r="E155" i="4"/>
  <c r="E154" i="4"/>
  <c r="E152" i="4"/>
  <c r="E151" i="4"/>
  <c r="E149" i="4"/>
  <c r="E148" i="4"/>
  <c r="E146" i="4"/>
  <c r="E145" i="4"/>
  <c r="E143" i="4"/>
  <c r="E142" i="4"/>
  <c r="E140" i="4"/>
  <c r="E139" i="4"/>
  <c r="E137" i="4"/>
  <c r="E136" i="4"/>
  <c r="E134" i="4"/>
  <c r="E133" i="4"/>
  <c r="I133" i="4"/>
  <c r="K133" i="4"/>
  <c r="I135" i="4"/>
  <c r="K135" i="4"/>
  <c r="I136" i="4"/>
  <c r="K136" i="4"/>
  <c r="I138" i="4"/>
  <c r="K138" i="4"/>
  <c r="I139" i="4"/>
  <c r="K139" i="4"/>
  <c r="I141" i="4"/>
  <c r="K141" i="4"/>
  <c r="I142" i="4"/>
  <c r="K142" i="4"/>
  <c r="I144" i="4"/>
  <c r="K144" i="4"/>
  <c r="I145" i="4"/>
  <c r="K145" i="4"/>
  <c r="I147" i="4"/>
  <c r="K147" i="4"/>
  <c r="I148" i="4"/>
  <c r="K148" i="4"/>
  <c r="I150" i="4"/>
  <c r="K150" i="4"/>
  <c r="I151" i="4"/>
  <c r="K151" i="4"/>
  <c r="I153" i="4"/>
  <c r="K153" i="4"/>
  <c r="I154" i="4"/>
  <c r="K154" i="4"/>
  <c r="I156" i="4"/>
  <c r="K156" i="4"/>
  <c r="I157" i="4"/>
  <c r="K157" i="4"/>
  <c r="I159" i="4"/>
  <c r="K159" i="4"/>
  <c r="I160" i="4"/>
  <c r="K160" i="4"/>
  <c r="I162" i="4"/>
  <c r="K162" i="4"/>
  <c r="I163" i="4"/>
  <c r="K163" i="4"/>
  <c r="I165" i="4"/>
  <c r="K165" i="4"/>
  <c r="I166" i="4"/>
  <c r="K166" i="4"/>
  <c r="I168" i="4"/>
  <c r="K168" i="4"/>
  <c r="I169" i="4"/>
  <c r="K169" i="4"/>
  <c r="I171" i="4"/>
  <c r="K171" i="4"/>
  <c r="I172" i="4"/>
  <c r="K172" i="4"/>
  <c r="I174" i="4"/>
  <c r="K174" i="4"/>
  <c r="I175" i="4"/>
  <c r="K175" i="4"/>
  <c r="I177" i="4"/>
  <c r="K177" i="4"/>
  <c r="I178" i="4"/>
  <c r="K178" i="4"/>
  <c r="I132" i="4"/>
  <c r="K132" i="4"/>
  <c r="E135" i="4"/>
  <c r="E138" i="4"/>
  <c r="E141" i="4"/>
  <c r="E144" i="4"/>
  <c r="E147" i="4"/>
  <c r="E150" i="4"/>
  <c r="E153" i="4"/>
  <c r="E156" i="4"/>
  <c r="E159" i="4"/>
  <c r="E162" i="4"/>
  <c r="E165" i="4"/>
  <c r="E168" i="4"/>
  <c r="E171" i="4"/>
  <c r="E174" i="4"/>
  <c r="E177" i="4"/>
  <c r="E132" i="4"/>
  <c r="E131" i="4"/>
  <c r="E128" i="4"/>
  <c r="E125" i="4"/>
  <c r="E122" i="4"/>
  <c r="E119" i="4"/>
  <c r="E116" i="4"/>
  <c r="E113" i="4"/>
  <c r="E110" i="4"/>
  <c r="E107" i="4"/>
  <c r="E104" i="4"/>
  <c r="E101" i="4"/>
  <c r="E98" i="4"/>
  <c r="E95" i="4"/>
  <c r="E94" i="4"/>
  <c r="E92" i="4"/>
  <c r="E89" i="4"/>
  <c r="E86" i="4"/>
  <c r="I84" i="4"/>
  <c r="K84" i="4"/>
  <c r="I85" i="4"/>
  <c r="K85" i="4"/>
  <c r="I87" i="4"/>
  <c r="K87" i="4"/>
  <c r="I88" i="4"/>
  <c r="K88" i="4"/>
  <c r="I90" i="4"/>
  <c r="K90" i="4"/>
  <c r="I91" i="4"/>
  <c r="K91" i="4"/>
  <c r="I93" i="4"/>
  <c r="K93" i="4"/>
  <c r="I94" i="4"/>
  <c r="K94" i="4"/>
  <c r="I96" i="4"/>
  <c r="K96" i="4"/>
  <c r="I97" i="4"/>
  <c r="K97" i="4"/>
  <c r="I99" i="4"/>
  <c r="K99" i="4"/>
  <c r="I100" i="4"/>
  <c r="K100" i="4"/>
  <c r="I102" i="4"/>
  <c r="K102" i="4"/>
  <c r="I103" i="4"/>
  <c r="K103" i="4"/>
  <c r="I105" i="4"/>
  <c r="K105" i="4"/>
  <c r="I106" i="4"/>
  <c r="K106" i="4"/>
  <c r="I108" i="4"/>
  <c r="K108" i="4"/>
  <c r="I109" i="4"/>
  <c r="K109" i="4"/>
  <c r="I111" i="4"/>
  <c r="K111" i="4"/>
  <c r="I112" i="4"/>
  <c r="K112" i="4"/>
  <c r="I114" i="4"/>
  <c r="K114" i="4"/>
  <c r="I115" i="4"/>
  <c r="K115" i="4"/>
  <c r="I117" i="4"/>
  <c r="K117" i="4"/>
  <c r="I118" i="4"/>
  <c r="K118" i="4"/>
  <c r="I120" i="4"/>
  <c r="K120" i="4"/>
  <c r="I121" i="4"/>
  <c r="K121" i="4"/>
  <c r="I123" i="4"/>
  <c r="K123" i="4"/>
  <c r="I124" i="4"/>
  <c r="K124" i="4"/>
  <c r="I126" i="4"/>
  <c r="K126" i="4"/>
  <c r="I127" i="4"/>
  <c r="K127" i="4"/>
  <c r="I129" i="4"/>
  <c r="K129" i="4"/>
  <c r="I130" i="4"/>
  <c r="K130" i="4"/>
  <c r="H112" i="4"/>
  <c r="E130" i="4"/>
  <c r="E127" i="4"/>
  <c r="E124" i="4"/>
  <c r="E121" i="4"/>
  <c r="E118" i="4"/>
  <c r="E115" i="4"/>
  <c r="E112" i="4"/>
  <c r="E109" i="4"/>
  <c r="E106" i="4"/>
  <c r="E103" i="4"/>
  <c r="E100" i="4"/>
  <c r="E97" i="4"/>
  <c r="E93" i="4"/>
  <c r="E91" i="4"/>
  <c r="E88" i="4"/>
  <c r="E85" i="4"/>
  <c r="E87" i="4"/>
  <c r="E90" i="4"/>
  <c r="E96" i="4"/>
  <c r="E99" i="4"/>
  <c r="E102" i="4"/>
  <c r="E105" i="4"/>
  <c r="E108" i="4"/>
  <c r="E111" i="4"/>
  <c r="E114" i="4"/>
  <c r="E117" i="4"/>
  <c r="E120" i="4"/>
  <c r="E123" i="4"/>
  <c r="E126" i="4"/>
  <c r="E129" i="4"/>
  <c r="E84" i="4"/>
  <c r="I82" i="4"/>
  <c r="K82" i="4"/>
  <c r="I81" i="4"/>
  <c r="K81" i="4"/>
  <c r="I79" i="4"/>
  <c r="K79" i="4"/>
  <c r="I78" i="4"/>
  <c r="K78" i="4"/>
  <c r="I76" i="4"/>
  <c r="K76" i="4"/>
  <c r="I75" i="4"/>
  <c r="K75" i="4"/>
  <c r="I73" i="4"/>
  <c r="K73" i="4"/>
  <c r="I72" i="4"/>
  <c r="K72" i="4"/>
  <c r="I70" i="4"/>
  <c r="K70" i="4"/>
  <c r="I69" i="4"/>
  <c r="K69" i="4"/>
  <c r="I67" i="4"/>
  <c r="K67" i="4"/>
  <c r="I66" i="4"/>
  <c r="K66" i="4"/>
  <c r="I64" i="4"/>
  <c r="K64" i="4"/>
  <c r="I63" i="4"/>
  <c r="K63" i="4"/>
  <c r="I61" i="4"/>
  <c r="K61" i="4"/>
  <c r="I60" i="4"/>
  <c r="K60" i="4"/>
  <c r="I58" i="4"/>
  <c r="K58" i="4"/>
  <c r="I57" i="4"/>
  <c r="K57" i="4"/>
  <c r="I55" i="4"/>
  <c r="K55" i="4"/>
  <c r="I54" i="4"/>
  <c r="K54" i="4"/>
  <c r="H54" i="4"/>
  <c r="I52" i="4"/>
  <c r="K52" i="4"/>
  <c r="I51" i="4"/>
  <c r="K51" i="4"/>
  <c r="I48" i="4" l="1"/>
  <c r="K48" i="4"/>
  <c r="I49" i="4"/>
  <c r="K49" i="4"/>
  <c r="I46" i="4"/>
  <c r="K46" i="4"/>
  <c r="I45" i="4"/>
  <c r="K45" i="4"/>
  <c r="I43" i="4"/>
  <c r="K43" i="4"/>
  <c r="I42" i="4"/>
  <c r="K42" i="4"/>
  <c r="I39" i="4"/>
  <c r="K39" i="4"/>
  <c r="I40" i="4"/>
  <c r="K40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I37" i="4"/>
  <c r="K37" i="4"/>
  <c r="I36" i="4"/>
  <c r="K36" i="4"/>
  <c r="E36" i="4"/>
  <c r="I33" i="4"/>
  <c r="K33" i="4"/>
  <c r="N33" i="4"/>
  <c r="I32" i="4"/>
  <c r="K32" i="4"/>
  <c r="N32" i="4"/>
  <c r="H33" i="4"/>
  <c r="H32" i="4"/>
  <c r="I30" i="4"/>
  <c r="K30" i="4"/>
  <c r="N30" i="4"/>
  <c r="I29" i="4"/>
  <c r="K29" i="4"/>
  <c r="N29" i="4"/>
  <c r="H30" i="4"/>
  <c r="H29" i="4"/>
  <c r="I27" i="4"/>
  <c r="K27" i="4"/>
  <c r="N27" i="4"/>
  <c r="I26" i="4"/>
  <c r="K26" i="4"/>
  <c r="N26" i="4"/>
  <c r="H27" i="4"/>
  <c r="H26" i="4"/>
  <c r="I24" i="4"/>
  <c r="K24" i="4"/>
  <c r="N24" i="4"/>
  <c r="I23" i="4"/>
  <c r="K23" i="4"/>
  <c r="N23" i="4"/>
  <c r="H24" i="4"/>
  <c r="H23" i="4"/>
  <c r="I21" i="4"/>
  <c r="K21" i="4"/>
  <c r="N21" i="4"/>
  <c r="H21" i="4"/>
  <c r="I20" i="4"/>
  <c r="K20" i="4"/>
  <c r="N20" i="4"/>
  <c r="H20" i="4"/>
  <c r="E22" i="4"/>
  <c r="E21" i="4"/>
  <c r="E20" i="4"/>
  <c r="I18" i="4"/>
  <c r="K18" i="4"/>
  <c r="N18" i="4"/>
  <c r="H18" i="4"/>
  <c r="N17" i="4"/>
  <c r="I17" i="4"/>
  <c r="K17" i="4"/>
  <c r="H17" i="4"/>
  <c r="E19" i="4"/>
  <c r="E18" i="4"/>
  <c r="E17" i="4"/>
  <c r="I15" i="4"/>
  <c r="K15" i="4"/>
  <c r="N15" i="4"/>
  <c r="H15" i="4"/>
  <c r="I14" i="4"/>
  <c r="K14" i="4"/>
  <c r="N14" i="4"/>
  <c r="H14" i="4"/>
  <c r="E16" i="4"/>
  <c r="E15" i="4"/>
  <c r="E14" i="4"/>
  <c r="I12" i="4"/>
  <c r="K12" i="4"/>
  <c r="N12" i="4"/>
  <c r="I11" i="4"/>
  <c r="K11" i="4"/>
  <c r="N11" i="4"/>
  <c r="H12" i="4"/>
  <c r="H11" i="4"/>
  <c r="E13" i="4"/>
  <c r="E12" i="4"/>
  <c r="E11" i="4"/>
  <c r="I9" i="4"/>
  <c r="K9" i="4"/>
  <c r="N9" i="4"/>
  <c r="I8" i="4"/>
  <c r="K8" i="4"/>
  <c r="N8" i="4"/>
  <c r="H9" i="4"/>
  <c r="H8" i="4"/>
  <c r="E10" i="4"/>
  <c r="E9" i="4"/>
  <c r="E8" i="4"/>
  <c r="I6" i="4"/>
  <c r="K6" i="4"/>
  <c r="N6" i="4"/>
  <c r="H6" i="4"/>
  <c r="I5" i="4"/>
  <c r="K5" i="4"/>
  <c r="N5" i="4"/>
  <c r="H5" i="4"/>
  <c r="N3" i="4" l="1"/>
  <c r="I3" i="4"/>
  <c r="K3" i="4"/>
  <c r="I2" i="4"/>
  <c r="K2" i="4"/>
  <c r="N2" i="4"/>
  <c r="H3" i="4"/>
  <c r="H2" i="4"/>
  <c r="G19" i="1" l="1"/>
  <c r="I19" i="1" l="1"/>
  <c r="J19" i="1"/>
  <c r="L20" i="2"/>
  <c r="M20" i="2"/>
  <c r="I25" i="4" s="1"/>
  <c r="O20" i="2"/>
  <c r="K25" i="4" s="1"/>
  <c r="N20" i="2" l="1"/>
  <c r="J25" i="4" s="1"/>
  <c r="H25" i="4"/>
  <c r="Q20" i="2" l="1"/>
  <c r="M25" i="4" s="1"/>
  <c r="P20" i="2"/>
  <c r="L25" i="4" s="1"/>
  <c r="G18" i="3"/>
  <c r="I18" i="3" s="1"/>
  <c r="K336" i="4"/>
  <c r="I336" i="4"/>
  <c r="G28" i="2"/>
  <c r="J28" i="2" s="1"/>
  <c r="M28" i="2"/>
  <c r="F13" i="1" s="1"/>
  <c r="L28" i="2"/>
  <c r="E13" i="1" s="1"/>
  <c r="F29" i="2"/>
  <c r="I35" i="4" s="1"/>
  <c r="E29" i="2"/>
  <c r="L54" i="4" l="1"/>
  <c r="G29" i="2"/>
  <c r="J35" i="4" s="1"/>
  <c r="H35" i="4"/>
  <c r="J18" i="3"/>
  <c r="M54" i="4" s="1"/>
  <c r="J54" i="4"/>
  <c r="K35" i="4"/>
  <c r="I28" i="2"/>
  <c r="H9" i="1"/>
  <c r="F9" i="1"/>
  <c r="E9" i="1"/>
  <c r="G20" i="2"/>
  <c r="I20" i="2" s="1"/>
  <c r="G21" i="2" s="1"/>
  <c r="G24" i="2"/>
  <c r="G26" i="2"/>
  <c r="G22" i="2"/>
  <c r="J29" i="2" l="1"/>
  <c r="M35" i="4" s="1"/>
  <c r="I29" i="2"/>
  <c r="L35" i="4" s="1"/>
  <c r="L23" i="4"/>
  <c r="J23" i="4"/>
  <c r="J20" i="2"/>
  <c r="M23" i="4" s="1"/>
  <c r="J29" i="4"/>
  <c r="J24" i="2"/>
  <c r="M29" i="4" s="1"/>
  <c r="I22" i="2"/>
  <c r="J26" i="4"/>
  <c r="J22" i="2"/>
  <c r="M26" i="4" s="1"/>
  <c r="J32" i="4"/>
  <c r="J26" i="2"/>
  <c r="M32" i="4" s="1"/>
  <c r="I26" i="2"/>
  <c r="I24" i="2"/>
  <c r="J21" i="2" l="1"/>
  <c r="M24" i="4" s="1"/>
  <c r="G25" i="2"/>
  <c r="L29" i="4"/>
  <c r="G27" i="2"/>
  <c r="L32" i="4"/>
  <c r="G23" i="2"/>
  <c r="L26" i="4"/>
  <c r="J24" i="4"/>
  <c r="G9" i="1"/>
  <c r="J9" i="1" s="1"/>
  <c r="I9" i="1"/>
  <c r="G10" i="2"/>
  <c r="G12" i="2"/>
  <c r="G14" i="2"/>
  <c r="G16" i="2"/>
  <c r="G18" i="2"/>
  <c r="G8" i="2"/>
  <c r="G6" i="2"/>
  <c r="N8" i="3"/>
  <c r="N10" i="3"/>
  <c r="N12" i="3"/>
  <c r="N14" i="3"/>
  <c r="N16" i="3"/>
  <c r="N18" i="3"/>
  <c r="N20" i="3"/>
  <c r="N22" i="3"/>
  <c r="N24" i="3"/>
  <c r="N26" i="3"/>
  <c r="N28" i="3"/>
  <c r="N30" i="3"/>
  <c r="N32" i="3"/>
  <c r="N34" i="3"/>
  <c r="N40" i="3"/>
  <c r="N42" i="3"/>
  <c r="N44" i="3"/>
  <c r="N46" i="3"/>
  <c r="N48" i="3"/>
  <c r="N50" i="3"/>
  <c r="N52" i="3"/>
  <c r="N54" i="3"/>
  <c r="N56" i="3"/>
  <c r="N58" i="3"/>
  <c r="N60" i="3"/>
  <c r="N62" i="3"/>
  <c r="N64" i="3"/>
  <c r="N66" i="3"/>
  <c r="N68" i="3"/>
  <c r="N70" i="3"/>
  <c r="N76" i="3"/>
  <c r="N78" i="3"/>
  <c r="N80" i="3"/>
  <c r="N82" i="3"/>
  <c r="N84" i="3"/>
  <c r="N86" i="3"/>
  <c r="N88" i="3"/>
  <c r="N90" i="3"/>
  <c r="N92" i="3"/>
  <c r="N94" i="3"/>
  <c r="N96" i="3"/>
  <c r="N98" i="3"/>
  <c r="N100" i="3"/>
  <c r="N102" i="3"/>
  <c r="N104" i="3"/>
  <c r="N106" i="3"/>
  <c r="N112" i="3"/>
  <c r="N114" i="3"/>
  <c r="N116" i="3"/>
  <c r="N118" i="3"/>
  <c r="N120" i="3"/>
  <c r="N122" i="3"/>
  <c r="N124" i="3"/>
  <c r="N126" i="3"/>
  <c r="N128" i="3"/>
  <c r="N130" i="3"/>
  <c r="N132" i="3"/>
  <c r="N134" i="3"/>
  <c r="N136" i="3"/>
  <c r="N138" i="3"/>
  <c r="N140" i="3"/>
  <c r="N142" i="3"/>
  <c r="N148" i="3"/>
  <c r="N150" i="3"/>
  <c r="N152" i="3"/>
  <c r="N154" i="3"/>
  <c r="N156" i="3"/>
  <c r="N158" i="3"/>
  <c r="N160" i="3"/>
  <c r="N162" i="3"/>
  <c r="N164" i="3"/>
  <c r="N166" i="3"/>
  <c r="N168" i="3"/>
  <c r="N170" i="3"/>
  <c r="N172" i="3"/>
  <c r="N174" i="3"/>
  <c r="N176" i="3"/>
  <c r="N178" i="3"/>
  <c r="N180" i="3"/>
  <c r="N190" i="3"/>
  <c r="N192" i="3"/>
  <c r="N194" i="3"/>
  <c r="N196" i="3"/>
  <c r="N198" i="3"/>
  <c r="N200" i="3"/>
  <c r="N202" i="3"/>
  <c r="N204" i="3"/>
  <c r="N206" i="3"/>
  <c r="N208" i="3"/>
  <c r="N210" i="3"/>
  <c r="N212" i="3"/>
  <c r="N216" i="3"/>
  <c r="N218" i="3"/>
  <c r="N220" i="3"/>
  <c r="N6" i="3"/>
  <c r="L8" i="3"/>
  <c r="I41" i="4" s="1"/>
  <c r="L10" i="3"/>
  <c r="I44" i="4" s="1"/>
  <c r="L12" i="3"/>
  <c r="I47" i="4" s="1"/>
  <c r="L14" i="3"/>
  <c r="I50" i="4" s="1"/>
  <c r="L16" i="3"/>
  <c r="I53" i="4" s="1"/>
  <c r="L18" i="3"/>
  <c r="I56" i="4" s="1"/>
  <c r="L20" i="3"/>
  <c r="I59" i="4" s="1"/>
  <c r="L22" i="3"/>
  <c r="I62" i="4" s="1"/>
  <c r="L24" i="3"/>
  <c r="I65" i="4" s="1"/>
  <c r="L26" i="3"/>
  <c r="I68" i="4" s="1"/>
  <c r="L28" i="3"/>
  <c r="I71" i="4" s="1"/>
  <c r="L30" i="3"/>
  <c r="I74" i="4" s="1"/>
  <c r="L32" i="3"/>
  <c r="I77" i="4" s="1"/>
  <c r="L34" i="3"/>
  <c r="I80" i="4" s="1"/>
  <c r="L40" i="3"/>
  <c r="I83" i="4" s="1"/>
  <c r="L42" i="3"/>
  <c r="L44" i="3"/>
  <c r="I89" i="4" s="1"/>
  <c r="L46" i="3"/>
  <c r="I92" i="4" s="1"/>
  <c r="L48" i="3"/>
  <c r="I95" i="4" s="1"/>
  <c r="L50" i="3"/>
  <c r="I98" i="4" s="1"/>
  <c r="L52" i="3"/>
  <c r="I101" i="4" s="1"/>
  <c r="L54" i="3"/>
  <c r="I104" i="4" s="1"/>
  <c r="L56" i="3"/>
  <c r="I107" i="4" s="1"/>
  <c r="L58" i="3"/>
  <c r="I110" i="4" s="1"/>
  <c r="L60" i="3"/>
  <c r="I113" i="4" s="1"/>
  <c r="L62" i="3"/>
  <c r="I116" i="4" s="1"/>
  <c r="L64" i="3"/>
  <c r="I119" i="4" s="1"/>
  <c r="L66" i="3"/>
  <c r="I122" i="4" s="1"/>
  <c r="L68" i="3"/>
  <c r="L70" i="3"/>
  <c r="I128" i="4" s="1"/>
  <c r="L76" i="3"/>
  <c r="I131" i="4" s="1"/>
  <c r="L78" i="3"/>
  <c r="L80" i="3"/>
  <c r="I137" i="4" s="1"/>
  <c r="L82" i="3"/>
  <c r="I140" i="4" s="1"/>
  <c r="L84" i="3"/>
  <c r="I143" i="4" s="1"/>
  <c r="L86" i="3"/>
  <c r="I146" i="4" s="1"/>
  <c r="L88" i="3"/>
  <c r="I149" i="4" s="1"/>
  <c r="L90" i="3"/>
  <c r="I152" i="4" s="1"/>
  <c r="L92" i="3"/>
  <c r="I155" i="4" s="1"/>
  <c r="L94" i="3"/>
  <c r="I158" i="4" s="1"/>
  <c r="L96" i="3"/>
  <c r="I161" i="4" s="1"/>
  <c r="L98" i="3"/>
  <c r="I164" i="4" s="1"/>
  <c r="L100" i="3"/>
  <c r="I167" i="4" s="1"/>
  <c r="L102" i="3"/>
  <c r="I170" i="4" s="1"/>
  <c r="L104" i="3"/>
  <c r="I173" i="4" s="1"/>
  <c r="L106" i="3"/>
  <c r="I176" i="4" s="1"/>
  <c r="L112" i="3"/>
  <c r="I179" i="4" s="1"/>
  <c r="L114" i="3"/>
  <c r="L116" i="3"/>
  <c r="I185" i="4" s="1"/>
  <c r="L118" i="3"/>
  <c r="I188" i="4" s="1"/>
  <c r="L120" i="3"/>
  <c r="I191" i="4" s="1"/>
  <c r="L122" i="3"/>
  <c r="I194" i="4" s="1"/>
  <c r="L124" i="3"/>
  <c r="I197" i="4" s="1"/>
  <c r="L126" i="3"/>
  <c r="I200" i="4" s="1"/>
  <c r="L128" i="3"/>
  <c r="I203" i="4" s="1"/>
  <c r="L130" i="3"/>
  <c r="I206" i="4" s="1"/>
  <c r="L132" i="3"/>
  <c r="I209" i="4" s="1"/>
  <c r="L134" i="3"/>
  <c r="I212" i="4" s="1"/>
  <c r="L136" i="3"/>
  <c r="I215" i="4" s="1"/>
  <c r="L138" i="3"/>
  <c r="I218" i="4" s="1"/>
  <c r="L140" i="3"/>
  <c r="I221" i="4" s="1"/>
  <c r="L142" i="3"/>
  <c r="I224" i="4" s="1"/>
  <c r="L148" i="3"/>
  <c r="I227" i="4" s="1"/>
  <c r="L150" i="3"/>
  <c r="L152" i="3"/>
  <c r="I233" i="4" s="1"/>
  <c r="L154" i="3"/>
  <c r="I236" i="4" s="1"/>
  <c r="L156" i="3"/>
  <c r="L158" i="3"/>
  <c r="L160" i="3"/>
  <c r="I245" i="4" s="1"/>
  <c r="L162" i="3"/>
  <c r="I248" i="4" s="1"/>
  <c r="L164" i="3"/>
  <c r="I251" i="4" s="1"/>
  <c r="L166" i="3"/>
  <c r="I254" i="4" s="1"/>
  <c r="L168" i="3"/>
  <c r="I257" i="4" s="1"/>
  <c r="L170" i="3"/>
  <c r="I260" i="4" s="1"/>
  <c r="L172" i="3"/>
  <c r="I263" i="4" s="1"/>
  <c r="L174" i="3"/>
  <c r="I266" i="4" s="1"/>
  <c r="L176" i="3"/>
  <c r="I269" i="4" s="1"/>
  <c r="L178" i="3"/>
  <c r="I272" i="4" s="1"/>
  <c r="L180" i="3"/>
  <c r="I275" i="4" s="1"/>
  <c r="L190" i="3"/>
  <c r="L192" i="3"/>
  <c r="I287" i="4" s="1"/>
  <c r="L194" i="3"/>
  <c r="I290" i="4" s="1"/>
  <c r="L196" i="3"/>
  <c r="I296" i="4"/>
  <c r="L200" i="3"/>
  <c r="I299" i="4" s="1"/>
  <c r="L202" i="3"/>
  <c r="I302" i="4" s="1"/>
  <c r="L204" i="3"/>
  <c r="I305" i="4" s="1"/>
  <c r="L206" i="3"/>
  <c r="I308" i="4" s="1"/>
  <c r="L208" i="3"/>
  <c r="I311" i="4" s="1"/>
  <c r="L210" i="3"/>
  <c r="I314" i="4" s="1"/>
  <c r="L212" i="3"/>
  <c r="I317" i="4" s="1"/>
  <c r="I320" i="4"/>
  <c r="L216" i="3"/>
  <c r="I323" i="4" s="1"/>
  <c r="L218" i="3"/>
  <c r="I326" i="4" s="1"/>
  <c r="L220" i="3"/>
  <c r="I329" i="4" s="1"/>
  <c r="L6" i="3"/>
  <c r="M29" i="2"/>
  <c r="N29" i="2"/>
  <c r="O29" i="2"/>
  <c r="P29" i="2"/>
  <c r="Q29" i="2"/>
  <c r="L29" i="2"/>
  <c r="N28" i="2"/>
  <c r="G13" i="1" s="1"/>
  <c r="O28" i="2"/>
  <c r="H13" i="1" s="1"/>
  <c r="P28" i="2"/>
  <c r="I13" i="1" s="1"/>
  <c r="Q28" i="2"/>
  <c r="O8" i="2"/>
  <c r="O10" i="2"/>
  <c r="K10" i="4" s="1"/>
  <c r="O12" i="2"/>
  <c r="K13" i="4" s="1"/>
  <c r="O14" i="2"/>
  <c r="K16" i="4" s="1"/>
  <c r="O16" i="2"/>
  <c r="K19" i="4" s="1"/>
  <c r="O18" i="2"/>
  <c r="K22" i="4" s="1"/>
  <c r="O22" i="2"/>
  <c r="O24" i="2"/>
  <c r="O26" i="2"/>
  <c r="O6" i="2"/>
  <c r="M8" i="2"/>
  <c r="M10" i="2"/>
  <c r="M12" i="2"/>
  <c r="I13" i="4" s="1"/>
  <c r="M14" i="2"/>
  <c r="I16" i="4" s="1"/>
  <c r="M16" i="2"/>
  <c r="I19" i="4" s="1"/>
  <c r="M18" i="2"/>
  <c r="I22" i="4" s="1"/>
  <c r="M22" i="2"/>
  <c r="M24" i="2"/>
  <c r="M26" i="2"/>
  <c r="M6" i="2"/>
  <c r="N230" i="3" l="1"/>
  <c r="I242" i="4"/>
  <c r="L230" i="3"/>
  <c r="J13" i="1"/>
  <c r="I293" i="4"/>
  <c r="I239" i="4"/>
  <c r="I21" i="2"/>
  <c r="L24" i="4" s="1"/>
  <c r="F8" i="1"/>
  <c r="I10" i="4"/>
  <c r="H11" i="1"/>
  <c r="K31" i="4"/>
  <c r="K326" i="4"/>
  <c r="K314" i="4"/>
  <c r="K302" i="4"/>
  <c r="K290" i="4"/>
  <c r="K272" i="4"/>
  <c r="K260" i="4"/>
  <c r="K248" i="4"/>
  <c r="K236" i="4"/>
  <c r="K224" i="4"/>
  <c r="K212" i="4"/>
  <c r="K200" i="4"/>
  <c r="K188" i="4"/>
  <c r="K176" i="4"/>
  <c r="K164" i="4"/>
  <c r="K152" i="4"/>
  <c r="K140" i="4"/>
  <c r="K128" i="4"/>
  <c r="K116" i="4"/>
  <c r="K104" i="4"/>
  <c r="K92" i="4"/>
  <c r="K80" i="4"/>
  <c r="K68" i="4"/>
  <c r="K56" i="4"/>
  <c r="K44" i="4"/>
  <c r="I6" i="2"/>
  <c r="J2" i="4"/>
  <c r="J6" i="2"/>
  <c r="M2" i="4" s="1"/>
  <c r="I14" i="2"/>
  <c r="J14" i="4"/>
  <c r="J14" i="2"/>
  <c r="M14" i="4" s="1"/>
  <c r="F6" i="1"/>
  <c r="I4" i="4"/>
  <c r="F7" i="1"/>
  <c r="I7" i="4"/>
  <c r="K323" i="4"/>
  <c r="K311" i="4"/>
  <c r="K299" i="4"/>
  <c r="K287" i="4"/>
  <c r="K269" i="4"/>
  <c r="K257" i="4"/>
  <c r="K245" i="4"/>
  <c r="K221" i="4"/>
  <c r="K209" i="4"/>
  <c r="K197" i="4"/>
  <c r="K173" i="4"/>
  <c r="K149" i="4"/>
  <c r="K113" i="4"/>
  <c r="K101" i="4"/>
  <c r="K89" i="4"/>
  <c r="K77" i="4"/>
  <c r="K65" i="4"/>
  <c r="K53" i="4"/>
  <c r="K41" i="4"/>
  <c r="J5" i="4"/>
  <c r="J8" i="2"/>
  <c r="M5" i="4" s="1"/>
  <c r="J11" i="4"/>
  <c r="J12" i="2"/>
  <c r="M11" i="4" s="1"/>
  <c r="J33" i="4"/>
  <c r="J27" i="2"/>
  <c r="M33" i="4" s="1"/>
  <c r="F11" i="1"/>
  <c r="I31" i="4"/>
  <c r="H6" i="1"/>
  <c r="K4" i="4"/>
  <c r="I125" i="4"/>
  <c r="I38" i="4"/>
  <c r="I284" i="4"/>
  <c r="I230" i="4"/>
  <c r="I182" i="4"/>
  <c r="I134" i="4"/>
  <c r="I86" i="4"/>
  <c r="K125" i="4"/>
  <c r="K38" i="4"/>
  <c r="K308" i="4"/>
  <c r="K296" i="4"/>
  <c r="K266" i="4"/>
  <c r="K254" i="4"/>
  <c r="K242" i="4"/>
  <c r="K218" i="4"/>
  <c r="K206" i="4"/>
  <c r="K194" i="4"/>
  <c r="K182" i="4"/>
  <c r="K170" i="4"/>
  <c r="K158" i="4"/>
  <c r="K146" i="4"/>
  <c r="K122" i="4"/>
  <c r="K110" i="4"/>
  <c r="K98" i="4"/>
  <c r="K74" i="4"/>
  <c r="K62" i="4"/>
  <c r="K50" i="4"/>
  <c r="I18" i="2"/>
  <c r="G19" i="2" s="1"/>
  <c r="J20" i="4"/>
  <c r="J18" i="2"/>
  <c r="M20" i="4" s="1"/>
  <c r="I10" i="2"/>
  <c r="G11" i="2" s="1"/>
  <c r="J8" i="4"/>
  <c r="J10" i="2"/>
  <c r="M8" i="4" s="1"/>
  <c r="I27" i="2"/>
  <c r="L33" i="4" s="1"/>
  <c r="F12" i="1"/>
  <c r="I34" i="4"/>
  <c r="H10" i="1"/>
  <c r="K28" i="4"/>
  <c r="F10" i="1"/>
  <c r="I28" i="4"/>
  <c r="H12" i="1"/>
  <c r="K34" i="4"/>
  <c r="H7" i="1"/>
  <c r="K7" i="4"/>
  <c r="K329" i="4"/>
  <c r="K317" i="4"/>
  <c r="K305" i="4"/>
  <c r="K293" i="4"/>
  <c r="K275" i="4"/>
  <c r="K263" i="4"/>
  <c r="K227" i="4"/>
  <c r="K215" i="4"/>
  <c r="K179" i="4"/>
  <c r="K131" i="4"/>
  <c r="K119" i="4"/>
  <c r="K83" i="4"/>
  <c r="K71" i="4"/>
  <c r="K59" i="4"/>
  <c r="K47" i="4"/>
  <c r="J17" i="4"/>
  <c r="J16" i="2"/>
  <c r="M17" i="4" s="1"/>
  <c r="J27" i="4"/>
  <c r="J23" i="2"/>
  <c r="M27" i="4" s="1"/>
  <c r="I23" i="2"/>
  <c r="L27" i="4" s="1"/>
  <c r="I25" i="2"/>
  <c r="L30" i="4" s="1"/>
  <c r="J30" i="4"/>
  <c r="J25" i="2"/>
  <c r="M30" i="4" s="1"/>
  <c r="K167" i="4"/>
  <c r="K320" i="4"/>
  <c r="K284" i="4"/>
  <c r="K233" i="4"/>
  <c r="K251" i="4"/>
  <c r="K239" i="4"/>
  <c r="K230" i="4"/>
  <c r="K185" i="4"/>
  <c r="K203" i="4"/>
  <c r="K191" i="4"/>
  <c r="K137" i="4"/>
  <c r="K155" i="4"/>
  <c r="K143" i="4"/>
  <c r="K134" i="4"/>
  <c r="K107" i="4"/>
  <c r="K95" i="4"/>
  <c r="K86" i="4"/>
  <c r="K161" i="4"/>
  <c r="I12" i="2"/>
  <c r="H8" i="1"/>
  <c r="I8" i="2"/>
  <c r="I16" i="2"/>
  <c r="G17" i="2" s="1"/>
  <c r="F18" i="1" l="1"/>
  <c r="F14" i="1"/>
  <c r="L20" i="4"/>
  <c r="H18" i="1"/>
  <c r="H14" i="1"/>
  <c r="L8" i="4"/>
  <c r="G9" i="2"/>
  <c r="L5" i="4"/>
  <c r="G15" i="2"/>
  <c r="L14" i="4"/>
  <c r="G7" i="2"/>
  <c r="L2" i="4"/>
  <c r="G13" i="2"/>
  <c r="L11" i="4"/>
  <c r="J21" i="4"/>
  <c r="J19" i="2"/>
  <c r="M21" i="4" s="1"/>
  <c r="I19" i="2"/>
  <c r="L21" i="4" s="1"/>
  <c r="J9" i="4"/>
  <c r="J11" i="2"/>
  <c r="M9" i="4" s="1"/>
  <c r="I11" i="2"/>
  <c r="L9" i="4" s="1"/>
  <c r="L17" i="4"/>
  <c r="L26" i="2"/>
  <c r="H34" i="4" s="1"/>
  <c r="L8" i="2"/>
  <c r="H7" i="4" s="1"/>
  <c r="L10" i="2"/>
  <c r="H10" i="4" s="1"/>
  <c r="L12" i="2"/>
  <c r="L14" i="2"/>
  <c r="L16" i="2"/>
  <c r="L18" i="2"/>
  <c r="L22" i="2"/>
  <c r="H28" i="4" s="1"/>
  <c r="L24" i="2"/>
  <c r="H31" i="4" s="1"/>
  <c r="L6" i="2"/>
  <c r="H4" i="4" s="1"/>
  <c r="H21" i="1" l="1"/>
  <c r="F21" i="1"/>
  <c r="J3" i="4"/>
  <c r="J7" i="2"/>
  <c r="M3" i="4" s="1"/>
  <c r="I7" i="2"/>
  <c r="L3" i="4" s="1"/>
  <c r="J15" i="4"/>
  <c r="J15" i="2"/>
  <c r="M15" i="4" s="1"/>
  <c r="I15" i="2"/>
  <c r="L15" i="4" s="1"/>
  <c r="N14" i="2"/>
  <c r="J16" i="4" s="1"/>
  <c r="H16" i="4"/>
  <c r="N18" i="2"/>
  <c r="J22" i="4" s="1"/>
  <c r="H22" i="4"/>
  <c r="N16" i="2"/>
  <c r="J19" i="4" s="1"/>
  <c r="H19" i="4"/>
  <c r="N12" i="2"/>
  <c r="J13" i="4" s="1"/>
  <c r="H13" i="4"/>
  <c r="I9" i="2"/>
  <c r="L6" i="4" s="1"/>
  <c r="J6" i="4"/>
  <c r="J9" i="2"/>
  <c r="M6" i="4" s="1"/>
  <c r="J12" i="4"/>
  <c r="J13" i="2"/>
  <c r="M12" i="4" s="1"/>
  <c r="I13" i="2"/>
  <c r="L12" i="4" s="1"/>
  <c r="J18" i="4"/>
  <c r="J17" i="2"/>
  <c r="M18" i="4" s="1"/>
  <c r="I17" i="2"/>
  <c r="L18" i="4" s="1"/>
  <c r="N8" i="2"/>
  <c r="P8" i="2" s="1"/>
  <c r="E7" i="1"/>
  <c r="N24" i="2"/>
  <c r="E11" i="1"/>
  <c r="N26" i="2"/>
  <c r="P26" i="2" s="1"/>
  <c r="E12" i="1"/>
  <c r="N6" i="2"/>
  <c r="E6" i="1"/>
  <c r="N22" i="2"/>
  <c r="Q22" i="2" s="1"/>
  <c r="E10" i="1"/>
  <c r="N10" i="2"/>
  <c r="Q10" i="2" s="1"/>
  <c r="M10" i="4" s="1"/>
  <c r="E8" i="1"/>
  <c r="H241" i="4"/>
  <c r="H286" i="4"/>
  <c r="H304" i="4"/>
  <c r="H292" i="4"/>
  <c r="H328" i="4"/>
  <c r="H295" i="4"/>
  <c r="H322" i="4"/>
  <c r="H316" i="4"/>
  <c r="H313" i="4"/>
  <c r="H310" i="4"/>
  <c r="H301" i="4"/>
  <c r="H298" i="4"/>
  <c r="H289" i="4"/>
  <c r="H274" i="4"/>
  <c r="H271" i="4"/>
  <c r="H265" i="4"/>
  <c r="H259" i="4"/>
  <c r="H253" i="4"/>
  <c r="H247" i="4"/>
  <c r="H235" i="4"/>
  <c r="Q18" i="2" l="1"/>
  <c r="M22" i="4" s="1"/>
  <c r="P18" i="2"/>
  <c r="L22" i="4" s="1"/>
  <c r="Q26" i="2"/>
  <c r="M34" i="4" s="1"/>
  <c r="P16" i="2"/>
  <c r="L19" i="4" s="1"/>
  <c r="Q16" i="2"/>
  <c r="M19" i="4" s="1"/>
  <c r="P12" i="2"/>
  <c r="L13" i="4" s="1"/>
  <c r="Q14" i="2"/>
  <c r="M16" i="4" s="1"/>
  <c r="P10" i="2"/>
  <c r="L10" i="4" s="1"/>
  <c r="P22" i="2"/>
  <c r="I10" i="1" s="1"/>
  <c r="Q12" i="2"/>
  <c r="M13" i="4" s="1"/>
  <c r="Q8" i="2"/>
  <c r="M7" i="4" s="1"/>
  <c r="P14" i="2"/>
  <c r="L16" i="4" s="1"/>
  <c r="H258" i="4"/>
  <c r="G170" i="3"/>
  <c r="K170" i="3"/>
  <c r="H264" i="4"/>
  <c r="G174" i="3"/>
  <c r="K174" i="3"/>
  <c r="H270" i="4"/>
  <c r="G178" i="3"/>
  <c r="K178" i="3"/>
  <c r="H238" i="4"/>
  <c r="H283" i="4"/>
  <c r="H250" i="4"/>
  <c r="I7" i="1"/>
  <c r="L7" i="4"/>
  <c r="G8" i="1"/>
  <c r="J8" i="1" s="1"/>
  <c r="J10" i="4"/>
  <c r="G6" i="1"/>
  <c r="J6" i="1" s="1"/>
  <c r="J4" i="4"/>
  <c r="G11" i="1"/>
  <c r="J11" i="1" s="1"/>
  <c r="J31" i="4"/>
  <c r="H252" i="4"/>
  <c r="G166" i="3"/>
  <c r="K166" i="3"/>
  <c r="H244" i="4"/>
  <c r="H228" i="4"/>
  <c r="G150" i="3"/>
  <c r="K150" i="3"/>
  <c r="H231" i="4"/>
  <c r="G152" i="3"/>
  <c r="K152" i="3"/>
  <c r="H297" i="4"/>
  <c r="G200" i="3"/>
  <c r="K200" i="3"/>
  <c r="H306" i="4"/>
  <c r="G206" i="3"/>
  <c r="K206" i="3"/>
  <c r="H312" i="4"/>
  <c r="G210" i="3"/>
  <c r="K210" i="3"/>
  <c r="H318" i="4"/>
  <c r="H324" i="4"/>
  <c r="G218" i="3"/>
  <c r="K218" i="3"/>
  <c r="H327" i="4"/>
  <c r="G220" i="3"/>
  <c r="K220" i="3"/>
  <c r="H291" i="4"/>
  <c r="G196" i="3"/>
  <c r="K196" i="3"/>
  <c r="H285" i="4"/>
  <c r="G192" i="3"/>
  <c r="K192" i="3"/>
  <c r="H246" i="4"/>
  <c r="G162" i="3"/>
  <c r="K162" i="3"/>
  <c r="H255" i="4"/>
  <c r="G168" i="3"/>
  <c r="K168" i="3"/>
  <c r="H261" i="4"/>
  <c r="G172" i="3"/>
  <c r="K172" i="3"/>
  <c r="H267" i="4"/>
  <c r="G176" i="3"/>
  <c r="K176" i="3"/>
  <c r="H240" i="4"/>
  <c r="G158" i="3"/>
  <c r="K158" i="3"/>
  <c r="H229" i="4"/>
  <c r="H232" i="4"/>
  <c r="H307" i="4"/>
  <c r="H319" i="4"/>
  <c r="H325" i="4"/>
  <c r="H243" i="4"/>
  <c r="G160" i="3"/>
  <c r="K160" i="3"/>
  <c r="I12" i="1"/>
  <c r="L34" i="4"/>
  <c r="G10" i="1"/>
  <c r="J10" i="1" s="1"/>
  <c r="J28" i="4"/>
  <c r="G12" i="1"/>
  <c r="J12" i="1" s="1"/>
  <c r="J34" i="4"/>
  <c r="G7" i="1"/>
  <c r="J7" i="1" s="1"/>
  <c r="J7" i="4"/>
  <c r="H234" i="4"/>
  <c r="G154" i="3"/>
  <c r="K154" i="3"/>
  <c r="H256" i="4"/>
  <c r="H262" i="4"/>
  <c r="H268" i="4"/>
  <c r="H273" i="4"/>
  <c r="G180" i="3"/>
  <c r="K180" i="3"/>
  <c r="H237" i="4"/>
  <c r="G156" i="3"/>
  <c r="K156" i="3"/>
  <c r="H288" i="4"/>
  <c r="G194" i="3"/>
  <c r="K194" i="3"/>
  <c r="H300" i="4"/>
  <c r="G202" i="3"/>
  <c r="K202" i="3"/>
  <c r="H309" i="4"/>
  <c r="G208" i="3"/>
  <c r="K208" i="3"/>
  <c r="H315" i="4"/>
  <c r="G212" i="3"/>
  <c r="K212" i="3"/>
  <c r="H321" i="4"/>
  <c r="K216" i="3"/>
  <c r="H294" i="4"/>
  <c r="G198" i="3"/>
  <c r="H282" i="4"/>
  <c r="G190" i="3"/>
  <c r="K190" i="3"/>
  <c r="H303" i="4"/>
  <c r="G204" i="3"/>
  <c r="K204" i="3"/>
  <c r="H249" i="4"/>
  <c r="G164" i="3"/>
  <c r="K164" i="3"/>
  <c r="M28" i="4"/>
  <c r="Q24" i="2"/>
  <c r="P24" i="2"/>
  <c r="Q6" i="2"/>
  <c r="P6" i="2"/>
  <c r="E14" i="1"/>
  <c r="H181" i="4"/>
  <c r="H193" i="4"/>
  <c r="H223" i="4"/>
  <c r="H217" i="4"/>
  <c r="H211" i="4"/>
  <c r="H205" i="4"/>
  <c r="H199" i="4"/>
  <c r="H187" i="4"/>
  <c r="H145" i="4"/>
  <c r="H175" i="4"/>
  <c r="H169" i="4"/>
  <c r="H163" i="4"/>
  <c r="H157" i="4"/>
  <c r="H151" i="4"/>
  <c r="H139" i="4"/>
  <c r="H97" i="4"/>
  <c r="H127" i="4"/>
  <c r="H121" i="4"/>
  <c r="H115" i="4"/>
  <c r="H109" i="4"/>
  <c r="H103" i="4"/>
  <c r="H91" i="4"/>
  <c r="H40" i="4"/>
  <c r="H49" i="4"/>
  <c r="H79" i="4"/>
  <c r="H76" i="4"/>
  <c r="H73" i="4"/>
  <c r="H67" i="4"/>
  <c r="H64" i="4"/>
  <c r="H61" i="4"/>
  <c r="H43" i="4"/>
  <c r="H52" i="4"/>
  <c r="L28" i="4" l="1"/>
  <c r="I8" i="1"/>
  <c r="H82" i="4"/>
  <c r="H46" i="4"/>
  <c r="H100" i="4"/>
  <c r="H117" i="4"/>
  <c r="G64" i="3"/>
  <c r="K64" i="3"/>
  <c r="H123" i="4"/>
  <c r="G68" i="3"/>
  <c r="K68" i="3"/>
  <c r="M68" i="3" s="1"/>
  <c r="H96" i="4"/>
  <c r="G50" i="3"/>
  <c r="K50" i="3"/>
  <c r="H84" i="4"/>
  <c r="G42" i="3"/>
  <c r="K42" i="3"/>
  <c r="H105" i="4"/>
  <c r="G56" i="3"/>
  <c r="K56" i="3"/>
  <c r="H138" i="4"/>
  <c r="G82" i="3"/>
  <c r="K82" i="3"/>
  <c r="H150" i="4"/>
  <c r="G90" i="3"/>
  <c r="K90" i="3"/>
  <c r="H159" i="4"/>
  <c r="G96" i="3"/>
  <c r="K96" i="3"/>
  <c r="H165" i="4"/>
  <c r="G100" i="3"/>
  <c r="K100" i="3"/>
  <c r="H171" i="4"/>
  <c r="G104" i="3"/>
  <c r="K104" i="3"/>
  <c r="H144" i="4"/>
  <c r="G86" i="3"/>
  <c r="K86" i="3"/>
  <c r="G78" i="3"/>
  <c r="K78" i="3"/>
  <c r="H153" i="4"/>
  <c r="G92" i="3"/>
  <c r="K92" i="3"/>
  <c r="H186" i="4"/>
  <c r="G118" i="3"/>
  <c r="K118" i="3"/>
  <c r="H198" i="4"/>
  <c r="G126" i="3"/>
  <c r="K126" i="3"/>
  <c r="H207" i="4"/>
  <c r="G132" i="3"/>
  <c r="K132" i="3"/>
  <c r="H213" i="4"/>
  <c r="G136" i="3"/>
  <c r="K136" i="3"/>
  <c r="H219" i="4"/>
  <c r="G140" i="3"/>
  <c r="K140" i="3"/>
  <c r="H192" i="4"/>
  <c r="G122" i="3"/>
  <c r="K122" i="3"/>
  <c r="H180" i="4"/>
  <c r="G114" i="3"/>
  <c r="K114" i="3"/>
  <c r="H201" i="4"/>
  <c r="G128" i="3"/>
  <c r="K128" i="3"/>
  <c r="I11" i="1"/>
  <c r="L31" i="4"/>
  <c r="H251" i="4"/>
  <c r="M164" i="3"/>
  <c r="I204" i="3"/>
  <c r="J303" i="4"/>
  <c r="J204" i="3"/>
  <c r="M303" i="4" s="1"/>
  <c r="H323" i="4"/>
  <c r="M216" i="3"/>
  <c r="I212" i="3"/>
  <c r="J315" i="4"/>
  <c r="J212" i="3"/>
  <c r="M315" i="4" s="1"/>
  <c r="H290" i="4"/>
  <c r="M194" i="3"/>
  <c r="J237" i="4"/>
  <c r="J156" i="3"/>
  <c r="M237" i="4" s="1"/>
  <c r="I156" i="3"/>
  <c r="J154" i="3"/>
  <c r="M234" i="4" s="1"/>
  <c r="J234" i="4"/>
  <c r="I154" i="3"/>
  <c r="J158" i="3"/>
  <c r="M240" i="4" s="1"/>
  <c r="J240" i="4"/>
  <c r="I158" i="3"/>
  <c r="H257" i="4"/>
  <c r="M168" i="3"/>
  <c r="J162" i="3"/>
  <c r="M246" i="4" s="1"/>
  <c r="J246" i="4"/>
  <c r="I162" i="3"/>
  <c r="H287" i="4"/>
  <c r="M192" i="3"/>
  <c r="I196" i="3"/>
  <c r="J291" i="4"/>
  <c r="J196" i="3"/>
  <c r="M291" i="4" s="1"/>
  <c r="H320" i="4"/>
  <c r="I210" i="3"/>
  <c r="J312" i="4"/>
  <c r="J210" i="3"/>
  <c r="M312" i="4" s="1"/>
  <c r="H233" i="4"/>
  <c r="M152" i="3"/>
  <c r="J150" i="3"/>
  <c r="M228" i="4" s="1"/>
  <c r="J228" i="4"/>
  <c r="I150" i="3"/>
  <c r="H254" i="4"/>
  <c r="M166" i="3"/>
  <c r="J178" i="3"/>
  <c r="M270" i="4" s="1"/>
  <c r="J270" i="4"/>
  <c r="I178" i="3"/>
  <c r="H63" i="4"/>
  <c r="G24" i="3"/>
  <c r="K24" i="3"/>
  <c r="H48" i="4"/>
  <c r="G14" i="3"/>
  <c r="K14" i="3"/>
  <c r="H90" i="4"/>
  <c r="G46" i="3"/>
  <c r="K46" i="3"/>
  <c r="H111" i="4"/>
  <c r="G60" i="3"/>
  <c r="K60" i="3"/>
  <c r="H124" i="4"/>
  <c r="H85" i="4"/>
  <c r="H106" i="4"/>
  <c r="H160" i="4"/>
  <c r="H166" i="4"/>
  <c r="H172" i="4"/>
  <c r="H154" i="4"/>
  <c r="H208" i="4"/>
  <c r="H214" i="4"/>
  <c r="H220" i="4"/>
  <c r="H202" i="4"/>
  <c r="M31" i="4"/>
  <c r="J249" i="4"/>
  <c r="J164" i="3"/>
  <c r="M249" i="4" s="1"/>
  <c r="I164" i="3"/>
  <c r="H296" i="4"/>
  <c r="I216" i="3"/>
  <c r="G217" i="3" s="1"/>
  <c r="J321" i="4"/>
  <c r="J216" i="3"/>
  <c r="M321" i="4" s="1"/>
  <c r="H302" i="4"/>
  <c r="M202" i="3"/>
  <c r="I194" i="3"/>
  <c r="J288" i="4"/>
  <c r="J194" i="3"/>
  <c r="M288" i="4" s="1"/>
  <c r="H263" i="4"/>
  <c r="M172" i="3"/>
  <c r="J255" i="4"/>
  <c r="I168" i="3"/>
  <c r="J168" i="3"/>
  <c r="M255" i="4" s="1"/>
  <c r="I192" i="3"/>
  <c r="J285" i="4"/>
  <c r="J192" i="3"/>
  <c r="M285" i="4" s="1"/>
  <c r="H326" i="4"/>
  <c r="M218" i="3"/>
  <c r="J318" i="4"/>
  <c r="M318" i="4"/>
  <c r="H299" i="4"/>
  <c r="M200" i="3"/>
  <c r="J231" i="4"/>
  <c r="I152" i="3"/>
  <c r="J152" i="3"/>
  <c r="M231" i="4" s="1"/>
  <c r="J166" i="3"/>
  <c r="M252" i="4" s="1"/>
  <c r="J252" i="4"/>
  <c r="I166" i="3"/>
  <c r="H260" i="4"/>
  <c r="M170" i="3"/>
  <c r="H69" i="4"/>
  <c r="G28" i="3"/>
  <c r="K28" i="3"/>
  <c r="H75" i="4"/>
  <c r="G32" i="3"/>
  <c r="K32" i="3"/>
  <c r="H36" i="4"/>
  <c r="G6" i="3"/>
  <c r="K6" i="3"/>
  <c r="H70" i="4"/>
  <c r="H37" i="4"/>
  <c r="H58" i="4"/>
  <c r="H114" i="4"/>
  <c r="G62" i="3"/>
  <c r="K62" i="3"/>
  <c r="H120" i="4"/>
  <c r="G66" i="3"/>
  <c r="K66" i="3"/>
  <c r="H126" i="4"/>
  <c r="G70" i="3"/>
  <c r="K70" i="3"/>
  <c r="H129" i="4"/>
  <c r="G76" i="3"/>
  <c r="K76" i="3"/>
  <c r="H93" i="4"/>
  <c r="G48" i="3"/>
  <c r="K48" i="3"/>
  <c r="H87" i="4"/>
  <c r="G44" i="3"/>
  <c r="K44" i="3"/>
  <c r="H147" i="4"/>
  <c r="G88" i="3"/>
  <c r="K88" i="3"/>
  <c r="H156" i="4"/>
  <c r="G94" i="3"/>
  <c r="K94" i="3"/>
  <c r="H162" i="4"/>
  <c r="G98" i="3"/>
  <c r="K98" i="3"/>
  <c r="H168" i="4"/>
  <c r="G102" i="3"/>
  <c r="K102" i="3"/>
  <c r="H174" i="4"/>
  <c r="G106" i="3"/>
  <c r="K106" i="3"/>
  <c r="H177" i="4"/>
  <c r="G112" i="3"/>
  <c r="K112" i="3"/>
  <c r="H141" i="4"/>
  <c r="G84" i="3"/>
  <c r="K84" i="3"/>
  <c r="H135" i="4"/>
  <c r="G80" i="3"/>
  <c r="K80" i="3"/>
  <c r="H195" i="4"/>
  <c r="G124" i="3"/>
  <c r="K124" i="3"/>
  <c r="H204" i="4"/>
  <c r="G130" i="3"/>
  <c r="K130" i="3"/>
  <c r="H210" i="4"/>
  <c r="G134" i="3"/>
  <c r="K134" i="3"/>
  <c r="H216" i="4"/>
  <c r="G138" i="3"/>
  <c r="K138" i="3"/>
  <c r="H222" i="4"/>
  <c r="G142" i="3"/>
  <c r="K142" i="3"/>
  <c r="H225" i="4"/>
  <c r="G148" i="3"/>
  <c r="K148" i="3"/>
  <c r="H189" i="4"/>
  <c r="G120" i="3"/>
  <c r="K120" i="3"/>
  <c r="H183" i="4"/>
  <c r="G116" i="3"/>
  <c r="K116" i="3"/>
  <c r="I6" i="1"/>
  <c r="L4" i="4"/>
  <c r="H284" i="4"/>
  <c r="M190" i="3"/>
  <c r="I198" i="3"/>
  <c r="J294" i="4"/>
  <c r="J198" i="3"/>
  <c r="M294" i="4" s="1"/>
  <c r="H311" i="4"/>
  <c r="M208" i="3"/>
  <c r="I202" i="3"/>
  <c r="J300" i="4"/>
  <c r="J202" i="3"/>
  <c r="M300" i="4" s="1"/>
  <c r="H275" i="4"/>
  <c r="M180" i="3"/>
  <c r="H245" i="4"/>
  <c r="M160" i="3"/>
  <c r="H269" i="4"/>
  <c r="M176" i="3"/>
  <c r="J261" i="4"/>
  <c r="J172" i="3"/>
  <c r="M261" i="4" s="1"/>
  <c r="I172" i="3"/>
  <c r="H329" i="4"/>
  <c r="M220" i="3"/>
  <c r="J324" i="4"/>
  <c r="I218" i="3"/>
  <c r="J218" i="3"/>
  <c r="M324" i="4" s="1"/>
  <c r="H308" i="4"/>
  <c r="M206" i="3"/>
  <c r="I200" i="3"/>
  <c r="J297" i="4"/>
  <c r="J200" i="3"/>
  <c r="M297" i="4" s="1"/>
  <c r="H266" i="4"/>
  <c r="M174" i="3"/>
  <c r="J170" i="3"/>
  <c r="M258" i="4" s="1"/>
  <c r="J258" i="4"/>
  <c r="I170" i="3"/>
  <c r="H42" i="4"/>
  <c r="G10" i="3"/>
  <c r="K10" i="3"/>
  <c r="H57" i="4"/>
  <c r="G20" i="3"/>
  <c r="K20" i="3"/>
  <c r="H102" i="4"/>
  <c r="G54" i="3"/>
  <c r="K54" i="3"/>
  <c r="H118" i="4"/>
  <c r="H55" i="4"/>
  <c r="G19" i="3"/>
  <c r="K18" i="3"/>
  <c r="H51" i="4"/>
  <c r="G16" i="3"/>
  <c r="K16" i="3"/>
  <c r="H60" i="4"/>
  <c r="G22" i="3"/>
  <c r="K22" i="3"/>
  <c r="H66" i="4"/>
  <c r="G26" i="3"/>
  <c r="K26" i="3"/>
  <c r="H72" i="4"/>
  <c r="G30" i="3"/>
  <c r="K30" i="3"/>
  <c r="H78" i="4"/>
  <c r="G34" i="3"/>
  <c r="K34" i="3"/>
  <c r="H81" i="4"/>
  <c r="G40" i="3"/>
  <c r="K40" i="3"/>
  <c r="H45" i="4"/>
  <c r="G12" i="3"/>
  <c r="K12" i="3"/>
  <c r="H39" i="4"/>
  <c r="G8" i="3"/>
  <c r="H99" i="4"/>
  <c r="G52" i="3"/>
  <c r="K52" i="3"/>
  <c r="H108" i="4"/>
  <c r="G58" i="3"/>
  <c r="K58" i="3"/>
  <c r="H130" i="4"/>
  <c r="H94" i="4"/>
  <c r="H88" i="4"/>
  <c r="H148" i="4"/>
  <c r="H178" i="4"/>
  <c r="H142" i="4"/>
  <c r="H136" i="4"/>
  <c r="H196" i="4"/>
  <c r="H226" i="4"/>
  <c r="H190" i="4"/>
  <c r="H184" i="4"/>
  <c r="M4" i="4"/>
  <c r="H305" i="4"/>
  <c r="M204" i="3"/>
  <c r="I190" i="3"/>
  <c r="J282" i="4"/>
  <c r="J190" i="3"/>
  <c r="M282" i="4" s="1"/>
  <c r="H317" i="4"/>
  <c r="M212" i="3"/>
  <c r="I208" i="3"/>
  <c r="J309" i="4"/>
  <c r="J208" i="3"/>
  <c r="M309" i="4" s="1"/>
  <c r="H239" i="4"/>
  <c r="M156" i="3"/>
  <c r="J273" i="4"/>
  <c r="J180" i="3"/>
  <c r="M273" i="4" s="1"/>
  <c r="I180" i="3"/>
  <c r="H236" i="4"/>
  <c r="M154" i="3"/>
  <c r="J243" i="4"/>
  <c r="I160" i="3"/>
  <c r="J160" i="3"/>
  <c r="M243" i="4" s="1"/>
  <c r="H242" i="4"/>
  <c r="M158" i="3"/>
  <c r="J267" i="4"/>
  <c r="I176" i="3"/>
  <c r="J176" i="3"/>
  <c r="M267" i="4" s="1"/>
  <c r="H248" i="4"/>
  <c r="M162" i="3"/>
  <c r="H293" i="4"/>
  <c r="M196" i="3"/>
  <c r="I220" i="3"/>
  <c r="J327" i="4"/>
  <c r="J220" i="3"/>
  <c r="M327" i="4" s="1"/>
  <c r="H314" i="4"/>
  <c r="M210" i="3"/>
  <c r="J306" i="4"/>
  <c r="I206" i="3"/>
  <c r="J206" i="3"/>
  <c r="M306" i="4" s="1"/>
  <c r="H230" i="4"/>
  <c r="M150" i="3"/>
  <c r="H272" i="4"/>
  <c r="M178" i="3"/>
  <c r="J174" i="3"/>
  <c r="M264" i="4" s="1"/>
  <c r="J264" i="4"/>
  <c r="I174" i="3"/>
  <c r="G14" i="1"/>
  <c r="J14" i="1" s="1"/>
  <c r="V94" i="3" l="1"/>
  <c r="K230" i="3"/>
  <c r="M230" i="3" s="1"/>
  <c r="H41" i="4"/>
  <c r="M8" i="3"/>
  <c r="I12" i="3"/>
  <c r="J45" i="4"/>
  <c r="J12" i="3"/>
  <c r="M45" i="4" s="1"/>
  <c r="H74" i="4"/>
  <c r="M30" i="3"/>
  <c r="J26" i="3"/>
  <c r="M66" i="4" s="1"/>
  <c r="J66" i="4"/>
  <c r="I26" i="3"/>
  <c r="H56" i="4"/>
  <c r="M18" i="3"/>
  <c r="H59" i="4"/>
  <c r="M20" i="3"/>
  <c r="J10" i="3"/>
  <c r="M42" i="4" s="1"/>
  <c r="J42" i="4"/>
  <c r="I10" i="3"/>
  <c r="J269" i="4"/>
  <c r="O176" i="3"/>
  <c r="L269" i="4" s="1"/>
  <c r="P176" i="3"/>
  <c r="M269" i="4" s="1"/>
  <c r="J275" i="4"/>
  <c r="P180" i="3"/>
  <c r="M275" i="4" s="1"/>
  <c r="O180" i="3"/>
  <c r="L275" i="4" s="1"/>
  <c r="G203" i="3"/>
  <c r="L300" i="4"/>
  <c r="J183" i="4"/>
  <c r="I116" i="3"/>
  <c r="J116" i="3"/>
  <c r="M183" i="4" s="1"/>
  <c r="H224" i="4"/>
  <c r="M142" i="3"/>
  <c r="J138" i="3"/>
  <c r="M216" i="4" s="1"/>
  <c r="J216" i="4"/>
  <c r="I138" i="3"/>
  <c r="H197" i="4"/>
  <c r="M124" i="3"/>
  <c r="J135" i="4"/>
  <c r="I80" i="3"/>
  <c r="J80" i="3"/>
  <c r="M135" i="4" s="1"/>
  <c r="H176" i="4"/>
  <c r="M106" i="3"/>
  <c r="J102" i="3"/>
  <c r="M168" i="4" s="1"/>
  <c r="J168" i="4"/>
  <c r="I102" i="3"/>
  <c r="H149" i="4"/>
  <c r="M88" i="3"/>
  <c r="J87" i="4"/>
  <c r="I44" i="3"/>
  <c r="J44" i="3"/>
  <c r="M87" i="4" s="1"/>
  <c r="H128" i="4"/>
  <c r="M70" i="3"/>
  <c r="J66" i="3"/>
  <c r="M120" i="4" s="1"/>
  <c r="J120" i="4"/>
  <c r="I66" i="3"/>
  <c r="H125" i="4"/>
  <c r="H38" i="4"/>
  <c r="M6" i="3"/>
  <c r="I32" i="3"/>
  <c r="J75" i="4"/>
  <c r="J32" i="3"/>
  <c r="M75" i="4" s="1"/>
  <c r="L255" i="4"/>
  <c r="G169" i="3"/>
  <c r="J296" i="4"/>
  <c r="P198" i="3"/>
  <c r="M296" i="4" s="1"/>
  <c r="O198" i="3"/>
  <c r="H113" i="4"/>
  <c r="M60" i="3"/>
  <c r="J46" i="3"/>
  <c r="M90" i="4" s="1"/>
  <c r="J90" i="4"/>
  <c r="I46" i="3"/>
  <c r="G179" i="3"/>
  <c r="L270" i="4"/>
  <c r="J233" i="4"/>
  <c r="P152" i="3"/>
  <c r="M233" i="4" s="1"/>
  <c r="O152" i="3"/>
  <c r="L233" i="4" s="1"/>
  <c r="G211" i="3"/>
  <c r="L312" i="4"/>
  <c r="G163" i="3"/>
  <c r="L246" i="4"/>
  <c r="G155" i="3"/>
  <c r="L234" i="4"/>
  <c r="J251" i="4"/>
  <c r="P164" i="3"/>
  <c r="M251" i="4" s="1"/>
  <c r="O164" i="3"/>
  <c r="L251" i="4" s="1"/>
  <c r="H203" i="4"/>
  <c r="M128" i="3"/>
  <c r="J114" i="3"/>
  <c r="M180" i="4" s="1"/>
  <c r="J180" i="4"/>
  <c r="I114" i="3"/>
  <c r="H215" i="4"/>
  <c r="M136" i="3"/>
  <c r="J207" i="4"/>
  <c r="I132" i="3"/>
  <c r="J132" i="3"/>
  <c r="M207" i="4" s="1"/>
  <c r="H155" i="4"/>
  <c r="M92" i="3"/>
  <c r="J78" i="3"/>
  <c r="M132" i="4" s="1"/>
  <c r="J132" i="4"/>
  <c r="I78" i="3"/>
  <c r="H173" i="4"/>
  <c r="M104" i="3"/>
  <c r="J165" i="4"/>
  <c r="J100" i="3"/>
  <c r="M165" i="4" s="1"/>
  <c r="I100" i="3"/>
  <c r="H140" i="4"/>
  <c r="M82" i="3"/>
  <c r="J105" i="4"/>
  <c r="J56" i="3"/>
  <c r="M105" i="4" s="1"/>
  <c r="I56" i="3"/>
  <c r="P68" i="3"/>
  <c r="O68" i="3"/>
  <c r="J117" i="4"/>
  <c r="J64" i="3"/>
  <c r="M117" i="4" s="1"/>
  <c r="I64" i="3"/>
  <c r="J272" i="4"/>
  <c r="P178" i="3"/>
  <c r="M272" i="4" s="1"/>
  <c r="O178" i="3"/>
  <c r="L272" i="4" s="1"/>
  <c r="J314" i="4"/>
  <c r="O210" i="3"/>
  <c r="L314" i="4" s="1"/>
  <c r="P210" i="3"/>
  <c r="M314" i="4" s="1"/>
  <c r="J242" i="4"/>
  <c r="P158" i="3"/>
  <c r="M242" i="4" s="1"/>
  <c r="O158" i="3"/>
  <c r="J305" i="4"/>
  <c r="P204" i="3"/>
  <c r="M305" i="4" s="1"/>
  <c r="O204" i="3"/>
  <c r="L305" i="4" s="1"/>
  <c r="G175" i="3"/>
  <c r="L264" i="4"/>
  <c r="J293" i="4"/>
  <c r="O196" i="3"/>
  <c r="L293" i="4" s="1"/>
  <c r="P196" i="3"/>
  <c r="M293" i="4" s="1"/>
  <c r="J236" i="4"/>
  <c r="P154" i="3"/>
  <c r="M236" i="4" s="1"/>
  <c r="O154" i="3"/>
  <c r="L236" i="4" s="1"/>
  <c r="H101" i="4"/>
  <c r="M52" i="3"/>
  <c r="I8" i="3"/>
  <c r="J39" i="4"/>
  <c r="J8" i="3"/>
  <c r="M39" i="4" s="1"/>
  <c r="H80" i="4"/>
  <c r="M34" i="3"/>
  <c r="J30" i="3"/>
  <c r="M72" i="4" s="1"/>
  <c r="J72" i="4"/>
  <c r="I30" i="3"/>
  <c r="H53" i="4"/>
  <c r="M16" i="3"/>
  <c r="I19" i="3"/>
  <c r="L55" i="4" s="1"/>
  <c r="J55" i="4"/>
  <c r="J19" i="3"/>
  <c r="M55" i="4" s="1"/>
  <c r="H104" i="4"/>
  <c r="M54" i="3"/>
  <c r="I20" i="3"/>
  <c r="J57" i="4"/>
  <c r="J20" i="3"/>
  <c r="M57" i="4" s="1"/>
  <c r="J266" i="4"/>
  <c r="O174" i="3"/>
  <c r="L266" i="4" s="1"/>
  <c r="P174" i="3"/>
  <c r="M266" i="4" s="1"/>
  <c r="G201" i="3"/>
  <c r="L297" i="4"/>
  <c r="L324" i="4"/>
  <c r="G219" i="3"/>
  <c r="L261" i="4"/>
  <c r="G173" i="3"/>
  <c r="J311" i="4"/>
  <c r="P208" i="3"/>
  <c r="M311" i="4" s="1"/>
  <c r="O208" i="3"/>
  <c r="L311" i="4" s="1"/>
  <c r="G199" i="3"/>
  <c r="L294" i="4"/>
  <c r="H227" i="4"/>
  <c r="M148" i="3"/>
  <c r="J142" i="3"/>
  <c r="M222" i="4" s="1"/>
  <c r="J222" i="4"/>
  <c r="I142" i="3"/>
  <c r="H206" i="4"/>
  <c r="M130" i="3"/>
  <c r="J195" i="4"/>
  <c r="I124" i="3"/>
  <c r="J124" i="3"/>
  <c r="M195" i="4" s="1"/>
  <c r="H179" i="4"/>
  <c r="M112" i="3"/>
  <c r="J106" i="3"/>
  <c r="M174" i="4" s="1"/>
  <c r="J174" i="4"/>
  <c r="I106" i="3"/>
  <c r="H158" i="4"/>
  <c r="M94" i="3"/>
  <c r="J147" i="4"/>
  <c r="I88" i="3"/>
  <c r="J88" i="3"/>
  <c r="M147" i="4" s="1"/>
  <c r="H131" i="4"/>
  <c r="M76" i="3"/>
  <c r="J70" i="3"/>
  <c r="M126" i="4" s="1"/>
  <c r="J126" i="4"/>
  <c r="I70" i="3"/>
  <c r="J36" i="4"/>
  <c r="J6" i="3"/>
  <c r="M36" i="4" s="1"/>
  <c r="I6" i="3"/>
  <c r="J260" i="4"/>
  <c r="O170" i="3"/>
  <c r="L260" i="4" s="1"/>
  <c r="P170" i="3"/>
  <c r="M260" i="4" s="1"/>
  <c r="J299" i="4"/>
  <c r="P200" i="3"/>
  <c r="M299" i="4" s="1"/>
  <c r="O200" i="3"/>
  <c r="L299" i="4" s="1"/>
  <c r="L318" i="4"/>
  <c r="J111" i="4"/>
  <c r="I60" i="3"/>
  <c r="J60" i="3"/>
  <c r="M111" i="4" s="1"/>
  <c r="H65" i="4"/>
  <c r="M24" i="3"/>
  <c r="L228" i="4"/>
  <c r="G151" i="3"/>
  <c r="J320" i="4"/>
  <c r="L320" i="4"/>
  <c r="M320" i="4"/>
  <c r="G197" i="3"/>
  <c r="L291" i="4"/>
  <c r="G159" i="3"/>
  <c r="L240" i="4"/>
  <c r="J201" i="4"/>
  <c r="I128" i="3"/>
  <c r="J128" i="3"/>
  <c r="M201" i="4" s="1"/>
  <c r="H221" i="4"/>
  <c r="M140" i="3"/>
  <c r="J213" i="4"/>
  <c r="J136" i="3"/>
  <c r="M213" i="4" s="1"/>
  <c r="I136" i="3"/>
  <c r="H188" i="4"/>
  <c r="M118" i="3"/>
  <c r="J153" i="4"/>
  <c r="J92" i="3"/>
  <c r="M153" i="4" s="1"/>
  <c r="I92" i="3"/>
  <c r="H146" i="4"/>
  <c r="M86" i="3"/>
  <c r="J171" i="4"/>
  <c r="I104" i="3"/>
  <c r="J104" i="3"/>
  <c r="M171" i="4" s="1"/>
  <c r="H152" i="4"/>
  <c r="M90" i="3"/>
  <c r="J82" i="3"/>
  <c r="M138" i="4" s="1"/>
  <c r="J138" i="4"/>
  <c r="I82" i="3"/>
  <c r="H98" i="4"/>
  <c r="M50" i="3"/>
  <c r="J123" i="4"/>
  <c r="I68" i="3"/>
  <c r="J68" i="3"/>
  <c r="M123" i="4" s="1"/>
  <c r="J248" i="4"/>
  <c r="P162" i="3"/>
  <c r="M248" i="4" s="1"/>
  <c r="O162" i="3"/>
  <c r="L248" i="4" s="1"/>
  <c r="G221" i="3"/>
  <c r="L327" i="4"/>
  <c r="J230" i="4"/>
  <c r="O150" i="3"/>
  <c r="P150" i="3"/>
  <c r="L306" i="4"/>
  <c r="G207" i="3"/>
  <c r="L267" i="4"/>
  <c r="G177" i="3"/>
  <c r="J239" i="4"/>
  <c r="O156" i="3"/>
  <c r="L239" i="4" s="1"/>
  <c r="P156" i="3"/>
  <c r="M239" i="4" s="1"/>
  <c r="G209" i="3"/>
  <c r="L309" i="4"/>
  <c r="H110" i="4"/>
  <c r="M58" i="3"/>
  <c r="J99" i="4"/>
  <c r="I52" i="3"/>
  <c r="J52" i="3"/>
  <c r="M99" i="4" s="1"/>
  <c r="H83" i="4"/>
  <c r="M40" i="3"/>
  <c r="J34" i="3"/>
  <c r="M78" i="4" s="1"/>
  <c r="J78" i="4"/>
  <c r="I34" i="3"/>
  <c r="H62" i="4"/>
  <c r="M22" i="3"/>
  <c r="I16" i="3"/>
  <c r="J51" i="4"/>
  <c r="J16" i="3"/>
  <c r="M51" i="4" s="1"/>
  <c r="J54" i="3"/>
  <c r="M102" i="4" s="1"/>
  <c r="J102" i="4"/>
  <c r="I54" i="3"/>
  <c r="G171" i="3"/>
  <c r="L258" i="4"/>
  <c r="J308" i="4"/>
  <c r="O206" i="3"/>
  <c r="L308" i="4" s="1"/>
  <c r="P206" i="3"/>
  <c r="M308" i="4" s="1"/>
  <c r="J245" i="4"/>
  <c r="O160" i="3"/>
  <c r="L245" i="4" s="1"/>
  <c r="P160" i="3"/>
  <c r="M245" i="4" s="1"/>
  <c r="J284" i="4"/>
  <c r="O190" i="3"/>
  <c r="P190" i="3"/>
  <c r="H191" i="4"/>
  <c r="M120" i="3"/>
  <c r="J225" i="4"/>
  <c r="J148" i="3"/>
  <c r="M225" i="4" s="1"/>
  <c r="I148" i="3"/>
  <c r="H212" i="4"/>
  <c r="M134" i="3"/>
  <c r="J130" i="3"/>
  <c r="M204" i="4" s="1"/>
  <c r="J204" i="4"/>
  <c r="I130" i="3"/>
  <c r="H143" i="4"/>
  <c r="M84" i="3"/>
  <c r="J177" i="4"/>
  <c r="J112" i="3"/>
  <c r="M177" i="4" s="1"/>
  <c r="I112" i="3"/>
  <c r="H164" i="4"/>
  <c r="M98" i="3"/>
  <c r="J94" i="3"/>
  <c r="M156" i="4" s="1"/>
  <c r="J156" i="4"/>
  <c r="I94" i="3"/>
  <c r="H95" i="4"/>
  <c r="M48" i="3"/>
  <c r="P48" i="3" s="1"/>
  <c r="J129" i="4"/>
  <c r="J76" i="3"/>
  <c r="M129" i="4" s="1"/>
  <c r="I76" i="3"/>
  <c r="H116" i="4"/>
  <c r="M62" i="3"/>
  <c r="H71" i="4"/>
  <c r="M28" i="3"/>
  <c r="J326" i="4"/>
  <c r="P218" i="3"/>
  <c r="M326" i="4" s="1"/>
  <c r="O218" i="3"/>
  <c r="L326" i="4" s="1"/>
  <c r="G193" i="3"/>
  <c r="L285" i="4"/>
  <c r="J263" i="4"/>
  <c r="P172" i="3"/>
  <c r="M263" i="4" s="1"/>
  <c r="O172" i="3"/>
  <c r="L263" i="4" s="1"/>
  <c r="G195" i="3"/>
  <c r="L288" i="4"/>
  <c r="L249" i="4"/>
  <c r="G165" i="3"/>
  <c r="H50" i="4"/>
  <c r="M14" i="3"/>
  <c r="I24" i="3"/>
  <c r="J63" i="4"/>
  <c r="J24" i="3"/>
  <c r="M63" i="4" s="1"/>
  <c r="J287" i="4"/>
  <c r="P192" i="3"/>
  <c r="M287" i="4" s="1"/>
  <c r="O192" i="3"/>
  <c r="L287" i="4" s="1"/>
  <c r="J290" i="4"/>
  <c r="P194" i="3"/>
  <c r="M290" i="4" s="1"/>
  <c r="O194" i="3"/>
  <c r="L290" i="4" s="1"/>
  <c r="G213" i="3"/>
  <c r="L315" i="4"/>
  <c r="H194" i="4"/>
  <c r="M122" i="3"/>
  <c r="J219" i="4"/>
  <c r="I140" i="3"/>
  <c r="J140" i="3"/>
  <c r="M219" i="4" s="1"/>
  <c r="H200" i="4"/>
  <c r="M126" i="3"/>
  <c r="J118" i="3"/>
  <c r="M186" i="4" s="1"/>
  <c r="J186" i="4"/>
  <c r="I118" i="3"/>
  <c r="J86" i="3"/>
  <c r="M144" i="4" s="1"/>
  <c r="J144" i="4"/>
  <c r="I86" i="3"/>
  <c r="H161" i="4"/>
  <c r="M96" i="3"/>
  <c r="J90" i="3"/>
  <c r="M150" i="4" s="1"/>
  <c r="J150" i="4"/>
  <c r="I90" i="3"/>
  <c r="H86" i="4"/>
  <c r="M42" i="3"/>
  <c r="J50" i="3"/>
  <c r="M96" i="4" s="1"/>
  <c r="J96" i="4"/>
  <c r="I50" i="3"/>
  <c r="L243" i="4"/>
  <c r="G161" i="3"/>
  <c r="G181" i="3"/>
  <c r="L273" i="4"/>
  <c r="J317" i="4"/>
  <c r="P212" i="3"/>
  <c r="M317" i="4" s="1"/>
  <c r="O212" i="3"/>
  <c r="L317" i="4" s="1"/>
  <c r="L282" i="4"/>
  <c r="G191" i="3"/>
  <c r="J58" i="3"/>
  <c r="M108" i="4" s="1"/>
  <c r="J108" i="4"/>
  <c r="I58" i="3"/>
  <c r="H47" i="4"/>
  <c r="M12" i="3"/>
  <c r="I40" i="3"/>
  <c r="J81" i="4"/>
  <c r="J40" i="3"/>
  <c r="M81" i="4" s="1"/>
  <c r="H68" i="4"/>
  <c r="M26" i="3"/>
  <c r="J22" i="3"/>
  <c r="M60" i="4" s="1"/>
  <c r="J60" i="4"/>
  <c r="I22" i="3"/>
  <c r="H44" i="4"/>
  <c r="M10" i="3"/>
  <c r="J329" i="4"/>
  <c r="P220" i="3"/>
  <c r="M329" i="4" s="1"/>
  <c r="O220" i="3"/>
  <c r="L329" i="4" s="1"/>
  <c r="H185" i="4"/>
  <c r="M116" i="3"/>
  <c r="J189" i="4"/>
  <c r="J120" i="3"/>
  <c r="M189" i="4" s="1"/>
  <c r="I120" i="3"/>
  <c r="H218" i="4"/>
  <c r="M138" i="3"/>
  <c r="J134" i="3"/>
  <c r="M210" i="4" s="1"/>
  <c r="J210" i="4"/>
  <c r="I134" i="3"/>
  <c r="H137" i="4"/>
  <c r="M80" i="3"/>
  <c r="J141" i="4"/>
  <c r="J84" i="3"/>
  <c r="M141" i="4" s="1"/>
  <c r="I84" i="3"/>
  <c r="H170" i="4"/>
  <c r="M102" i="3"/>
  <c r="J98" i="3"/>
  <c r="M162" i="4" s="1"/>
  <c r="J162" i="4"/>
  <c r="I98" i="3"/>
  <c r="H89" i="4"/>
  <c r="M44" i="3"/>
  <c r="J93" i="4"/>
  <c r="J48" i="3"/>
  <c r="M93" i="4" s="1"/>
  <c r="I48" i="3"/>
  <c r="H122" i="4"/>
  <c r="M66" i="3"/>
  <c r="J62" i="3"/>
  <c r="M114" i="4" s="1"/>
  <c r="J114" i="4"/>
  <c r="I62" i="3"/>
  <c r="H336" i="4"/>
  <c r="H77" i="4"/>
  <c r="M32" i="3"/>
  <c r="I28" i="3"/>
  <c r="J69" i="4"/>
  <c r="J28" i="3"/>
  <c r="M69" i="4" s="1"/>
  <c r="G167" i="3"/>
  <c r="L252" i="4"/>
  <c r="L231" i="4"/>
  <c r="G153" i="3"/>
  <c r="J302" i="4"/>
  <c r="P202" i="3"/>
  <c r="M302" i="4" s="1"/>
  <c r="O202" i="3"/>
  <c r="L302" i="4" s="1"/>
  <c r="L321" i="4"/>
  <c r="H92" i="4"/>
  <c r="M46" i="3"/>
  <c r="J14" i="3"/>
  <c r="M48" i="4" s="1"/>
  <c r="J48" i="4"/>
  <c r="I14" i="3"/>
  <c r="J254" i="4"/>
  <c r="P166" i="3"/>
  <c r="M254" i="4" s="1"/>
  <c r="O166" i="3"/>
  <c r="L254" i="4" s="1"/>
  <c r="J257" i="4"/>
  <c r="P168" i="3"/>
  <c r="M257" i="4" s="1"/>
  <c r="O168" i="3"/>
  <c r="L257" i="4" s="1"/>
  <c r="L237" i="4"/>
  <c r="G157" i="3"/>
  <c r="J323" i="4"/>
  <c r="P216" i="3"/>
  <c r="M323" i="4" s="1"/>
  <c r="O216" i="3"/>
  <c r="L323" i="4" s="1"/>
  <c r="G205" i="3"/>
  <c r="L303" i="4"/>
  <c r="H182" i="4"/>
  <c r="M114" i="3"/>
  <c r="J122" i="3"/>
  <c r="M192" i="4" s="1"/>
  <c r="J192" i="4"/>
  <c r="I122" i="3"/>
  <c r="H209" i="4"/>
  <c r="M132" i="3"/>
  <c r="J126" i="3"/>
  <c r="M198" i="4" s="1"/>
  <c r="J198" i="4"/>
  <c r="I126" i="3"/>
  <c r="H134" i="4"/>
  <c r="M78" i="3"/>
  <c r="H167" i="4"/>
  <c r="M100" i="3"/>
  <c r="J159" i="4"/>
  <c r="I96" i="3"/>
  <c r="J96" i="3"/>
  <c r="M159" i="4" s="1"/>
  <c r="H107" i="4"/>
  <c r="M56" i="3"/>
  <c r="J42" i="3"/>
  <c r="M84" i="4" s="1"/>
  <c r="J84" i="4"/>
  <c r="I42" i="3"/>
  <c r="H119" i="4"/>
  <c r="M64" i="3"/>
  <c r="I14" i="1"/>
  <c r="E18" i="1" l="1"/>
  <c r="D26" i="1" s="1"/>
  <c r="P6" i="3"/>
  <c r="P230" i="3"/>
  <c r="M335" i="4" s="1"/>
  <c r="O230" i="3"/>
  <c r="L242" i="4"/>
  <c r="L296" i="4"/>
  <c r="G99" i="3"/>
  <c r="L162" i="4"/>
  <c r="J137" i="4"/>
  <c r="P80" i="3"/>
  <c r="M137" i="4" s="1"/>
  <c r="O80" i="3"/>
  <c r="L137" i="4" s="1"/>
  <c r="J68" i="4"/>
  <c r="O26" i="3"/>
  <c r="L68" i="4" s="1"/>
  <c r="P26" i="3"/>
  <c r="M68" i="4" s="1"/>
  <c r="L81" i="4"/>
  <c r="G41" i="3"/>
  <c r="J274" i="4"/>
  <c r="J181" i="3"/>
  <c r="M274" i="4" s="1"/>
  <c r="I181" i="3"/>
  <c r="L274" i="4" s="1"/>
  <c r="J161" i="4"/>
  <c r="O96" i="3"/>
  <c r="L161" i="4" s="1"/>
  <c r="P96" i="3"/>
  <c r="M161" i="4" s="1"/>
  <c r="J200" i="4"/>
  <c r="P126" i="3"/>
  <c r="M200" i="4" s="1"/>
  <c r="O126" i="3"/>
  <c r="L200" i="4" s="1"/>
  <c r="J316" i="4"/>
  <c r="J213" i="3"/>
  <c r="M316" i="4" s="1"/>
  <c r="I213" i="3"/>
  <c r="L316" i="4" s="1"/>
  <c r="J250" i="4"/>
  <c r="I165" i="3"/>
  <c r="L250" i="4" s="1"/>
  <c r="J165" i="3"/>
  <c r="M250" i="4" s="1"/>
  <c r="J286" i="4"/>
  <c r="J193" i="3"/>
  <c r="M286" i="4" s="1"/>
  <c r="I193" i="3"/>
  <c r="L286" i="4" s="1"/>
  <c r="J71" i="4"/>
  <c r="P28" i="3"/>
  <c r="M71" i="4" s="1"/>
  <c r="O28" i="3"/>
  <c r="L71" i="4" s="1"/>
  <c r="L129" i="4"/>
  <c r="G77" i="3"/>
  <c r="J164" i="4"/>
  <c r="O98" i="3"/>
  <c r="L164" i="4" s="1"/>
  <c r="P98" i="3"/>
  <c r="M164" i="4" s="1"/>
  <c r="L225" i="4"/>
  <c r="G149" i="3"/>
  <c r="I171" i="3"/>
  <c r="L259" i="4" s="1"/>
  <c r="J259" i="4"/>
  <c r="J171" i="3"/>
  <c r="M259" i="4" s="1"/>
  <c r="J83" i="4"/>
  <c r="O40" i="3"/>
  <c r="L83" i="4" s="1"/>
  <c r="P40" i="3"/>
  <c r="M83" i="4" s="1"/>
  <c r="J310" i="4"/>
  <c r="I209" i="3"/>
  <c r="L310" i="4" s="1"/>
  <c r="J209" i="3"/>
  <c r="M310" i="4" s="1"/>
  <c r="J268" i="4"/>
  <c r="J177" i="3"/>
  <c r="M268" i="4" s="1"/>
  <c r="I177" i="3"/>
  <c r="L268" i="4" s="1"/>
  <c r="M230" i="4"/>
  <c r="J98" i="4"/>
  <c r="O50" i="3"/>
  <c r="L98" i="4" s="1"/>
  <c r="P50" i="3"/>
  <c r="M98" i="4" s="1"/>
  <c r="L171" i="4"/>
  <c r="G105" i="3"/>
  <c r="L153" i="4"/>
  <c r="G93" i="3"/>
  <c r="J221" i="4"/>
  <c r="P140" i="3"/>
  <c r="M221" i="4" s="1"/>
  <c r="O140" i="3"/>
  <c r="L221" i="4" s="1"/>
  <c r="J292" i="4"/>
  <c r="J197" i="3"/>
  <c r="M292" i="4" s="1"/>
  <c r="I197" i="3"/>
  <c r="L292" i="4" s="1"/>
  <c r="I151" i="3"/>
  <c r="L229" i="4" s="1"/>
  <c r="J229" i="4"/>
  <c r="J151" i="3"/>
  <c r="M229" i="4" s="1"/>
  <c r="L147" i="4"/>
  <c r="G89" i="3"/>
  <c r="G107" i="3"/>
  <c r="L174" i="4"/>
  <c r="J206" i="4"/>
  <c r="O130" i="3"/>
  <c r="L206" i="4" s="1"/>
  <c r="P130" i="3"/>
  <c r="M206" i="4" s="1"/>
  <c r="J295" i="4"/>
  <c r="I199" i="3"/>
  <c r="L295" i="4" s="1"/>
  <c r="J199" i="3"/>
  <c r="M295" i="4" s="1"/>
  <c r="J262" i="4"/>
  <c r="I173" i="3"/>
  <c r="L262" i="4" s="1"/>
  <c r="J173" i="3"/>
  <c r="M262" i="4" s="1"/>
  <c r="J104" i="4"/>
  <c r="P54" i="3"/>
  <c r="M104" i="4" s="1"/>
  <c r="O54" i="3"/>
  <c r="L104" i="4" s="1"/>
  <c r="I175" i="3"/>
  <c r="L265" i="4" s="1"/>
  <c r="J265" i="4"/>
  <c r="J175" i="3"/>
  <c r="M265" i="4" s="1"/>
  <c r="L132" i="4"/>
  <c r="G79" i="3"/>
  <c r="J215" i="4"/>
  <c r="P136" i="3"/>
  <c r="M215" i="4" s="1"/>
  <c r="O136" i="3"/>
  <c r="L215" i="4" s="1"/>
  <c r="J271" i="4"/>
  <c r="I179" i="3"/>
  <c r="L271" i="4" s="1"/>
  <c r="J179" i="3"/>
  <c r="M271" i="4" s="1"/>
  <c r="J113" i="4"/>
  <c r="O60" i="3"/>
  <c r="L113" i="4" s="1"/>
  <c r="P60" i="3"/>
  <c r="M113" i="4" s="1"/>
  <c r="J176" i="4"/>
  <c r="P106" i="3"/>
  <c r="M176" i="4" s="1"/>
  <c r="O106" i="3"/>
  <c r="L176" i="4" s="1"/>
  <c r="J301" i="4"/>
  <c r="I203" i="3"/>
  <c r="L301" i="4" s="1"/>
  <c r="J203" i="3"/>
  <c r="M301" i="4" s="1"/>
  <c r="J56" i="4"/>
  <c r="P18" i="3"/>
  <c r="M56" i="4" s="1"/>
  <c r="O18" i="3"/>
  <c r="L56" i="4" s="1"/>
  <c r="L84" i="4"/>
  <c r="G43" i="3"/>
  <c r="J167" i="4"/>
  <c r="P100" i="3"/>
  <c r="M167" i="4" s="1"/>
  <c r="O100" i="3"/>
  <c r="L167" i="4" s="1"/>
  <c r="J336" i="4"/>
  <c r="L336" i="4"/>
  <c r="M336" i="4"/>
  <c r="G127" i="3"/>
  <c r="L198" i="4"/>
  <c r="J182" i="4"/>
  <c r="O114" i="3"/>
  <c r="P114" i="3"/>
  <c r="J304" i="4"/>
  <c r="J205" i="3"/>
  <c r="M304" i="4" s="1"/>
  <c r="I205" i="3"/>
  <c r="L304" i="4" s="1"/>
  <c r="J238" i="4"/>
  <c r="I157" i="3"/>
  <c r="L238" i="4" s="1"/>
  <c r="J157" i="3"/>
  <c r="M238" i="4" s="1"/>
  <c r="G15" i="3"/>
  <c r="L48" i="4"/>
  <c r="L69" i="4"/>
  <c r="G29" i="3"/>
  <c r="J122" i="4"/>
  <c r="O66" i="3"/>
  <c r="L122" i="4" s="1"/>
  <c r="P66" i="3"/>
  <c r="M122" i="4" s="1"/>
  <c r="L141" i="4"/>
  <c r="G85" i="3"/>
  <c r="J218" i="4"/>
  <c r="P138" i="3"/>
  <c r="M218" i="4" s="1"/>
  <c r="O138" i="3"/>
  <c r="L218" i="4" s="1"/>
  <c r="G23" i="3"/>
  <c r="L60" i="4"/>
  <c r="J47" i="4"/>
  <c r="P12" i="3"/>
  <c r="M47" i="4" s="1"/>
  <c r="O12" i="3"/>
  <c r="L47" i="4" s="1"/>
  <c r="J244" i="4"/>
  <c r="J161" i="3"/>
  <c r="M244" i="4" s="1"/>
  <c r="I161" i="3"/>
  <c r="L244" i="4" s="1"/>
  <c r="G91" i="3"/>
  <c r="L150" i="4"/>
  <c r="G119" i="3"/>
  <c r="L186" i="4"/>
  <c r="J194" i="4"/>
  <c r="O122" i="3"/>
  <c r="L194" i="4" s="1"/>
  <c r="P122" i="3"/>
  <c r="M194" i="4" s="1"/>
  <c r="G25" i="3"/>
  <c r="L63" i="4"/>
  <c r="G95" i="3"/>
  <c r="L156" i="4"/>
  <c r="J143" i="4"/>
  <c r="O84" i="3"/>
  <c r="L143" i="4" s="1"/>
  <c r="P84" i="3"/>
  <c r="M143" i="4" s="1"/>
  <c r="M284" i="4"/>
  <c r="G55" i="3"/>
  <c r="L102" i="4"/>
  <c r="G35" i="3"/>
  <c r="L78" i="4"/>
  <c r="J110" i="4"/>
  <c r="O58" i="3"/>
  <c r="L110" i="4" s="1"/>
  <c r="P58" i="3"/>
  <c r="M110" i="4" s="1"/>
  <c r="L230" i="4"/>
  <c r="J328" i="4"/>
  <c r="J221" i="3"/>
  <c r="M328" i="4" s="1"/>
  <c r="I221" i="3"/>
  <c r="L328" i="4" s="1"/>
  <c r="J152" i="4"/>
  <c r="P90" i="3"/>
  <c r="M152" i="4" s="1"/>
  <c r="O90" i="3"/>
  <c r="L152" i="4" s="1"/>
  <c r="L213" i="4"/>
  <c r="G137" i="3"/>
  <c r="L111" i="4"/>
  <c r="G61" i="3"/>
  <c r="J131" i="4"/>
  <c r="O76" i="3"/>
  <c r="L131" i="4" s="1"/>
  <c r="P76" i="3"/>
  <c r="M131" i="4" s="1"/>
  <c r="J227" i="4"/>
  <c r="P148" i="3"/>
  <c r="M227" i="4" s="1"/>
  <c r="O148" i="3"/>
  <c r="L227" i="4" s="1"/>
  <c r="J298" i="4"/>
  <c r="J201" i="3"/>
  <c r="M298" i="4" s="1"/>
  <c r="I201" i="3"/>
  <c r="L298" i="4" s="1"/>
  <c r="J53" i="4"/>
  <c r="O16" i="3"/>
  <c r="L53" i="4" s="1"/>
  <c r="P16" i="3"/>
  <c r="M53" i="4" s="1"/>
  <c r="L117" i="4"/>
  <c r="G65" i="3"/>
  <c r="J140" i="4"/>
  <c r="P82" i="3"/>
  <c r="M140" i="4" s="1"/>
  <c r="O82" i="3"/>
  <c r="L140" i="4" s="1"/>
  <c r="J203" i="4"/>
  <c r="O128" i="3"/>
  <c r="L203" i="4" s="1"/>
  <c r="P128" i="3"/>
  <c r="M203" i="4" s="1"/>
  <c r="I163" i="3"/>
  <c r="L247" i="4" s="1"/>
  <c r="J247" i="4"/>
  <c r="J163" i="3"/>
  <c r="M247" i="4" s="1"/>
  <c r="G47" i="3"/>
  <c r="L90" i="4"/>
  <c r="J256" i="4"/>
  <c r="I169" i="3"/>
  <c r="L256" i="4" s="1"/>
  <c r="J169" i="3"/>
  <c r="M256" i="4" s="1"/>
  <c r="G33" i="3"/>
  <c r="L75" i="4"/>
  <c r="L87" i="4"/>
  <c r="G45" i="3"/>
  <c r="G103" i="3"/>
  <c r="L168" i="4"/>
  <c r="J197" i="4"/>
  <c r="P124" i="3"/>
  <c r="M197" i="4" s="1"/>
  <c r="O124" i="3"/>
  <c r="L197" i="4" s="1"/>
  <c r="L183" i="4"/>
  <c r="G117" i="3"/>
  <c r="J74" i="4"/>
  <c r="O30" i="3"/>
  <c r="L74" i="4" s="1"/>
  <c r="P30" i="3"/>
  <c r="M74" i="4" s="1"/>
  <c r="L45" i="4"/>
  <c r="G13" i="3"/>
  <c r="J209" i="4"/>
  <c r="O132" i="3"/>
  <c r="L209" i="4" s="1"/>
  <c r="P132" i="3"/>
  <c r="M209" i="4" s="1"/>
  <c r="J92" i="4"/>
  <c r="P46" i="3"/>
  <c r="M92" i="4" s="1"/>
  <c r="O46" i="3"/>
  <c r="L92" i="4" s="1"/>
  <c r="J119" i="4"/>
  <c r="P64" i="3"/>
  <c r="M119" i="4" s="1"/>
  <c r="O64" i="3"/>
  <c r="L119" i="4" s="1"/>
  <c r="L159" i="4"/>
  <c r="G97" i="3"/>
  <c r="J134" i="4"/>
  <c r="P78" i="3"/>
  <c r="O78" i="3"/>
  <c r="G123" i="3"/>
  <c r="L192" i="4"/>
  <c r="I167" i="3"/>
  <c r="L253" i="4" s="1"/>
  <c r="J253" i="4"/>
  <c r="J167" i="3"/>
  <c r="M253" i="4" s="1"/>
  <c r="J77" i="4"/>
  <c r="O32" i="3"/>
  <c r="L77" i="4" s="1"/>
  <c r="P32" i="3"/>
  <c r="M77" i="4" s="1"/>
  <c r="G63" i="3"/>
  <c r="L114" i="4"/>
  <c r="J89" i="4"/>
  <c r="P44" i="3"/>
  <c r="M89" i="4" s="1"/>
  <c r="O44" i="3"/>
  <c r="L89" i="4" s="1"/>
  <c r="G135" i="3"/>
  <c r="L210" i="4"/>
  <c r="J185" i="4"/>
  <c r="P116" i="3"/>
  <c r="M185" i="4" s="1"/>
  <c r="O116" i="3"/>
  <c r="L185" i="4" s="1"/>
  <c r="J283" i="4"/>
  <c r="I191" i="3"/>
  <c r="L283" i="4" s="1"/>
  <c r="J191" i="3"/>
  <c r="M283" i="4" s="1"/>
  <c r="J86" i="4"/>
  <c r="P42" i="3"/>
  <c r="O42" i="3"/>
  <c r="G87" i="3"/>
  <c r="L144" i="4"/>
  <c r="J50" i="4"/>
  <c r="P14" i="3"/>
  <c r="M50" i="4" s="1"/>
  <c r="O14" i="3"/>
  <c r="L50" i="4" s="1"/>
  <c r="J116" i="4"/>
  <c r="O62" i="3"/>
  <c r="L116" i="4" s="1"/>
  <c r="P62" i="3"/>
  <c r="M116" i="4" s="1"/>
  <c r="L177" i="4"/>
  <c r="G113" i="3"/>
  <c r="J212" i="4"/>
  <c r="O134" i="3"/>
  <c r="L212" i="4" s="1"/>
  <c r="P134" i="3"/>
  <c r="M212" i="4" s="1"/>
  <c r="L284" i="4"/>
  <c r="G17" i="3"/>
  <c r="L51" i="4"/>
  <c r="I207" i="3"/>
  <c r="L307" i="4" s="1"/>
  <c r="J307" i="4"/>
  <c r="J207" i="3"/>
  <c r="M307" i="4" s="1"/>
  <c r="L123" i="4"/>
  <c r="G69" i="3"/>
  <c r="G83" i="3"/>
  <c r="L138" i="4"/>
  <c r="J146" i="4"/>
  <c r="O86" i="3"/>
  <c r="L146" i="4" s="1"/>
  <c r="P86" i="3"/>
  <c r="M146" i="4" s="1"/>
  <c r="I159" i="3"/>
  <c r="L241" i="4" s="1"/>
  <c r="J241" i="4"/>
  <c r="J159" i="3"/>
  <c r="M241" i="4" s="1"/>
  <c r="J65" i="4"/>
  <c r="O24" i="3"/>
  <c r="L65" i="4" s="1"/>
  <c r="P24" i="3"/>
  <c r="M65" i="4" s="1"/>
  <c r="G71" i="3"/>
  <c r="L126" i="4"/>
  <c r="J158" i="4"/>
  <c r="P94" i="3"/>
  <c r="M158" i="4" s="1"/>
  <c r="O94" i="3"/>
  <c r="L158" i="4" s="1"/>
  <c r="L195" i="4"/>
  <c r="G125" i="3"/>
  <c r="G143" i="3"/>
  <c r="L222" i="4"/>
  <c r="I219" i="3"/>
  <c r="L325" i="4" s="1"/>
  <c r="J325" i="4"/>
  <c r="J219" i="3"/>
  <c r="M325" i="4" s="1"/>
  <c r="J80" i="4"/>
  <c r="P34" i="3"/>
  <c r="M80" i="4" s="1"/>
  <c r="O34" i="3"/>
  <c r="L80" i="4" s="1"/>
  <c r="G9" i="3"/>
  <c r="L39" i="4"/>
  <c r="L105" i="4"/>
  <c r="G57" i="3"/>
  <c r="J173" i="4"/>
  <c r="O104" i="3"/>
  <c r="L173" i="4" s="1"/>
  <c r="P104" i="3"/>
  <c r="M173" i="4" s="1"/>
  <c r="L207" i="4"/>
  <c r="G133" i="3"/>
  <c r="G115" i="3"/>
  <c r="L180" i="4"/>
  <c r="J125" i="4"/>
  <c r="J38" i="4"/>
  <c r="O6" i="3"/>
  <c r="J128" i="4"/>
  <c r="P70" i="3"/>
  <c r="M128" i="4" s="1"/>
  <c r="O70" i="3"/>
  <c r="L128" i="4" s="1"/>
  <c r="J224" i="4"/>
  <c r="P142" i="3"/>
  <c r="M224" i="4" s="1"/>
  <c r="O142" i="3"/>
  <c r="L224" i="4" s="1"/>
  <c r="J59" i="4"/>
  <c r="O20" i="3"/>
  <c r="L59" i="4" s="1"/>
  <c r="P20" i="3"/>
  <c r="M59" i="4" s="1"/>
  <c r="G27" i="3"/>
  <c r="L66" i="4"/>
  <c r="J41" i="4"/>
  <c r="P8" i="3"/>
  <c r="M41" i="4" s="1"/>
  <c r="O8" i="3"/>
  <c r="L41" i="4" s="1"/>
  <c r="J107" i="4"/>
  <c r="P56" i="3"/>
  <c r="M107" i="4" s="1"/>
  <c r="O56" i="3"/>
  <c r="L107" i="4" s="1"/>
  <c r="J322" i="4"/>
  <c r="J217" i="3"/>
  <c r="M322" i="4" s="1"/>
  <c r="I217" i="3"/>
  <c r="L322" i="4" s="1"/>
  <c r="J232" i="4"/>
  <c r="I153" i="3"/>
  <c r="L232" i="4" s="1"/>
  <c r="J153" i="3"/>
  <c r="M232" i="4" s="1"/>
  <c r="L93" i="4"/>
  <c r="G49" i="3"/>
  <c r="J170" i="4"/>
  <c r="P102" i="3"/>
  <c r="M170" i="4" s="1"/>
  <c r="O102" i="3"/>
  <c r="L170" i="4" s="1"/>
  <c r="L189" i="4"/>
  <c r="G121" i="3"/>
  <c r="J44" i="4"/>
  <c r="P10" i="3"/>
  <c r="M44" i="4" s="1"/>
  <c r="O10" i="3"/>
  <c r="L44" i="4" s="1"/>
  <c r="G59" i="3"/>
  <c r="L108" i="4"/>
  <c r="G51" i="3"/>
  <c r="L96" i="4"/>
  <c r="L219" i="4"/>
  <c r="G141" i="3"/>
  <c r="J289" i="4"/>
  <c r="I195" i="3"/>
  <c r="L289" i="4" s="1"/>
  <c r="J195" i="3"/>
  <c r="M289" i="4" s="1"/>
  <c r="J95" i="4"/>
  <c r="M95" i="4"/>
  <c r="O48" i="3"/>
  <c r="L95" i="4" s="1"/>
  <c r="G131" i="3"/>
  <c r="L204" i="4"/>
  <c r="J191" i="4"/>
  <c r="P120" i="3"/>
  <c r="M191" i="4" s="1"/>
  <c r="O120" i="3"/>
  <c r="L191" i="4" s="1"/>
  <c r="J62" i="4"/>
  <c r="P22" i="3"/>
  <c r="M62" i="4" s="1"/>
  <c r="O22" i="3"/>
  <c r="L62" i="4" s="1"/>
  <c r="L99" i="4"/>
  <c r="G53" i="3"/>
  <c r="J188" i="4"/>
  <c r="P118" i="3"/>
  <c r="M188" i="4" s="1"/>
  <c r="O118" i="3"/>
  <c r="L188" i="4" s="1"/>
  <c r="L201" i="4"/>
  <c r="G129" i="3"/>
  <c r="J319" i="4"/>
  <c r="L319" i="4"/>
  <c r="M319" i="4"/>
  <c r="L36" i="4"/>
  <c r="G7" i="3"/>
  <c r="J179" i="4"/>
  <c r="P112" i="3"/>
  <c r="M179" i="4" s="1"/>
  <c r="O112" i="3"/>
  <c r="L179" i="4" s="1"/>
  <c r="L57" i="4"/>
  <c r="G21" i="3"/>
  <c r="G31" i="3"/>
  <c r="L72" i="4"/>
  <c r="J101" i="4"/>
  <c r="P52" i="3"/>
  <c r="M101" i="4" s="1"/>
  <c r="O52" i="3"/>
  <c r="L101" i="4" s="1"/>
  <c r="L165" i="4"/>
  <c r="G101" i="3"/>
  <c r="J155" i="4"/>
  <c r="P92" i="3"/>
  <c r="M155" i="4" s="1"/>
  <c r="O92" i="3"/>
  <c r="L155" i="4" s="1"/>
  <c r="I155" i="3"/>
  <c r="L235" i="4" s="1"/>
  <c r="J235" i="4"/>
  <c r="J155" i="3"/>
  <c r="M235" i="4" s="1"/>
  <c r="J313" i="4"/>
  <c r="I211" i="3"/>
  <c r="L313" i="4" s="1"/>
  <c r="J211" i="3"/>
  <c r="M313" i="4" s="1"/>
  <c r="G67" i="3"/>
  <c r="L120" i="4"/>
  <c r="J149" i="4"/>
  <c r="P88" i="3"/>
  <c r="M149" i="4" s="1"/>
  <c r="O88" i="3"/>
  <c r="L149" i="4" s="1"/>
  <c r="L135" i="4"/>
  <c r="G81" i="3"/>
  <c r="G139" i="3"/>
  <c r="L216" i="4"/>
  <c r="G11" i="3"/>
  <c r="L42" i="4"/>
  <c r="E21" i="1" l="1"/>
  <c r="G21" i="1" s="1"/>
  <c r="J21" i="1" s="1"/>
  <c r="G18" i="1"/>
  <c r="J18" i="1" s="1"/>
  <c r="I67" i="3"/>
  <c r="L121" i="4" s="1"/>
  <c r="J121" i="4"/>
  <c r="J67" i="3"/>
  <c r="M121" i="4" s="1"/>
  <c r="J202" i="4"/>
  <c r="I129" i="3"/>
  <c r="L202" i="4" s="1"/>
  <c r="J129" i="3"/>
  <c r="M202" i="4" s="1"/>
  <c r="I51" i="3"/>
  <c r="L97" i="4" s="1"/>
  <c r="J97" i="4"/>
  <c r="J51" i="3"/>
  <c r="M97" i="4" s="1"/>
  <c r="M125" i="4"/>
  <c r="M38" i="4"/>
  <c r="J106" i="4"/>
  <c r="I57" i="3"/>
  <c r="L106" i="4" s="1"/>
  <c r="J57" i="3"/>
  <c r="M106" i="4" s="1"/>
  <c r="J196" i="4"/>
  <c r="I125" i="3"/>
  <c r="L196" i="4" s="1"/>
  <c r="J125" i="3"/>
  <c r="M196" i="4" s="1"/>
  <c r="J52" i="4"/>
  <c r="I17" i="3"/>
  <c r="L52" i="4" s="1"/>
  <c r="J17" i="3"/>
  <c r="M52" i="4" s="1"/>
  <c r="L86" i="4"/>
  <c r="I63" i="3"/>
  <c r="L115" i="4" s="1"/>
  <c r="J115" i="4"/>
  <c r="J63" i="3"/>
  <c r="M115" i="4" s="1"/>
  <c r="I123" i="3"/>
  <c r="L193" i="4" s="1"/>
  <c r="J193" i="4"/>
  <c r="J123" i="3"/>
  <c r="M193" i="4" s="1"/>
  <c r="J46" i="4"/>
  <c r="I13" i="3"/>
  <c r="L46" i="4" s="1"/>
  <c r="J13" i="3"/>
  <c r="M46" i="4" s="1"/>
  <c r="J88" i="4"/>
  <c r="I45" i="3"/>
  <c r="L88" i="4" s="1"/>
  <c r="J45" i="3"/>
  <c r="M88" i="4" s="1"/>
  <c r="I47" i="3"/>
  <c r="L91" i="4" s="1"/>
  <c r="J91" i="4"/>
  <c r="J47" i="3"/>
  <c r="M91" i="4" s="1"/>
  <c r="J112" i="4"/>
  <c r="I61" i="3"/>
  <c r="L112" i="4" s="1"/>
  <c r="J61" i="3"/>
  <c r="M112" i="4" s="1"/>
  <c r="I35" i="3"/>
  <c r="L79" i="4" s="1"/>
  <c r="J79" i="4"/>
  <c r="J35" i="3"/>
  <c r="M79" i="4" s="1"/>
  <c r="I119" i="3"/>
  <c r="L187" i="4" s="1"/>
  <c r="J187" i="4"/>
  <c r="J119" i="3"/>
  <c r="M187" i="4" s="1"/>
  <c r="I139" i="3"/>
  <c r="L217" i="4" s="1"/>
  <c r="J217" i="4"/>
  <c r="J139" i="3"/>
  <c r="M217" i="4" s="1"/>
  <c r="I31" i="3"/>
  <c r="L73" i="4" s="1"/>
  <c r="J73" i="4"/>
  <c r="J31" i="3"/>
  <c r="M73" i="4" s="1"/>
  <c r="J100" i="4"/>
  <c r="I53" i="3"/>
  <c r="L100" i="4" s="1"/>
  <c r="J53" i="3"/>
  <c r="M100" i="4" s="1"/>
  <c r="J220" i="4"/>
  <c r="I141" i="3"/>
  <c r="L220" i="4" s="1"/>
  <c r="J141" i="3"/>
  <c r="M220" i="4" s="1"/>
  <c r="L125" i="4"/>
  <c r="L38" i="4"/>
  <c r="I83" i="3"/>
  <c r="L139" i="4" s="1"/>
  <c r="J139" i="4"/>
  <c r="J83" i="3"/>
  <c r="M139" i="4" s="1"/>
  <c r="M86" i="4"/>
  <c r="L134" i="4"/>
  <c r="J160" i="4"/>
  <c r="J97" i="3"/>
  <c r="M160" i="4" s="1"/>
  <c r="I97" i="3"/>
  <c r="L160" i="4" s="1"/>
  <c r="J184" i="4"/>
  <c r="I117" i="3"/>
  <c r="L184" i="4" s="1"/>
  <c r="J117" i="3"/>
  <c r="M184" i="4" s="1"/>
  <c r="I95" i="3"/>
  <c r="L157" i="4" s="1"/>
  <c r="J157" i="4"/>
  <c r="J95" i="3"/>
  <c r="M157" i="4" s="1"/>
  <c r="M182" i="4"/>
  <c r="I43" i="3"/>
  <c r="L85" i="4" s="1"/>
  <c r="J85" i="4"/>
  <c r="J43" i="3"/>
  <c r="M85" i="4" s="1"/>
  <c r="I107" i="3"/>
  <c r="L175" i="4" s="1"/>
  <c r="J175" i="4"/>
  <c r="J107" i="3"/>
  <c r="M175" i="4" s="1"/>
  <c r="J154" i="4"/>
  <c r="J93" i="3"/>
  <c r="M154" i="4" s="1"/>
  <c r="I93" i="3"/>
  <c r="L154" i="4" s="1"/>
  <c r="J58" i="4"/>
  <c r="I21" i="3"/>
  <c r="L58" i="4" s="1"/>
  <c r="J21" i="3"/>
  <c r="M58" i="4" s="1"/>
  <c r="I131" i="3"/>
  <c r="L205" i="4" s="1"/>
  <c r="J205" i="4"/>
  <c r="J131" i="3"/>
  <c r="M205" i="4" s="1"/>
  <c r="I59" i="3"/>
  <c r="L109" i="4" s="1"/>
  <c r="J109" i="4"/>
  <c r="J59" i="3"/>
  <c r="M109" i="4" s="1"/>
  <c r="J190" i="4"/>
  <c r="I121" i="3"/>
  <c r="L190" i="4" s="1"/>
  <c r="J121" i="3"/>
  <c r="M190" i="4" s="1"/>
  <c r="I27" i="3"/>
  <c r="L67" i="4" s="1"/>
  <c r="J67" i="4"/>
  <c r="J27" i="3"/>
  <c r="M67" i="4" s="1"/>
  <c r="I115" i="3"/>
  <c r="L181" i="4" s="1"/>
  <c r="J181" i="4"/>
  <c r="J115" i="3"/>
  <c r="M181" i="4" s="1"/>
  <c r="I71" i="3"/>
  <c r="L127" i="4" s="1"/>
  <c r="J127" i="4"/>
  <c r="J71" i="3"/>
  <c r="M127" i="4" s="1"/>
  <c r="J124" i="4"/>
  <c r="I69" i="3"/>
  <c r="L124" i="4" s="1"/>
  <c r="J69" i="3"/>
  <c r="M124" i="4" s="1"/>
  <c r="J178" i="4"/>
  <c r="I113" i="3"/>
  <c r="L178" i="4" s="1"/>
  <c r="J113" i="3"/>
  <c r="M178" i="4" s="1"/>
  <c r="M134" i="4"/>
  <c r="J118" i="4"/>
  <c r="I65" i="3"/>
  <c r="L118" i="4" s="1"/>
  <c r="J65" i="3"/>
  <c r="M118" i="4" s="1"/>
  <c r="J214" i="4"/>
  <c r="I137" i="3"/>
  <c r="L214" i="4" s="1"/>
  <c r="J137" i="3"/>
  <c r="M214" i="4" s="1"/>
  <c r="I55" i="3"/>
  <c r="L103" i="4" s="1"/>
  <c r="J103" i="4"/>
  <c r="J55" i="3"/>
  <c r="M103" i="4" s="1"/>
  <c r="I91" i="3"/>
  <c r="L151" i="4" s="1"/>
  <c r="J151" i="4"/>
  <c r="J91" i="3"/>
  <c r="M151" i="4" s="1"/>
  <c r="I23" i="3"/>
  <c r="L61" i="4" s="1"/>
  <c r="J61" i="4"/>
  <c r="J23" i="3"/>
  <c r="M61" i="4" s="1"/>
  <c r="J142" i="4"/>
  <c r="I85" i="3"/>
  <c r="L142" i="4" s="1"/>
  <c r="J85" i="3"/>
  <c r="M142" i="4" s="1"/>
  <c r="I15" i="3"/>
  <c r="L49" i="4" s="1"/>
  <c r="J49" i="4"/>
  <c r="J15" i="3"/>
  <c r="M49" i="4" s="1"/>
  <c r="L182" i="4"/>
  <c r="I127" i="3"/>
  <c r="L199" i="4" s="1"/>
  <c r="J199" i="4"/>
  <c r="J127" i="3"/>
  <c r="M199" i="4" s="1"/>
  <c r="J148" i="4"/>
  <c r="J89" i="3"/>
  <c r="M148" i="4" s="1"/>
  <c r="I89" i="3"/>
  <c r="L148" i="4" s="1"/>
  <c r="J226" i="4"/>
  <c r="I149" i="3"/>
  <c r="L226" i="4" s="1"/>
  <c r="J149" i="3"/>
  <c r="M226" i="4" s="1"/>
  <c r="J82" i="4"/>
  <c r="I41" i="3"/>
  <c r="L82" i="4" s="1"/>
  <c r="J41" i="3"/>
  <c r="M82" i="4" s="1"/>
  <c r="J136" i="4"/>
  <c r="I81" i="3"/>
  <c r="L136" i="4" s="1"/>
  <c r="J81" i="3"/>
  <c r="M136" i="4" s="1"/>
  <c r="I11" i="3"/>
  <c r="L43" i="4" s="1"/>
  <c r="J43" i="4"/>
  <c r="J11" i="3"/>
  <c r="M43" i="4" s="1"/>
  <c r="J166" i="4"/>
  <c r="I101" i="3"/>
  <c r="L166" i="4" s="1"/>
  <c r="J101" i="3"/>
  <c r="M166" i="4" s="1"/>
  <c r="J37" i="4"/>
  <c r="I7" i="3"/>
  <c r="L37" i="4" s="1"/>
  <c r="J7" i="3"/>
  <c r="M37" i="4" s="1"/>
  <c r="J94" i="4"/>
  <c r="I49" i="3"/>
  <c r="L94" i="4" s="1"/>
  <c r="J49" i="3"/>
  <c r="M94" i="4" s="1"/>
  <c r="J208" i="4"/>
  <c r="I133" i="3"/>
  <c r="L208" i="4" s="1"/>
  <c r="J133" i="3"/>
  <c r="M208" i="4" s="1"/>
  <c r="J40" i="4"/>
  <c r="I9" i="3"/>
  <c r="L40" i="4" s="1"/>
  <c r="J9" i="3"/>
  <c r="M40" i="4" s="1"/>
  <c r="I143" i="3"/>
  <c r="L223" i="4" s="1"/>
  <c r="J223" i="4"/>
  <c r="J143" i="3"/>
  <c r="M223" i="4" s="1"/>
  <c r="I87" i="3"/>
  <c r="L145" i="4" s="1"/>
  <c r="J145" i="4"/>
  <c r="J87" i="3"/>
  <c r="M145" i="4" s="1"/>
  <c r="I135" i="3"/>
  <c r="L211" i="4" s="1"/>
  <c r="J211" i="4"/>
  <c r="J135" i="3"/>
  <c r="M211" i="4" s="1"/>
  <c r="I103" i="3"/>
  <c r="L169" i="4" s="1"/>
  <c r="J169" i="4"/>
  <c r="J103" i="3"/>
  <c r="M169" i="4" s="1"/>
  <c r="J76" i="4"/>
  <c r="I33" i="3"/>
  <c r="L76" i="4" s="1"/>
  <c r="J33" i="3"/>
  <c r="M76" i="4" s="1"/>
  <c r="J64" i="4"/>
  <c r="I25" i="3"/>
  <c r="L64" i="4" s="1"/>
  <c r="J25" i="3"/>
  <c r="M64" i="4" s="1"/>
  <c r="J70" i="4"/>
  <c r="I29" i="3"/>
  <c r="L70" i="4" s="1"/>
  <c r="J29" i="3"/>
  <c r="M70" i="4" s="1"/>
  <c r="J79" i="3"/>
  <c r="M133" i="4" s="1"/>
  <c r="I79" i="3"/>
  <c r="L133" i="4" s="1"/>
  <c r="J133" i="4"/>
  <c r="J172" i="4"/>
  <c r="I105" i="3"/>
  <c r="L172" i="4" s="1"/>
  <c r="J105" i="3"/>
  <c r="M172" i="4" s="1"/>
  <c r="J130" i="4"/>
  <c r="I77" i="3"/>
  <c r="L130" i="4" s="1"/>
  <c r="J77" i="3"/>
  <c r="M130" i="4" s="1"/>
  <c r="I99" i="3"/>
  <c r="L163" i="4" s="1"/>
  <c r="J163" i="4"/>
  <c r="J99" i="3"/>
  <c r="M163" i="4" s="1"/>
  <c r="I21" i="1" l="1"/>
  <c r="I18" i="1"/>
</calcChain>
</file>

<file path=xl/comments1.xml><?xml version="1.0" encoding="utf-8"?>
<comments xmlns="http://schemas.openxmlformats.org/spreadsheetml/2006/main">
  <authors>
    <author>geraldine zuleta</author>
    <author>ZULETA ESPINOZA, GERALDINE</author>
  </authors>
  <commentList>
    <comment ref="F10" authorId="0" shapeId="0">
      <text>
        <r>
          <rPr>
            <b/>
            <sz val="9"/>
            <color indexed="81"/>
            <rFont val="Tahoma"/>
            <family val="2"/>
          </rPr>
          <t>geraldine zuleta:</t>
        </r>
        <r>
          <rPr>
            <sz val="9"/>
            <color indexed="81"/>
            <rFont val="Tahoma"/>
            <family val="2"/>
          </rPr>
          <t xml:space="preserve">
RES N°1 ART-IND 
RES N°2200 IND-ART
Res 2574-21 Modf Res 2200-21.</t>
        </r>
      </text>
    </comment>
    <comment ref="K10" authorId="1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N°163</t>
        </r>
      </text>
    </comment>
    <comment ref="F12" authorId="1" shapeId="0">
      <text>
        <r>
          <rPr>
            <b/>
            <sz val="9"/>
            <color indexed="81"/>
            <rFont val="Tahoma"/>
            <family val="2"/>
          </rPr>
          <t xml:space="preserve">ZULETA ESPINOZA, GERALDINE:
</t>
        </r>
        <r>
          <rPr>
            <sz val="9"/>
            <color indexed="81"/>
            <rFont val="Tahoma"/>
            <family val="2"/>
          </rPr>
          <t>RES N°1978 IND-ART</t>
        </r>
      </text>
    </comment>
    <comment ref="F14" authorId="1" shapeId="0">
      <text>
        <r>
          <rPr>
            <b/>
            <sz val="9"/>
            <color indexed="81"/>
            <rFont val="Tahoma"/>
            <family val="2"/>
          </rPr>
          <t xml:space="preserve">ZULETA ESPINOZA, GERALDINE:
</t>
        </r>
        <r>
          <rPr>
            <sz val="9"/>
            <color indexed="81"/>
            <rFont val="Tahoma"/>
            <family val="2"/>
          </rPr>
          <t xml:space="preserve">RES N°11 (DZP Atacama y Coquimbo) </t>
        </r>
      </text>
    </comment>
    <comment ref="F16" authorId="1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N°7</t>
        </r>
      </text>
    </comment>
    <comment ref="F17" authorId="1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Cesion N°13 ART-ART de 5 toneladas </t>
        </r>
      </text>
    </comment>
    <comment ref="F18" authorId="1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N°7
RES N°11 (DZP Atacama y Coquimbo) </t>
        </r>
      </text>
    </comment>
    <comment ref="K18" authorId="1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N°162</t>
        </r>
      </text>
    </comment>
    <comment ref="F19" authorId="1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Cesion N°13 ART-ART de 5 toneladas </t>
        </r>
      </text>
    </comment>
    <comment ref="K20" authorId="1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N°26</t>
        </r>
      </text>
    </comment>
  </commentList>
</comments>
</file>

<file path=xl/comments2.xml><?xml version="1.0" encoding="utf-8"?>
<comments xmlns="http://schemas.openxmlformats.org/spreadsheetml/2006/main">
  <authors>
    <author>geraldine zuleta</author>
    <author>ZULETA ESPINOZA, GERALDINE</author>
    <author>nperez</author>
    <author>CEA TELLO, MARIO ANDRES</author>
  </authors>
  <commentList>
    <comment ref="F6" authorId="0" shapeId="0">
      <text>
        <r>
          <rPr>
            <b/>
            <sz val="9"/>
            <color indexed="81"/>
            <rFont val="Tahoma"/>
            <family val="2"/>
          </rPr>
          <t>geraldine zuleta:</t>
        </r>
        <r>
          <rPr>
            <sz val="9"/>
            <color indexed="81"/>
            <rFont val="Tahoma"/>
            <family val="2"/>
          </rPr>
          <t xml:space="preserve">
RES N°2200 IND-ART
Res 2574-21 Modf Res 2200-21.</t>
        </r>
      </text>
    </comment>
    <comment ref="F8" authorId="1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 508
RES N° 1901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N°2918-21
Res N°3221-21
res N°15-2022
</t>
        </r>
      </text>
    </comment>
    <comment ref="F12" authorId="0" shapeId="0">
      <text>
        <r>
          <rPr>
            <b/>
            <sz val="9"/>
            <color indexed="81"/>
            <rFont val="Tahoma"/>
            <family val="2"/>
          </rPr>
          <t>geraldine zuleta:</t>
        </r>
        <r>
          <rPr>
            <sz val="9"/>
            <color indexed="81"/>
            <rFont val="Tahoma"/>
            <family val="2"/>
          </rPr>
          <t xml:space="preserve">
RES N° 1 ART-IND
Res N° 2563-21.</t>
        </r>
      </text>
    </comment>
    <comment ref="F15" authorId="1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N°3221-21
res N°15-2022</t>
        </r>
      </text>
    </comment>
    <comment ref="F20" authorId="1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N°1978 IND-ART
RES N°1819
CERTIFICADO N°54</t>
        </r>
      </text>
    </comment>
    <comment ref="F21" authorId="1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N°1982-21 deja sin efecto ltp clase B
Certificado N°59-2021</t>
        </r>
      </text>
    </comment>
    <comment ref="F25" authorId="1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N°3079-21</t>
        </r>
      </text>
    </comment>
    <comment ref="F28" authorId="1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 1901</t>
        </r>
      </text>
    </comment>
    <comment ref="F30" authorId="2" shapeId="0">
      <text>
        <r>
          <rPr>
            <b/>
            <sz val="9"/>
            <color indexed="81"/>
            <rFont val="Tahoma"/>
            <family val="2"/>
          </rPr>
          <t>nperez:</t>
        </r>
        <r>
          <rPr>
            <sz val="9"/>
            <color indexed="81"/>
            <rFont val="Tahoma"/>
            <family val="2"/>
          </rPr>
          <t xml:space="preserve">
Res N° 2563-21.</t>
        </r>
      </text>
    </comment>
    <comment ref="F34" authorId="1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N°2030-21 mod RES 3700-15</t>
        </r>
      </text>
    </comment>
    <comment ref="F36" authorId="1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 508</t>
        </r>
      </text>
    </comment>
    <comment ref="F38" authorId="1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N°2030-21 mod RES 3700-15</t>
        </r>
      </text>
    </comment>
    <comment ref="F40" authorId="1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N°1982-21 deja sin efecto ltp clase B</t>
        </r>
      </text>
    </comment>
    <comment ref="F41" authorId="1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Certificado N°59-202</t>
        </r>
      </text>
    </comment>
    <comment ref="F42" authorId="1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N°2918-21</t>
        </r>
      </text>
    </comment>
    <comment ref="F44" authorId="1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N°3079-21</t>
        </r>
      </text>
    </comment>
    <comment ref="F45" authorId="1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Certificado N°72</t>
        </r>
      </text>
    </comment>
    <comment ref="F46" authorId="1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N°1819
CERTIFICADO N°54</t>
        </r>
      </text>
    </comment>
    <comment ref="F50" authorId="1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 508
RES N° 1901</t>
        </r>
      </text>
    </comment>
    <comment ref="F51" authorId="3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CERTIFICADO N°66
Certificado N°69
Res N°2918-21
Res N°3221-21 (no tien saldo suficiente)
Certificado N°72-2021
res N°15-2022</t>
        </r>
      </text>
    </comment>
    <comment ref="F54" authorId="2" shapeId="0">
      <text>
        <r>
          <rPr>
            <b/>
            <sz val="9"/>
            <color indexed="81"/>
            <rFont val="Tahoma"/>
            <family val="2"/>
          </rPr>
          <t>nperez:</t>
        </r>
        <r>
          <rPr>
            <sz val="9"/>
            <color indexed="81"/>
            <rFont val="Tahoma"/>
            <family val="2"/>
          </rPr>
          <t xml:space="preserve">
Res N° 2563-21.</t>
        </r>
      </text>
    </comment>
    <comment ref="F57" authorId="1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N°3221-21
res N°15-2022</t>
        </r>
      </text>
    </comment>
    <comment ref="F62" authorId="1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N°1978 IND-ART
RES N°1819
CERTIFICADO N°54</t>
        </r>
      </text>
    </comment>
    <comment ref="F63" authorId="1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N°1982-21 deja sin efecto ltp clase B
Certificado 66-2021
Certificado N°59-2021
Certificado 69
</t>
        </r>
      </text>
    </comment>
    <comment ref="F67" authorId="1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N°3079-21 (no tiene saldo sufuciente)</t>
        </r>
      </text>
    </comment>
    <comment ref="F70" authorId="1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 1901</t>
        </r>
      </text>
    </comment>
    <comment ref="F72" authorId="2" shapeId="0">
      <text>
        <r>
          <rPr>
            <b/>
            <sz val="9"/>
            <color indexed="81"/>
            <rFont val="Tahoma"/>
            <family val="2"/>
          </rPr>
          <t>nperez:</t>
        </r>
        <r>
          <rPr>
            <sz val="9"/>
            <color indexed="81"/>
            <rFont val="Tahoma"/>
            <family val="2"/>
          </rPr>
          <t xml:space="preserve">
Res N° 2563-21.</t>
        </r>
      </text>
    </comment>
    <comment ref="F76" authorId="1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N°2030-21 mod RES 3700-15</t>
        </r>
      </text>
    </comment>
    <comment ref="F78" authorId="1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 508</t>
        </r>
      </text>
    </comment>
    <comment ref="F80" authorId="1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N°2030-21 mod RES 3700-15</t>
        </r>
      </text>
    </comment>
    <comment ref="F82" authorId="1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N°1982-21 deja sin efecto ltp clase B</t>
        </r>
      </text>
    </comment>
    <comment ref="F83" authorId="1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Certificado N°59
</t>
        </r>
      </text>
    </comment>
    <comment ref="F84" authorId="1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N°2918-21</t>
        </r>
      </text>
    </comment>
    <comment ref="F86" authorId="1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N°3079-21</t>
        </r>
      </text>
    </comment>
    <comment ref="F87" authorId="1" shapeId="0">
      <text>
        <r>
          <rPr>
            <b/>
            <sz val="9"/>
            <color indexed="81"/>
            <rFont val="Tahoma"/>
            <charset val="1"/>
          </rPr>
          <t>ZULETA ESPINOZA, GERALDINE:
Certificado N°73 (no tiene saldo suficiente)</t>
        </r>
      </text>
    </comment>
    <comment ref="F88" authorId="1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N°1819
CERTIFICADO N°54</t>
        </r>
      </text>
    </comment>
    <comment ref="F92" authorId="1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 508
RES N° 1901</t>
        </r>
      </text>
    </comment>
    <comment ref="F93" authorId="1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N°2918-21
Res N°3221-21
Certificado N°72-2021
res N°15-2022</t>
        </r>
      </text>
    </comment>
    <comment ref="F96" authorId="2" shapeId="0">
      <text>
        <r>
          <rPr>
            <b/>
            <sz val="9"/>
            <color indexed="81"/>
            <rFont val="Tahoma"/>
            <family val="2"/>
          </rPr>
          <t>nperez:</t>
        </r>
        <r>
          <rPr>
            <sz val="9"/>
            <color indexed="81"/>
            <rFont val="Tahoma"/>
            <family val="2"/>
          </rPr>
          <t xml:space="preserve">
Res N° 2563-21.</t>
        </r>
      </text>
    </comment>
    <comment ref="F98" authorId="0" shapeId="0">
      <text>
        <r>
          <rPr>
            <b/>
            <sz val="9"/>
            <color indexed="81"/>
            <rFont val="Tahoma"/>
            <family val="2"/>
          </rPr>
          <t>geraldine zuleta:</t>
        </r>
        <r>
          <rPr>
            <sz val="9"/>
            <color indexed="81"/>
            <rFont val="Tahoma"/>
            <family val="2"/>
          </rPr>
          <t xml:space="preserve">
Certificado N°6 Arrendamiento
Certificado N°9 Arrendamiento</t>
        </r>
      </text>
    </comment>
    <comment ref="F99" authorId="1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N°3221-21
res N°15-2022
</t>
        </r>
      </text>
    </comment>
    <comment ref="F104" authorId="1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N°1978 IND-ART
RES N°1819
CERTIFICADO N°54</t>
        </r>
      </text>
    </comment>
    <comment ref="F105" authorId="1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N°1982-21 deja sin efecto ltp clase B
Certificado N°59
</t>
        </r>
      </text>
    </comment>
    <comment ref="F109" authorId="1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N°3079-21</t>
        </r>
      </text>
    </comment>
    <comment ref="F112" authorId="1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 1901</t>
        </r>
      </text>
    </comment>
    <comment ref="F114" authorId="2" shapeId="0">
      <text>
        <r>
          <rPr>
            <b/>
            <sz val="9"/>
            <color indexed="81"/>
            <rFont val="Tahoma"/>
            <family val="2"/>
          </rPr>
          <t>nperez:</t>
        </r>
        <r>
          <rPr>
            <sz val="9"/>
            <color indexed="81"/>
            <rFont val="Tahoma"/>
            <family val="2"/>
          </rPr>
          <t xml:space="preserve">
Res N° 2563-21.</t>
        </r>
      </text>
    </comment>
    <comment ref="F118" authorId="1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N°2030-21 mod RES 3700-15</t>
        </r>
      </text>
    </comment>
    <comment ref="F120" authorId="1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N°1819
CERTIFICADO N°54</t>
        </r>
      </text>
    </comment>
    <comment ref="F122" authorId="0" shapeId="0">
      <text>
        <r>
          <rPr>
            <b/>
            <sz val="9"/>
            <color indexed="81"/>
            <rFont val="Tahoma"/>
            <family val="2"/>
          </rPr>
          <t>geraldine zuleta:</t>
        </r>
        <r>
          <rPr>
            <sz val="9"/>
            <color indexed="81"/>
            <rFont val="Tahoma"/>
            <family val="2"/>
          </rPr>
          <t xml:space="preserve">
Certificado N° 6 Arrendamiento</t>
        </r>
      </text>
    </comment>
    <comment ref="F124" authorId="1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 508</t>
        </r>
      </text>
    </comment>
    <comment ref="F126" authorId="1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N°2030-21 mod RES 3700-15</t>
        </r>
      </text>
    </comment>
    <comment ref="F128" authorId="1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 RES N°1982-21 deja sin efecto ltp clase B
Certificado N°59
</t>
        </r>
      </text>
    </comment>
    <comment ref="F130" authorId="1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N°2918-21</t>
        </r>
      </text>
    </comment>
    <comment ref="F132" authorId="1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N°3079-21</t>
        </r>
      </text>
    </comment>
    <comment ref="F133" authorId="1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Certificado N°72-2021</t>
        </r>
      </text>
    </comment>
    <comment ref="F134" authorId="2" shapeId="0">
      <text>
        <r>
          <rPr>
            <b/>
            <sz val="9"/>
            <color indexed="81"/>
            <rFont val="Tahoma"/>
            <family val="2"/>
          </rPr>
          <t>nperez:</t>
        </r>
        <r>
          <rPr>
            <sz val="9"/>
            <color indexed="81"/>
            <rFont val="Tahoma"/>
            <family val="2"/>
          </rPr>
          <t xml:space="preserve">
Certificado N°9 Arrendamiento</t>
        </r>
      </text>
    </comment>
  </commentList>
</comments>
</file>

<file path=xl/comments3.xml><?xml version="1.0" encoding="utf-8"?>
<comments xmlns="http://schemas.openxmlformats.org/spreadsheetml/2006/main">
  <authors>
    <author>ZULETA ESPINOZA, GERALDINE</author>
    <author>nperez</author>
    <author>geraldine zuleta</author>
  </authors>
  <commentList>
    <comment ref="F8" authorId="0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 508
RES N° 1901</t>
        </r>
      </text>
    </comment>
    <comment ref="F12" authorId="1" shapeId="0">
      <text>
        <r>
          <rPr>
            <b/>
            <sz val="9"/>
            <color indexed="81"/>
            <rFont val="Tahoma"/>
            <family val="2"/>
          </rPr>
          <t>nperez:</t>
        </r>
        <r>
          <rPr>
            <sz val="9"/>
            <color indexed="81"/>
            <rFont val="Tahoma"/>
            <family val="2"/>
          </rPr>
          <t xml:space="preserve">
Res N° 2563-21.</t>
        </r>
      </text>
    </comment>
    <comment ref="F20" authorId="0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N°1819
CERTIFICADO N°54
</t>
        </r>
      </text>
    </comment>
    <comment ref="F28" authorId="0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 1901</t>
        </r>
      </text>
    </comment>
    <comment ref="F30" authorId="1" shapeId="0">
      <text>
        <r>
          <rPr>
            <b/>
            <sz val="9"/>
            <color indexed="81"/>
            <rFont val="Tahoma"/>
            <family val="2"/>
          </rPr>
          <t>nperez:</t>
        </r>
        <r>
          <rPr>
            <sz val="9"/>
            <color indexed="81"/>
            <rFont val="Tahoma"/>
            <family val="2"/>
          </rPr>
          <t xml:space="preserve">
Res N° 2563-21.</t>
        </r>
      </text>
    </comment>
    <comment ref="F34" authorId="0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N°2030-21 mod RES 3700-15</t>
        </r>
      </text>
    </comment>
    <comment ref="F36" authorId="0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 508</t>
        </r>
      </text>
    </comment>
    <comment ref="F38" authorId="0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N°2030-21 mod RES 3700-15</t>
        </r>
      </text>
    </comment>
    <comment ref="F40" authorId="0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N°1819
CERTIFICADO N°54</t>
        </r>
      </text>
    </comment>
    <comment ref="F42" authorId="2" shapeId="0">
      <text>
        <r>
          <rPr>
            <b/>
            <sz val="9"/>
            <color indexed="81"/>
            <rFont val="Tahoma"/>
            <family val="2"/>
          </rPr>
          <t>geraldine zuleta:</t>
        </r>
        <r>
          <rPr>
            <sz val="9"/>
            <color indexed="81"/>
            <rFont val="Tahoma"/>
            <family val="2"/>
          </rPr>
          <t xml:space="preserve">
RES N°2200 IND-ART
Res 2574-21 Modf Res 2200-21.</t>
        </r>
      </text>
    </comment>
    <comment ref="F44" authorId="0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 508
RES N° 1901</t>
        </r>
      </text>
    </comment>
    <comment ref="F48" authorId="2" shapeId="0">
      <text>
        <r>
          <rPr>
            <b/>
            <sz val="9"/>
            <color indexed="81"/>
            <rFont val="Tahoma"/>
            <family val="2"/>
          </rPr>
          <t>geraldine zuleta:</t>
        </r>
        <r>
          <rPr>
            <sz val="9"/>
            <color indexed="81"/>
            <rFont val="Tahoma"/>
            <family val="2"/>
          </rPr>
          <t xml:space="preserve">
RES N° 1 ART-IND
Res N° 2563-21.</t>
        </r>
      </text>
    </comment>
    <comment ref="F56" authorId="0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N°1978 IND-ART
RES N°1819
CERTIFICADO N°54</t>
        </r>
      </text>
    </comment>
    <comment ref="F64" authorId="0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 1901</t>
        </r>
      </text>
    </comment>
    <comment ref="F66" authorId="1" shapeId="0">
      <text>
        <r>
          <rPr>
            <b/>
            <sz val="9"/>
            <color indexed="81"/>
            <rFont val="Tahoma"/>
            <family val="2"/>
          </rPr>
          <t>nperez:</t>
        </r>
        <r>
          <rPr>
            <sz val="9"/>
            <color indexed="81"/>
            <rFont val="Tahoma"/>
            <family val="2"/>
          </rPr>
          <t xml:space="preserve">
Res N° 2563-21.</t>
        </r>
      </text>
    </comment>
    <comment ref="F70" authorId="0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N°2030-21 mod RES 3700-15</t>
        </r>
      </text>
    </comment>
    <comment ref="F72" authorId="0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 508</t>
        </r>
      </text>
    </comment>
    <comment ref="F74" authorId="0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N°2030-21 mod RES 3700-15</t>
        </r>
      </text>
    </comment>
    <comment ref="F76" authorId="0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N°1819
CERTIFICADO N°54</t>
        </r>
      </text>
    </comment>
    <comment ref="F80" authorId="0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 508
RES N° 1901</t>
        </r>
      </text>
    </comment>
    <comment ref="F84" authorId="1" shapeId="0">
      <text>
        <r>
          <rPr>
            <b/>
            <sz val="9"/>
            <color indexed="81"/>
            <rFont val="Tahoma"/>
            <family val="2"/>
          </rPr>
          <t>nperez:</t>
        </r>
        <r>
          <rPr>
            <sz val="9"/>
            <color indexed="81"/>
            <rFont val="Tahoma"/>
            <family val="2"/>
          </rPr>
          <t xml:space="preserve">
Res N° 2563-21.</t>
        </r>
      </text>
    </comment>
    <comment ref="F92" authorId="0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N°1978 IND-ART
RES N°1819
CERTIFICADO N°54</t>
        </r>
      </text>
    </comment>
    <comment ref="F100" authorId="0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 1901</t>
        </r>
      </text>
    </comment>
    <comment ref="F102" authorId="1" shapeId="0">
      <text>
        <r>
          <rPr>
            <b/>
            <sz val="9"/>
            <color indexed="81"/>
            <rFont val="Tahoma"/>
            <family val="2"/>
          </rPr>
          <t>nperez:</t>
        </r>
        <r>
          <rPr>
            <sz val="9"/>
            <color indexed="81"/>
            <rFont val="Tahoma"/>
            <family val="2"/>
          </rPr>
          <t xml:space="preserve">
Res N° 2563-21.</t>
        </r>
      </text>
    </comment>
    <comment ref="F106" authorId="0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N°2030-21 mod RES 3700-15</t>
        </r>
      </text>
    </comment>
    <comment ref="F108" authorId="0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 508</t>
        </r>
      </text>
    </comment>
    <comment ref="F110" authorId="0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N°2030-21 mod RES 3700-15</t>
        </r>
      </text>
    </comment>
    <comment ref="F112" authorId="0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N°1819
CERTIFICADO N°54</t>
        </r>
      </text>
    </comment>
    <comment ref="F116" authorId="0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 508
RES N° 1901</t>
        </r>
      </text>
    </comment>
    <comment ref="F120" authorId="1" shapeId="0">
      <text>
        <r>
          <rPr>
            <b/>
            <sz val="9"/>
            <color indexed="81"/>
            <rFont val="Tahoma"/>
            <family val="2"/>
          </rPr>
          <t>nperez:</t>
        </r>
        <r>
          <rPr>
            <sz val="9"/>
            <color indexed="81"/>
            <rFont val="Tahoma"/>
            <family val="2"/>
          </rPr>
          <t xml:space="preserve">
Res N° 2563-21.</t>
        </r>
      </text>
    </comment>
    <comment ref="F128" authorId="0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N°1978 IND-ART
RES N°1819
CERTIFICADO N°54</t>
        </r>
      </text>
    </comment>
    <comment ref="F136" authorId="0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 1901</t>
        </r>
      </text>
    </comment>
    <comment ref="F138" authorId="1" shapeId="0">
      <text>
        <r>
          <rPr>
            <b/>
            <sz val="9"/>
            <color indexed="81"/>
            <rFont val="Tahoma"/>
            <family val="2"/>
          </rPr>
          <t>nperez:</t>
        </r>
        <r>
          <rPr>
            <sz val="9"/>
            <color indexed="81"/>
            <rFont val="Tahoma"/>
            <family val="2"/>
          </rPr>
          <t xml:space="preserve">
Res N° 2563-21.</t>
        </r>
      </text>
    </comment>
    <comment ref="F142" authorId="0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N°2030-21 mod RES 3700-15</t>
        </r>
      </text>
    </comment>
    <comment ref="F144" authorId="0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 508</t>
        </r>
      </text>
    </comment>
    <comment ref="F146" authorId="0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N°2030-21 mod RES 3700-15</t>
        </r>
      </text>
    </comment>
    <comment ref="F148" authorId="0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N°1819
CERTIFICADO N°54</t>
        </r>
      </text>
    </comment>
    <comment ref="F152" authorId="0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 508
RES N° 1901</t>
        </r>
      </text>
    </comment>
    <comment ref="F156" authorId="1" shapeId="0">
      <text>
        <r>
          <rPr>
            <b/>
            <sz val="9"/>
            <color indexed="81"/>
            <rFont val="Tahoma"/>
            <family val="2"/>
          </rPr>
          <t>nperez:</t>
        </r>
        <r>
          <rPr>
            <sz val="9"/>
            <color indexed="81"/>
            <rFont val="Tahoma"/>
            <family val="2"/>
          </rPr>
          <t xml:space="preserve">
Res N° 2563-21.</t>
        </r>
      </text>
    </comment>
    <comment ref="F158" authorId="2" shapeId="0">
      <text>
        <r>
          <rPr>
            <b/>
            <sz val="9"/>
            <color indexed="81"/>
            <rFont val="Tahoma"/>
            <family val="2"/>
          </rPr>
          <t>geraldine zuleta:</t>
        </r>
        <r>
          <rPr>
            <sz val="9"/>
            <color indexed="81"/>
            <rFont val="Tahoma"/>
            <family val="2"/>
          </rPr>
          <t xml:space="preserve">
Certificado N°6 Arrendamiento
Certificado N°9 Arrendamiento</t>
        </r>
      </text>
    </comment>
    <comment ref="F164" authorId="0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N°1978 IND-ART
RES N°1819
CERTIFICADO N°54</t>
        </r>
      </text>
    </comment>
    <comment ref="F172" authorId="0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 1901</t>
        </r>
      </text>
    </comment>
    <comment ref="F174" authorId="1" shapeId="0">
      <text>
        <r>
          <rPr>
            <b/>
            <sz val="9"/>
            <color indexed="81"/>
            <rFont val="Tahoma"/>
            <family val="2"/>
          </rPr>
          <t>nperez:</t>
        </r>
        <r>
          <rPr>
            <sz val="9"/>
            <color indexed="81"/>
            <rFont val="Tahoma"/>
            <family val="2"/>
          </rPr>
          <t xml:space="preserve">
Res N° 2563-21.</t>
        </r>
      </text>
    </comment>
    <comment ref="F178" authorId="0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N°2030-21 mod RES 3700-15</t>
        </r>
      </text>
    </comment>
    <comment ref="F180" authorId="0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N°1819
CERTIFICADO N°54</t>
        </r>
      </text>
    </comment>
    <comment ref="F182" authorId="2" shapeId="0">
      <text>
        <r>
          <rPr>
            <b/>
            <sz val="9"/>
            <color indexed="81"/>
            <rFont val="Tahoma"/>
            <family val="2"/>
          </rPr>
          <t>geraldine zuleta:</t>
        </r>
        <r>
          <rPr>
            <sz val="9"/>
            <color indexed="81"/>
            <rFont val="Tahoma"/>
            <family val="2"/>
          </rPr>
          <t xml:space="preserve">
Certificado N° 6 Arrendamiento</t>
        </r>
      </text>
    </comment>
    <comment ref="F184" authorId="0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 508</t>
        </r>
      </text>
    </comment>
    <comment ref="F186" authorId="0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N°2030-21 mod RES 3700-15</t>
        </r>
      </text>
    </comment>
    <comment ref="F188" authorId="1" shapeId="0">
      <text>
        <r>
          <rPr>
            <b/>
            <sz val="9"/>
            <color indexed="81"/>
            <rFont val="Tahoma"/>
            <family val="2"/>
          </rPr>
          <t>nperez:</t>
        </r>
        <r>
          <rPr>
            <sz val="9"/>
            <color indexed="81"/>
            <rFont val="Tahoma"/>
            <family val="2"/>
          </rPr>
          <t xml:space="preserve">
Certificado N°9 Arrendamiento</t>
        </r>
      </text>
    </comment>
    <comment ref="F192" authorId="0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 508
RES N° 1901</t>
        </r>
      </text>
    </comment>
    <comment ref="F196" authorId="1" shapeId="0">
      <text>
        <r>
          <rPr>
            <b/>
            <sz val="9"/>
            <color indexed="81"/>
            <rFont val="Tahoma"/>
            <family val="2"/>
          </rPr>
          <t>nperez:</t>
        </r>
        <r>
          <rPr>
            <sz val="9"/>
            <color indexed="81"/>
            <rFont val="Tahoma"/>
            <family val="2"/>
          </rPr>
          <t xml:space="preserve">
Res N° 2563-21.</t>
        </r>
      </text>
    </comment>
    <comment ref="F198" authorId="2" shapeId="0">
      <text>
        <r>
          <rPr>
            <b/>
            <sz val="9"/>
            <color indexed="81"/>
            <rFont val="Tahoma"/>
            <family val="2"/>
          </rPr>
          <t>geraldine zuleta:</t>
        </r>
        <r>
          <rPr>
            <sz val="9"/>
            <color indexed="81"/>
            <rFont val="Tahoma"/>
            <family val="2"/>
          </rPr>
          <t xml:space="preserve">
Certificado N°6 Arrendamiento
Certificado N°9 Arrendamiento</t>
        </r>
      </text>
    </comment>
    <comment ref="F204" authorId="0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N°1978 IND-ART
RES N°1819
CERTIFICADO N°54</t>
        </r>
      </text>
    </comment>
    <comment ref="F212" authorId="0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 1901</t>
        </r>
      </text>
    </comment>
    <comment ref="F214" authorId="1" shapeId="0">
      <text>
        <r>
          <rPr>
            <b/>
            <sz val="9"/>
            <color indexed="81"/>
            <rFont val="Tahoma"/>
            <family val="2"/>
          </rPr>
          <t>nperez:</t>
        </r>
        <r>
          <rPr>
            <sz val="9"/>
            <color indexed="81"/>
            <rFont val="Tahoma"/>
            <family val="2"/>
          </rPr>
          <t xml:space="preserve">
Res N° 2563-21.</t>
        </r>
      </text>
    </comment>
    <comment ref="F218" authorId="0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N°2030-21 mod RES 3700-15</t>
        </r>
      </text>
    </comment>
    <comment ref="F220" authorId="0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N°1819
CERTIFICADO N°54</t>
        </r>
      </text>
    </comment>
    <comment ref="F222" authorId="2" shapeId="0">
      <text>
        <r>
          <rPr>
            <b/>
            <sz val="9"/>
            <color indexed="81"/>
            <rFont val="Tahoma"/>
            <family val="2"/>
          </rPr>
          <t>geraldine zuleta:</t>
        </r>
        <r>
          <rPr>
            <sz val="9"/>
            <color indexed="81"/>
            <rFont val="Tahoma"/>
            <family val="2"/>
          </rPr>
          <t xml:space="preserve">
Certificado N°6 Arrendamiento</t>
        </r>
      </text>
    </comment>
    <comment ref="F224" authorId="0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 508</t>
        </r>
      </text>
    </comment>
    <comment ref="F226" authorId="0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N°2030-21 mod RES 3700-15</t>
        </r>
      </text>
    </comment>
    <comment ref="F228" authorId="1" shapeId="0">
      <text>
        <r>
          <rPr>
            <b/>
            <sz val="9"/>
            <color indexed="81"/>
            <rFont val="Tahoma"/>
            <family val="2"/>
          </rPr>
          <t>nperez:</t>
        </r>
        <r>
          <rPr>
            <sz val="9"/>
            <color indexed="81"/>
            <rFont val="Tahoma"/>
            <family val="2"/>
          </rPr>
          <t xml:space="preserve">
Certificado N°9 Arrendamiento</t>
        </r>
      </text>
    </comment>
  </commentList>
</comments>
</file>

<file path=xl/sharedStrings.xml><?xml version="1.0" encoding="utf-8"?>
<sst xmlns="http://schemas.openxmlformats.org/spreadsheetml/2006/main" count="3293" uniqueCount="205">
  <si>
    <t>UNIDAD DE PESQUERIA</t>
  </si>
  <si>
    <t>FRACCIONAMIENTO</t>
  </si>
  <si>
    <t>CUOTA ASIGNADA (TON)</t>
  </si>
  <si>
    <t>MOVIMIENTO (TON)</t>
  </si>
  <si>
    <t>CUOTA EFECTIVA (TON)</t>
  </si>
  <si>
    <t>CAPTURA (TON)</t>
  </si>
  <si>
    <t>SALDO (TON)</t>
  </si>
  <si>
    <t>% CONSUMIDO</t>
  </si>
  <si>
    <t>SECTOR</t>
  </si>
  <si>
    <t>ARTESANAL II</t>
  </si>
  <si>
    <t>ARTESANAL III</t>
  </si>
  <si>
    <t>ARTESANAL V</t>
  </si>
  <si>
    <t>ARTESANAL VI</t>
  </si>
  <si>
    <t>ARTESANAL VII</t>
  </si>
  <si>
    <t>ARTESANAL VIII</t>
  </si>
  <si>
    <t>FAUNA ACOMPAÑANTE</t>
  </si>
  <si>
    <t>FRACCION ARTESANAL</t>
  </si>
  <si>
    <t>FRACCIÓN INDUSTRIAL</t>
  </si>
  <si>
    <t>INVESTIGACIÓN II-VIII</t>
  </si>
  <si>
    <t>TOTALES</t>
  </si>
  <si>
    <t>CAMARON NAILON II-VIII</t>
  </si>
  <si>
    <t>ARTESANAL</t>
  </si>
  <si>
    <t>INDUSTRIAL</t>
  </si>
  <si>
    <t>REGIÓN</t>
  </si>
  <si>
    <t>ASIGNATARIO</t>
  </si>
  <si>
    <t>PERIODO</t>
  </si>
  <si>
    <t>FECHA CIERRE</t>
  </si>
  <si>
    <t>% CONSUMO</t>
  </si>
  <si>
    <t>II REGION DE ANTOFAGASTA</t>
  </si>
  <si>
    <t>III REGION DE ATACAMA</t>
  </si>
  <si>
    <t>IV REGION DE COQUIMBO</t>
  </si>
  <si>
    <t>V REGION DE VALPARAISO</t>
  </si>
  <si>
    <t>VI REGION DE O´HIGGINS</t>
  </si>
  <si>
    <t>VII REGION DEL MAULE</t>
  </si>
  <si>
    <t>VIII REGION DEL BIOBIO</t>
  </si>
  <si>
    <t>TITULAR DE CUOTA LTP</t>
  </si>
  <si>
    <t>ANTARTIC SEAFOOD S.A.</t>
  </si>
  <si>
    <t>QUINTERO S.A. PESQ.</t>
  </si>
  <si>
    <t>BAYCIC BAYCIC MARIA</t>
  </si>
  <si>
    <t>BRACPESCA S.A.</t>
  </si>
  <si>
    <t>CAMANCHACA PESCA SUR S.A.</t>
  </si>
  <si>
    <t>ANTONIO CRUZ CORDOVA NAKOUZI E.I.R.L.</t>
  </si>
  <si>
    <t>GRIMAR S.A. PESQ.</t>
  </si>
  <si>
    <t>ISLADAMAS S.A. PESQ.</t>
  </si>
  <si>
    <t>LANDES S.A. PESQ.</t>
  </si>
  <si>
    <t>ZUÑIGA ROMERO GONZALO</t>
  </si>
  <si>
    <t>MOROZIN YURECIC MARIO</t>
  </si>
  <si>
    <t>QUINTERO LTDA. SOC. PESQ.</t>
  </si>
  <si>
    <t>PACIFICBLU SPA.</t>
  </si>
  <si>
    <t>DA VENEZIA RETAMALES ANTONIO</t>
  </si>
  <si>
    <t>ENFERMAR LTDA. SOC. PESQ.</t>
  </si>
  <si>
    <t>RUBIO Y MAUAD LTDA.</t>
  </si>
  <si>
    <t>CAMARON NAILON II-III</t>
  </si>
  <si>
    <t>CAMARON NAILON IV</t>
  </si>
  <si>
    <t>CAMARON NAILON V</t>
  </si>
  <si>
    <t>CAMARON NAILON VI</t>
  </si>
  <si>
    <t>CAMARON NAILON VII</t>
  </si>
  <si>
    <t>CAMARON NAILON VIII</t>
  </si>
  <si>
    <t>PUNTA TALCA</t>
  </si>
  <si>
    <t>TRAUWUN I</t>
  </si>
  <si>
    <t>CHAFIC I</t>
  </si>
  <si>
    <t>ISLA TABON</t>
  </si>
  <si>
    <t>RESIDUAL</t>
  </si>
  <si>
    <t>ENE-JUL</t>
  </si>
  <si>
    <t>OCT-DIC</t>
  </si>
  <si>
    <t>ARTESANAL IV</t>
  </si>
  <si>
    <t>ENE-DIC</t>
  </si>
  <si>
    <t>unidad</t>
  </si>
  <si>
    <t>recurso</t>
  </si>
  <si>
    <t>zona</t>
  </si>
  <si>
    <t>tipo_asignatario</t>
  </si>
  <si>
    <t>organizacion_titular_area</t>
  </si>
  <si>
    <t>periodo_inicio</t>
  </si>
  <si>
    <t>periodo_final</t>
  </si>
  <si>
    <t>cuota</t>
  </si>
  <si>
    <t>cesiones_descuentos</t>
  </si>
  <si>
    <t>cuota_efectiva</t>
  </si>
  <si>
    <t>captura</t>
  </si>
  <si>
    <t>saldo</t>
  </si>
  <si>
    <t>consumo_porcentaje</t>
  </si>
  <si>
    <t>cierre</t>
  </si>
  <si>
    <t>preliminar</t>
  </si>
  <si>
    <t>año</t>
  </si>
  <si>
    <t>mensaje</t>
  </si>
  <si>
    <t>CAMARON NAILON</t>
  </si>
  <si>
    <t>II</t>
  </si>
  <si>
    <t>REGION</t>
  </si>
  <si>
    <t>ENERO</t>
  </si>
  <si>
    <t>JULIO</t>
  </si>
  <si>
    <t>OCTUBRE</t>
  </si>
  <si>
    <t>DICIEMBRE</t>
  </si>
  <si>
    <t>-</t>
  </si>
  <si>
    <t>III</t>
  </si>
  <si>
    <t>EMBARCACION</t>
  </si>
  <si>
    <t>IV</t>
  </si>
  <si>
    <t>V</t>
  </si>
  <si>
    <t>VI</t>
  </si>
  <si>
    <t>VII</t>
  </si>
  <si>
    <t>VIII</t>
  </si>
  <si>
    <t>II-III</t>
  </si>
  <si>
    <t>TITULAR LTP</t>
  </si>
  <si>
    <t>II-VIII</t>
  </si>
  <si>
    <t>TOTAL LTP</t>
  </si>
  <si>
    <t>TOTAL ASIGNATARIOS LTP</t>
  </si>
  <si>
    <t>TOTAL ARTESANAL</t>
  </si>
  <si>
    <t>TOTAL ASIGNATARIOS ARTESANAL</t>
  </si>
  <si>
    <t>5992 Ton</t>
  </si>
  <si>
    <t>JORGE COFRE TOLEDO</t>
  </si>
  <si>
    <t>N° Resolución</t>
  </si>
  <si>
    <t>RPA</t>
  </si>
  <si>
    <t>Embarcación</t>
  </si>
  <si>
    <t>Cuota</t>
  </si>
  <si>
    <t>Captura</t>
  </si>
  <si>
    <t>Saldo</t>
  </si>
  <si>
    <t>Consumo</t>
  </si>
  <si>
    <t>TOTAL</t>
  </si>
  <si>
    <t>CAPTURA TOTAL</t>
  </si>
  <si>
    <t>N° RESOLUCION</t>
  </si>
  <si>
    <t>EMBARCACION TITULAR</t>
  </si>
  <si>
    <t>CUOTA</t>
  </si>
  <si>
    <t>CAPTURA</t>
  </si>
  <si>
    <t>SALDO</t>
  </si>
  <si>
    <t>CONSUMO</t>
  </si>
  <si>
    <t>CONTROL PESCA DE INVESTIGACION</t>
  </si>
  <si>
    <t>CONTROL CESIONES DE CUOTAS INDIVIDUALES</t>
  </si>
  <si>
    <t>PESQUERA CMK LIMITADA</t>
  </si>
  <si>
    <t>CESIONES INDIVIDUALES</t>
  </si>
  <si>
    <t>CESIONES INDIVIDUALES 2021</t>
  </si>
  <si>
    <t>PESCA DE INVESTIGACIÓN</t>
  </si>
  <si>
    <t xml:space="preserve">LTP A </t>
  </si>
  <si>
    <t>LTP B</t>
  </si>
  <si>
    <t>LTP A +B</t>
  </si>
  <si>
    <t xml:space="preserve">TONELADAS </t>
  </si>
  <si>
    <t>Decreto Ex. N° DEXE 202000119</t>
  </si>
  <si>
    <t xml:space="preserve">CUOTA II-III REGIÓN </t>
  </si>
  <si>
    <t xml:space="preserve">TON </t>
  </si>
  <si>
    <t>TON</t>
  </si>
  <si>
    <t>CONTROL CUOTA GLOBAL CAMARON NAILON AÑO 2021 (Información Preliminar)</t>
  </si>
  <si>
    <t>N° doc</t>
  </si>
  <si>
    <t>Fecha</t>
  </si>
  <si>
    <t>DE -</t>
  </si>
  <si>
    <t>A+</t>
  </si>
  <si>
    <t>Coeficiente</t>
  </si>
  <si>
    <t>Total</t>
  </si>
  <si>
    <t>Detalle Negocios</t>
  </si>
  <si>
    <t>ENE-AGO</t>
  </si>
  <si>
    <t xml:space="preserve">FEBRERO </t>
  </si>
  <si>
    <t>Pesquera QUINTEROS</t>
  </si>
  <si>
    <t>COMERCIALIZADORA SIMON SEAFOOD LIMITADA</t>
  </si>
  <si>
    <t>14 Abr-13 May</t>
  </si>
  <si>
    <t>REGIÓN DE COQUIMBO</t>
  </si>
  <si>
    <t>Cierre</t>
  </si>
  <si>
    <t>% Consumo</t>
  </si>
  <si>
    <t>Saldo (T)</t>
  </si>
  <si>
    <t>Captura (T)</t>
  </si>
  <si>
    <t>Cuota Remanente (Ton)</t>
  </si>
  <si>
    <t>Periodo</t>
  </si>
  <si>
    <t>Asignatario</t>
  </si>
  <si>
    <t>Región</t>
  </si>
  <si>
    <t xml:space="preserve">Control de Cuotas Remanentes </t>
  </si>
  <si>
    <t>REGIÓN DE ATACAMA</t>
  </si>
  <si>
    <t>REGIÓN DE O´HIGGINS</t>
  </si>
  <si>
    <t>REGIÓN DEL MAULE</t>
  </si>
  <si>
    <t>REGIÓN DEL BIOBÍO</t>
  </si>
  <si>
    <t>REGIÓN DE ANTOFAGASTA</t>
  </si>
  <si>
    <t>POLUX</t>
  </si>
  <si>
    <t>ISLA ORCA</t>
  </si>
  <si>
    <t>MAORI</t>
  </si>
  <si>
    <t xml:space="preserve">ALTAIR </t>
  </si>
  <si>
    <t>CONTROL CUOTA CAMARON NAILON FRACCION ARTESANAL AÑO 2021</t>
  </si>
  <si>
    <t>CONTROL CUOTA CAMARON NAILON FRACCION INDUSTRIAL AÑO 2021</t>
  </si>
  <si>
    <t>SEPTIEMBRE</t>
  </si>
  <si>
    <t>BRACPESCA</t>
  </si>
  <si>
    <t>PACIFICBLU</t>
  </si>
  <si>
    <t>JUNIO</t>
  </si>
  <si>
    <t>QUINTERO S.A.</t>
  </si>
  <si>
    <t>QUINTERO LTDA</t>
  </si>
  <si>
    <t>PES. ENFEMAR</t>
  </si>
  <si>
    <t>PES. NORDIO</t>
  </si>
  <si>
    <t>ANTES</t>
  </si>
  <si>
    <t>SOCIEDAD PESQUERA NORDIO SpA</t>
  </si>
  <si>
    <t>PES. ISLA DAMAS</t>
  </si>
  <si>
    <t>RUBIO Y MAUAD LIMITADA</t>
  </si>
  <si>
    <t>CAMARON NAILON ANTOFAGASTA - COQUIMBO</t>
  </si>
  <si>
    <t>II-IV</t>
  </si>
  <si>
    <t>INDUSTRIAL LTP II-IV</t>
  </si>
  <si>
    <t>V-VI</t>
  </si>
  <si>
    <t>VII-VIII</t>
  </si>
  <si>
    <t>INDUSTRIAL LTP V-VI</t>
  </si>
  <si>
    <t>CAMARON NAILON VALPARAÍSO - O´HIGGINS</t>
  </si>
  <si>
    <t>INDUSTRIAL LTP VII-VIII</t>
  </si>
  <si>
    <t>CAMARON NAILON MAULE - BIOBÍO</t>
  </si>
  <si>
    <t>SOCIEDAD PESQUERA NORDIOMAR SpA</t>
  </si>
  <si>
    <t>julio</t>
  </si>
  <si>
    <t xml:space="preserve">pesq isla damas </t>
  </si>
  <si>
    <t>alimentos alsan</t>
  </si>
  <si>
    <t xml:space="preserve">ALIMENTOS ALSAN LIMITADA </t>
  </si>
  <si>
    <t>octubre</t>
  </si>
  <si>
    <t>pes quintero</t>
  </si>
  <si>
    <t>soc pesquera marlimar</t>
  </si>
  <si>
    <t xml:space="preserve">SOCIEDAD PESQUERA MARLIMAR </t>
  </si>
  <si>
    <t>noviembre</t>
  </si>
  <si>
    <t>MARIA ANA MOROZIN BAYCIC</t>
  </si>
  <si>
    <t>diciembre</t>
  </si>
  <si>
    <t xml:space="preserve">camanchaca pesca sur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</si>
</sst>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00"/>
    <numFmt numFmtId="165" formatCode="0.000%"/>
    <numFmt numFmtId="166" formatCode="yyyy/mm/dd;@"/>
    <numFmt numFmtId="167" formatCode="[$-F800]dddd\,\ mmmm\ dd\,\ yyyy"/>
    <numFmt numFmtId="168" formatCode="0.0%"/>
    <numFmt numFmtId="169" formatCode="0.00000"/>
    <numFmt numFmtId="170" formatCode="0.0000"/>
    <numFmt numFmtId="171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0000"/>
      <name val="Calibri"/>
      <family val="2"/>
    </font>
    <font>
      <b/>
      <sz val="9"/>
      <name val="Calibri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b/>
      <sz val="9"/>
      <color indexed="81"/>
      <name val="Tahoma"/>
      <charset val="1"/>
    </font>
  </fonts>
  <fills count="22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CCA7C"/>
        <bgColor indexed="64"/>
      </patternFill>
    </fill>
    <fill>
      <patternFill patternType="solid">
        <fgColor rgb="FF83BE5E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2CD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6">
    <xf numFmtId="0" fontId="0" fillId="0" borderId="0" xfId="0"/>
    <xf numFmtId="0" fontId="3" fillId="0" borderId="0" xfId="0" applyFont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64" fontId="3" fillId="5" borderId="1" xfId="0" applyNumberFormat="1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8" fontId="3" fillId="0" borderId="1" xfId="1" applyNumberFormat="1" applyFont="1" applyBorder="1" applyAlignment="1">
      <alignment horizontal="center" vertical="center"/>
    </xf>
    <xf numFmtId="168" fontId="2" fillId="0" borderId="1" xfId="1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8" fontId="3" fillId="0" borderId="1" xfId="1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9" fontId="4" fillId="0" borderId="1" xfId="1" applyFont="1" applyFill="1" applyBorder="1" applyAlignment="1">
      <alignment horizontal="center" vertical="center"/>
    </xf>
    <xf numFmtId="9" fontId="3" fillId="0" borderId="1" xfId="1" applyFont="1" applyBorder="1" applyAlignment="1">
      <alignment horizontal="center" vertical="center"/>
    </xf>
    <xf numFmtId="9" fontId="3" fillId="5" borderId="1" xfId="1" applyFont="1" applyFill="1" applyBorder="1" applyAlignment="1">
      <alignment horizontal="center" vertical="center"/>
    </xf>
    <xf numFmtId="9" fontId="3" fillId="0" borderId="0" xfId="1" applyFont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9" fontId="3" fillId="0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0" fontId="8" fillId="4" borderId="29" xfId="0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/>
    </xf>
    <xf numFmtId="0" fontId="8" fillId="4" borderId="3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64" fontId="9" fillId="0" borderId="17" xfId="0" applyNumberFormat="1" applyFont="1" applyFill="1" applyBorder="1" applyAlignment="1">
      <alignment horizontal="center" vertical="center"/>
    </xf>
    <xf numFmtId="164" fontId="9" fillId="0" borderId="18" xfId="0" applyNumberFormat="1" applyFont="1" applyBorder="1" applyAlignment="1">
      <alignment horizontal="center" vertical="center"/>
    </xf>
    <xf numFmtId="165" fontId="9" fillId="0" borderId="19" xfId="1" applyNumberFormat="1" applyFont="1" applyBorder="1" applyAlignment="1">
      <alignment horizontal="center" vertical="center"/>
    </xf>
    <xf numFmtId="164" fontId="9" fillId="0" borderId="20" xfId="0" applyNumberFormat="1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65" fontId="9" fillId="0" borderId="21" xfId="1" applyNumberFormat="1" applyFont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164" fontId="9" fillId="0" borderId="45" xfId="0" applyNumberFormat="1" applyFont="1" applyFill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165" fontId="9" fillId="0" borderId="46" xfId="1" applyNumberFormat="1" applyFont="1" applyBorder="1" applyAlignment="1">
      <alignment horizontal="center" vertical="center"/>
    </xf>
    <xf numFmtId="164" fontId="8" fillId="7" borderId="29" xfId="0" applyNumberFormat="1" applyFont="1" applyFill="1" applyBorder="1" applyAlignment="1">
      <alignment horizontal="center" vertical="center"/>
    </xf>
    <xf numFmtId="164" fontId="8" fillId="7" borderId="30" xfId="0" applyNumberFormat="1" applyFont="1" applyFill="1" applyBorder="1" applyAlignment="1">
      <alignment horizontal="center" vertical="center"/>
    </xf>
    <xf numFmtId="165" fontId="8" fillId="7" borderId="31" xfId="1" applyNumberFormat="1" applyFont="1" applyFill="1" applyBorder="1" applyAlignment="1">
      <alignment horizontal="center" vertical="center"/>
    </xf>
    <xf numFmtId="164" fontId="9" fillId="0" borderId="6" xfId="0" applyNumberFormat="1" applyFont="1" applyFill="1" applyBorder="1" applyAlignment="1">
      <alignment horizontal="center" vertical="center"/>
    </xf>
    <xf numFmtId="164" fontId="8" fillId="7" borderId="24" xfId="0" applyNumberFormat="1" applyFont="1" applyFill="1" applyBorder="1" applyAlignment="1">
      <alignment horizontal="center" vertical="center"/>
    </xf>
    <xf numFmtId="164" fontId="8" fillId="7" borderId="25" xfId="0" applyNumberFormat="1" applyFont="1" applyFill="1" applyBorder="1" applyAlignment="1">
      <alignment horizontal="center" vertical="center"/>
    </xf>
    <xf numFmtId="165" fontId="8" fillId="7" borderId="26" xfId="1" applyNumberFormat="1" applyFont="1" applyFill="1" applyBorder="1" applyAlignment="1">
      <alignment horizontal="center" vertical="center"/>
    </xf>
    <xf numFmtId="164" fontId="9" fillId="0" borderId="8" xfId="0" applyNumberFormat="1" applyFont="1" applyFill="1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 vertical="center"/>
    </xf>
    <xf numFmtId="165" fontId="9" fillId="0" borderId="28" xfId="1" applyNumberFormat="1" applyFont="1" applyBorder="1" applyAlignment="1">
      <alignment horizontal="center" vertical="center"/>
    </xf>
    <xf numFmtId="1" fontId="8" fillId="8" borderId="24" xfId="0" applyNumberFormat="1" applyFont="1" applyFill="1" applyBorder="1" applyAlignment="1">
      <alignment horizontal="center" vertical="center"/>
    </xf>
    <xf numFmtId="164" fontId="8" fillId="8" borderId="25" xfId="0" applyNumberFormat="1" applyFont="1" applyFill="1" applyBorder="1" applyAlignment="1">
      <alignment horizontal="center" vertical="center"/>
    </xf>
    <xf numFmtId="1" fontId="8" fillId="8" borderId="25" xfId="0" applyNumberFormat="1" applyFont="1" applyFill="1" applyBorder="1" applyAlignment="1">
      <alignment horizontal="center" vertical="center"/>
    </xf>
    <xf numFmtId="165" fontId="8" fillId="8" borderId="26" xfId="1" applyNumberFormat="1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164" fontId="3" fillId="10" borderId="1" xfId="0" applyNumberFormat="1" applyFont="1" applyFill="1" applyBorder="1" applyAlignment="1">
      <alignment horizontal="center" vertical="center"/>
    </xf>
    <xf numFmtId="0" fontId="2" fillId="8" borderId="17" xfId="0" applyFont="1" applyFill="1" applyBorder="1" applyAlignment="1">
      <alignment horizontal="center" vertical="center" wrapText="1"/>
    </xf>
    <xf numFmtId="0" fontId="2" fillId="8" borderId="18" xfId="0" applyFont="1" applyFill="1" applyBorder="1" applyAlignment="1">
      <alignment horizontal="center" vertical="center" wrapText="1"/>
    </xf>
    <xf numFmtId="9" fontId="2" fillId="8" borderId="18" xfId="1" applyFont="1" applyFill="1" applyBorder="1" applyAlignment="1">
      <alignment horizontal="center" vertical="center" wrapText="1"/>
    </xf>
    <xf numFmtId="0" fontId="2" fillId="8" borderId="19" xfId="0" applyFont="1" applyFill="1" applyBorder="1" applyAlignment="1">
      <alignment horizontal="center" vertical="center" wrapText="1"/>
    </xf>
    <xf numFmtId="165" fontId="3" fillId="10" borderId="21" xfId="1" applyNumberFormat="1" applyFont="1" applyFill="1" applyBorder="1" applyAlignment="1">
      <alignment horizontal="center" vertical="center"/>
    </xf>
    <xf numFmtId="164" fontId="2" fillId="0" borderId="25" xfId="0" applyNumberFormat="1" applyFont="1" applyFill="1" applyBorder="1" applyAlignment="1">
      <alignment horizontal="center" vertical="center"/>
    </xf>
    <xf numFmtId="165" fontId="2" fillId="0" borderId="25" xfId="1" applyNumberFormat="1" applyFont="1" applyBorder="1" applyAlignment="1">
      <alignment horizontal="center" vertical="center"/>
    </xf>
    <xf numFmtId="14" fontId="2" fillId="0" borderId="25" xfId="0" applyNumberFormat="1" applyFont="1" applyBorder="1" applyAlignment="1">
      <alignment horizontal="center" vertical="center"/>
    </xf>
    <xf numFmtId="164" fontId="2" fillId="10" borderId="25" xfId="0" applyNumberFormat="1" applyFont="1" applyFill="1" applyBorder="1" applyAlignment="1">
      <alignment horizontal="center" vertical="center"/>
    </xf>
    <xf numFmtId="165" fontId="2" fillId="10" borderId="26" xfId="1" applyNumberFormat="1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8" borderId="20" xfId="0" applyFont="1" applyFill="1" applyBorder="1" applyAlignment="1">
      <alignment horizontal="left" vertical="center"/>
    </xf>
    <xf numFmtId="164" fontId="3" fillId="11" borderId="1" xfId="0" applyNumberFormat="1" applyFont="1" applyFill="1" applyBorder="1" applyAlignment="1">
      <alignment horizontal="center" vertical="center"/>
    </xf>
    <xf numFmtId="164" fontId="2" fillId="11" borderId="25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wrapText="1"/>
    </xf>
    <xf numFmtId="164" fontId="9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165" fontId="9" fillId="0" borderId="1" xfId="1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9" fillId="0" borderId="18" xfId="0" applyNumberFormat="1" applyFont="1" applyFill="1" applyBorder="1" applyAlignment="1">
      <alignment horizontal="center" vertical="center" wrapText="1"/>
    </xf>
    <xf numFmtId="164" fontId="9" fillId="0" borderId="18" xfId="0" applyNumberFormat="1" applyFont="1" applyBorder="1" applyAlignment="1">
      <alignment horizontal="center" vertical="center" wrapText="1"/>
    </xf>
    <xf numFmtId="165" fontId="9" fillId="0" borderId="18" xfId="1" applyNumberFormat="1" applyFont="1" applyBorder="1" applyAlignment="1">
      <alignment horizontal="center" vertical="center" wrapText="1"/>
    </xf>
    <xf numFmtId="164" fontId="9" fillId="0" borderId="25" xfId="0" applyNumberFormat="1" applyFont="1" applyFill="1" applyBorder="1" applyAlignment="1">
      <alignment horizontal="center" vertical="center" wrapText="1"/>
    </xf>
    <xf numFmtId="164" fontId="9" fillId="0" borderId="25" xfId="0" applyNumberFormat="1" applyFont="1" applyBorder="1" applyAlignment="1">
      <alignment horizontal="center" vertical="center" wrapText="1"/>
    </xf>
    <xf numFmtId="165" fontId="9" fillId="0" borderId="25" xfId="1" applyNumberFormat="1" applyFont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9" fontId="8" fillId="3" borderId="30" xfId="1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164" fontId="8" fillId="3" borderId="30" xfId="0" applyNumberFormat="1" applyFont="1" applyFill="1" applyBorder="1" applyAlignment="1">
      <alignment horizontal="center" vertical="center" wrapText="1"/>
    </xf>
    <xf numFmtId="165" fontId="8" fillId="3" borderId="30" xfId="1" applyNumberFormat="1" applyFont="1" applyFill="1" applyBorder="1" applyAlignment="1">
      <alignment horizontal="center" vertical="center" wrapText="1"/>
    </xf>
    <xf numFmtId="10" fontId="8" fillId="3" borderId="31" xfId="1" applyNumberFormat="1" applyFont="1" applyFill="1" applyBorder="1" applyAlignment="1">
      <alignment horizontal="center" vertical="center" wrapText="1"/>
    </xf>
    <xf numFmtId="0" fontId="9" fillId="9" borderId="18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9" fillId="9" borderId="25" xfId="0" applyFont="1" applyFill="1" applyBorder="1" applyAlignment="1">
      <alignment horizontal="center" vertical="center" wrapText="1"/>
    </xf>
    <xf numFmtId="0" fontId="9" fillId="8" borderId="18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25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12" borderId="18" xfId="0" applyFont="1" applyFill="1" applyBorder="1" applyAlignment="1">
      <alignment horizontal="center" vertical="center" wrapText="1"/>
    </xf>
    <xf numFmtId="0" fontId="9" fillId="12" borderId="1" xfId="0" applyFont="1" applyFill="1" applyBorder="1" applyAlignment="1">
      <alignment horizontal="center" vertical="center" wrapText="1"/>
    </xf>
    <xf numFmtId="0" fontId="9" fillId="12" borderId="25" xfId="0" applyFont="1" applyFill="1" applyBorder="1" applyAlignment="1">
      <alignment horizontal="center" vertical="center" wrapText="1"/>
    </xf>
    <xf numFmtId="0" fontId="9" fillId="13" borderId="18" xfId="0" applyFont="1" applyFill="1" applyBorder="1" applyAlignment="1">
      <alignment horizontal="center" vertical="center" wrapText="1"/>
    </xf>
    <xf numFmtId="0" fontId="9" fillId="13" borderId="1" xfId="0" applyFont="1" applyFill="1" applyBorder="1" applyAlignment="1">
      <alignment horizontal="center" vertical="center" wrapText="1"/>
    </xf>
    <xf numFmtId="0" fontId="9" fillId="13" borderId="25" xfId="0" applyFont="1" applyFill="1" applyBorder="1" applyAlignment="1">
      <alignment horizontal="center" vertical="center" wrapText="1"/>
    </xf>
    <xf numFmtId="164" fontId="9" fillId="11" borderId="18" xfId="0" applyNumberFormat="1" applyFont="1" applyFill="1" applyBorder="1" applyAlignment="1">
      <alignment horizontal="center" vertical="center" wrapText="1"/>
    </xf>
    <xf numFmtId="164" fontId="9" fillId="11" borderId="1" xfId="0" applyNumberFormat="1" applyFont="1" applyFill="1" applyBorder="1" applyAlignment="1">
      <alignment horizontal="center" vertical="center" wrapText="1"/>
    </xf>
    <xf numFmtId="164" fontId="9" fillId="11" borderId="25" xfId="0" applyNumberFormat="1" applyFont="1" applyFill="1" applyBorder="1" applyAlignment="1">
      <alignment horizontal="center" vertical="center" wrapText="1"/>
    </xf>
    <xf numFmtId="0" fontId="0" fillId="6" borderId="0" xfId="0" applyFill="1"/>
    <xf numFmtId="0" fontId="8" fillId="3" borderId="51" xfId="0" applyFont="1" applyFill="1" applyBorder="1" applyAlignment="1">
      <alignment horizontal="center" vertical="center" wrapText="1"/>
    </xf>
    <xf numFmtId="0" fontId="8" fillId="3" borderId="52" xfId="0" applyFont="1" applyFill="1" applyBorder="1" applyAlignment="1">
      <alignment horizontal="center" vertical="center" wrapText="1"/>
    </xf>
    <xf numFmtId="0" fontId="0" fillId="6" borderId="35" xfId="0" applyFill="1" applyBorder="1"/>
    <xf numFmtId="0" fontId="8" fillId="6" borderId="31" xfId="0" applyFont="1" applyFill="1" applyBorder="1" applyAlignment="1">
      <alignment horizontal="center" vertical="center" wrapText="1"/>
    </xf>
    <xf numFmtId="1" fontId="0" fillId="0" borderId="0" xfId="0" applyNumberFormat="1"/>
    <xf numFmtId="14" fontId="2" fillId="11" borderId="1" xfId="0" applyNumberFormat="1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left" vertical="center"/>
    </xf>
    <xf numFmtId="0" fontId="8" fillId="8" borderId="32" xfId="0" applyFont="1" applyFill="1" applyBorder="1" applyAlignment="1">
      <alignment horizontal="left" vertical="center"/>
    </xf>
    <xf numFmtId="0" fontId="8" fillId="8" borderId="34" xfId="0" applyFont="1" applyFill="1" applyBorder="1" applyAlignment="1">
      <alignment horizontal="left" vertical="center"/>
    </xf>
    <xf numFmtId="9" fontId="3" fillId="0" borderId="0" xfId="0" applyNumberFormat="1" applyFont="1" applyAlignment="1">
      <alignment horizontal="center" vertical="center"/>
    </xf>
    <xf numFmtId="9" fontId="9" fillId="0" borderId="0" xfId="0" applyNumberFormat="1" applyFont="1" applyAlignment="1">
      <alignment horizontal="center" vertical="center"/>
    </xf>
    <xf numFmtId="0" fontId="7" fillId="14" borderId="17" xfId="0" applyFont="1" applyFill="1" applyBorder="1"/>
    <xf numFmtId="0" fontId="7" fillId="14" borderId="18" xfId="0" applyFont="1" applyFill="1" applyBorder="1"/>
    <xf numFmtId="0" fontId="7" fillId="14" borderId="19" xfId="0" applyFont="1" applyFill="1" applyBorder="1"/>
    <xf numFmtId="0" fontId="7" fillId="14" borderId="20" xfId="0" applyFont="1" applyFill="1" applyBorder="1"/>
    <xf numFmtId="0" fontId="7" fillId="14" borderId="1" xfId="0" applyFont="1" applyFill="1" applyBorder="1"/>
    <xf numFmtId="0" fontId="7" fillId="14" borderId="21" xfId="0" applyFont="1" applyFill="1" applyBorder="1"/>
    <xf numFmtId="0" fontId="7" fillId="14" borderId="33" xfId="0" applyFont="1" applyFill="1" applyBorder="1"/>
    <xf numFmtId="0" fontId="7" fillId="14" borderId="25" xfId="0" applyFont="1" applyFill="1" applyBorder="1"/>
    <xf numFmtId="0" fontId="7" fillId="14" borderId="26" xfId="0" applyFont="1" applyFill="1" applyBorder="1"/>
    <xf numFmtId="0" fontId="7" fillId="16" borderId="33" xfId="0" applyFont="1" applyFill="1" applyBorder="1"/>
    <xf numFmtId="0" fontId="7" fillId="16" borderId="25" xfId="0" applyFont="1" applyFill="1" applyBorder="1"/>
    <xf numFmtId="0" fontId="7" fillId="16" borderId="26" xfId="0" applyFont="1" applyFill="1" applyBorder="1"/>
    <xf numFmtId="0" fontId="0" fillId="0" borderId="54" xfId="0" applyBorder="1" applyAlignment="1">
      <alignment horizontal="center" vertical="center"/>
    </xf>
    <xf numFmtId="14" fontId="0" fillId="0" borderId="54" xfId="0" applyNumberFormat="1" applyBorder="1" applyAlignment="1">
      <alignment horizontal="center" vertical="center"/>
    </xf>
    <xf numFmtId="164" fontId="0" fillId="0" borderId="54" xfId="0" applyNumberFormat="1" applyBorder="1" applyAlignment="1">
      <alignment horizontal="center" vertical="center"/>
    </xf>
    <xf numFmtId="0" fontId="0" fillId="0" borderId="7" xfId="0" applyBorder="1"/>
    <xf numFmtId="164" fontId="0" fillId="0" borderId="7" xfId="0" applyNumberFormat="1" applyBorder="1" applyAlignment="1">
      <alignment horizontal="center"/>
    </xf>
    <xf numFmtId="0" fontId="7" fillId="14" borderId="56" xfId="0" applyFont="1" applyFill="1" applyBorder="1"/>
    <xf numFmtId="0" fontId="7" fillId="14" borderId="5" xfId="0" applyFont="1" applyFill="1" applyBorder="1"/>
    <xf numFmtId="170" fontId="0" fillId="0" borderId="54" xfId="0" applyNumberForma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1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9" fillId="13" borderId="1" xfId="0" applyFont="1" applyFill="1" applyBorder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2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9" fontId="0" fillId="0" borderId="2" xfId="1" applyFont="1" applyBorder="1" applyAlignment="1">
      <alignment horizontal="center" vertical="center" wrapText="1"/>
    </xf>
    <xf numFmtId="0" fontId="0" fillId="0" borderId="47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9" fontId="0" fillId="0" borderId="3" xfId="1" applyFont="1" applyBorder="1" applyAlignment="1">
      <alignment horizontal="center" vertical="center" wrapText="1"/>
    </xf>
    <xf numFmtId="0" fontId="7" fillId="9" borderId="48" xfId="0" applyFont="1" applyFill="1" applyBorder="1" applyAlignment="1">
      <alignment horizontal="center" vertical="center" wrapText="1"/>
    </xf>
    <xf numFmtId="0" fontId="7" fillId="9" borderId="53" xfId="0" applyFont="1" applyFill="1" applyBorder="1" applyAlignment="1">
      <alignment horizontal="center" vertical="center" wrapText="1"/>
    </xf>
    <xf numFmtId="0" fontId="7" fillId="9" borderId="57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9" fontId="0" fillId="0" borderId="4" xfId="1" applyFont="1" applyBorder="1" applyAlignment="1">
      <alignment horizontal="center" vertical="center" wrapText="1"/>
    </xf>
    <xf numFmtId="0" fontId="0" fillId="0" borderId="29" xfId="0" applyFont="1" applyFill="1" applyBorder="1" applyAlignment="1">
      <alignment horizontal="center" vertical="center" wrapText="1"/>
    </xf>
    <xf numFmtId="0" fontId="0" fillId="0" borderId="30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164" fontId="0" fillId="0" borderId="30" xfId="0" applyNumberFormat="1" applyFont="1" applyFill="1" applyBorder="1" applyAlignment="1">
      <alignment horizontal="center" vertical="center" wrapText="1"/>
    </xf>
    <xf numFmtId="9" fontId="0" fillId="0" borderId="30" xfId="1" applyFont="1" applyFill="1" applyBorder="1" applyAlignment="1">
      <alignment horizontal="center" vertical="center" wrapText="1"/>
    </xf>
    <xf numFmtId="0" fontId="0" fillId="0" borderId="29" xfId="0" applyBorder="1" applyAlignment="1">
      <alignment vertical="center" wrapText="1"/>
    </xf>
    <xf numFmtId="164" fontId="0" fillId="0" borderId="30" xfId="0" applyNumberFormat="1" applyBorder="1" applyAlignment="1">
      <alignment horizontal="center" vertical="center" wrapText="1"/>
    </xf>
    <xf numFmtId="9" fontId="0" fillId="0" borderId="30" xfId="1" applyFont="1" applyBorder="1" applyAlignment="1">
      <alignment horizontal="center" vertical="center" wrapText="1"/>
    </xf>
    <xf numFmtId="0" fontId="0" fillId="0" borderId="48" xfId="0" applyFont="1" applyFill="1" applyBorder="1" applyAlignment="1">
      <alignment horizontal="center" vertical="center" wrapText="1"/>
    </xf>
    <xf numFmtId="0" fontId="0" fillId="0" borderId="53" xfId="0" applyFont="1" applyFill="1" applyBorder="1" applyAlignment="1">
      <alignment horizontal="center" vertical="center" wrapText="1"/>
    </xf>
    <xf numFmtId="164" fontId="0" fillId="0" borderId="53" xfId="0" applyNumberFormat="1" applyFont="1" applyFill="1" applyBorder="1" applyAlignment="1">
      <alignment horizontal="center" vertical="center" wrapText="1"/>
    </xf>
    <xf numFmtId="9" fontId="0" fillId="0" borderId="53" xfId="1" applyFont="1" applyFill="1" applyBorder="1" applyAlignment="1">
      <alignment horizontal="center" vertical="center" wrapText="1"/>
    </xf>
    <xf numFmtId="14" fontId="0" fillId="0" borderId="57" xfId="0" applyNumberFormat="1" applyFont="1" applyFill="1" applyBorder="1" applyAlignment="1">
      <alignment horizontal="center" vertical="center" wrapText="1"/>
    </xf>
    <xf numFmtId="14" fontId="0" fillId="0" borderId="26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64" fontId="0" fillId="0" borderId="7" xfId="0" applyNumberFormat="1" applyBorder="1"/>
    <xf numFmtId="0" fontId="9" fillId="1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12" borderId="1" xfId="0" applyFont="1" applyFill="1" applyBorder="1" applyAlignment="1">
      <alignment horizontal="center" vertical="center" wrapText="1"/>
    </xf>
    <xf numFmtId="169" fontId="9" fillId="0" borderId="0" xfId="0" applyNumberFormat="1" applyFont="1" applyAlignment="1">
      <alignment wrapText="1"/>
    </xf>
    <xf numFmtId="0" fontId="0" fillId="16" borderId="7" xfId="0" applyFill="1" applyBorder="1"/>
    <xf numFmtId="164" fontId="0" fillId="16" borderId="7" xfId="0" applyNumberFormat="1" applyFill="1" applyBorder="1"/>
    <xf numFmtId="0" fontId="0" fillId="3" borderId="7" xfId="0" applyFill="1" applyBorder="1"/>
    <xf numFmtId="164" fontId="0" fillId="3" borderId="7" xfId="0" applyNumberFormat="1" applyFill="1" applyBorder="1"/>
    <xf numFmtId="0" fontId="0" fillId="17" borderId="55" xfId="0" applyFill="1" applyBorder="1"/>
    <xf numFmtId="164" fontId="0" fillId="17" borderId="7" xfId="0" applyNumberFormat="1" applyFill="1" applyBorder="1"/>
    <xf numFmtId="0" fontId="0" fillId="18" borderId="0" xfId="0" applyFill="1"/>
    <xf numFmtId="164" fontId="0" fillId="0" borderId="1" xfId="0" applyNumberFormat="1" applyFill="1" applyBorder="1"/>
    <xf numFmtId="164" fontId="0" fillId="18" borderId="0" xfId="0" applyNumberFormat="1" applyFill="1"/>
    <xf numFmtId="0" fontId="0" fillId="0" borderId="6" xfId="0" applyFill="1" applyBorder="1"/>
    <xf numFmtId="0" fontId="9" fillId="4" borderId="1" xfId="0" applyFont="1" applyFill="1" applyBorder="1" applyAlignment="1">
      <alignment horizontal="center" vertical="center" wrapText="1"/>
    </xf>
    <xf numFmtId="0" fontId="9" fillId="13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18" xfId="0" applyFont="1" applyFill="1" applyBorder="1" applyAlignment="1">
      <alignment horizontal="center" vertical="center" wrapText="1"/>
    </xf>
    <xf numFmtId="0" fontId="9" fillId="13" borderId="18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9" fillId="8" borderId="25" xfId="0" applyFont="1" applyFill="1" applyBorder="1" applyAlignment="1">
      <alignment horizontal="center" vertical="center" wrapText="1"/>
    </xf>
    <xf numFmtId="171" fontId="9" fillId="0" borderId="1" xfId="0" applyNumberFormat="1" applyFont="1" applyFill="1" applyBorder="1" applyAlignment="1">
      <alignment horizontal="center" vertical="center" wrapText="1"/>
    </xf>
    <xf numFmtId="164" fontId="9" fillId="19" borderId="1" xfId="0" applyNumberFormat="1" applyFont="1" applyFill="1" applyBorder="1" applyAlignment="1">
      <alignment horizontal="center" wrapText="1"/>
    </xf>
    <xf numFmtId="2" fontId="9" fillId="0" borderId="44" xfId="0" applyNumberFormat="1" applyFont="1" applyFill="1" applyBorder="1" applyAlignment="1">
      <alignment horizontal="center" vertical="center"/>
    </xf>
    <xf numFmtId="164" fontId="9" fillId="9" borderId="1" xfId="0" applyNumberFormat="1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164" fontId="9" fillId="20" borderId="1" xfId="0" applyNumberFormat="1" applyFont="1" applyFill="1" applyBorder="1" applyAlignment="1">
      <alignment horizontal="center" wrapText="1"/>
    </xf>
    <xf numFmtId="164" fontId="9" fillId="21" borderId="1" xfId="0" applyNumberFormat="1" applyFont="1" applyFill="1" applyBorder="1" applyAlignment="1">
      <alignment horizontal="center" wrapText="1"/>
    </xf>
    <xf numFmtId="164" fontId="9" fillId="10" borderId="1" xfId="0" applyNumberFormat="1" applyFont="1" applyFill="1" applyBorder="1" applyAlignment="1">
      <alignment horizontal="center" wrapText="1"/>
    </xf>
    <xf numFmtId="2" fontId="9" fillId="0" borderId="6" xfId="0" applyNumberFormat="1" applyFont="1" applyFill="1" applyBorder="1" applyAlignment="1">
      <alignment horizontal="center" vertical="center"/>
    </xf>
    <xf numFmtId="165" fontId="9" fillId="0" borderId="18" xfId="1" applyNumberFormat="1" applyFont="1" applyFill="1" applyBorder="1" applyAlignment="1">
      <alignment horizontal="center" vertical="center" wrapText="1"/>
    </xf>
    <xf numFmtId="165" fontId="9" fillId="0" borderId="1" xfId="1" applyNumberFormat="1" applyFont="1" applyFill="1" applyBorder="1" applyAlignment="1">
      <alignment horizontal="center" vertical="center" wrapText="1"/>
    </xf>
    <xf numFmtId="165" fontId="9" fillId="0" borderId="25" xfId="1" applyNumberFormat="1" applyFont="1" applyFill="1" applyBorder="1" applyAlignment="1">
      <alignment horizontal="center" vertical="center" wrapText="1"/>
    </xf>
    <xf numFmtId="1" fontId="9" fillId="9" borderId="1" xfId="0" applyNumberFormat="1" applyFont="1" applyFill="1" applyBorder="1" applyAlignment="1">
      <alignment horizontal="center" wrapText="1"/>
    </xf>
    <xf numFmtId="0" fontId="9" fillId="14" borderId="1" xfId="0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 vertical="center"/>
    </xf>
    <xf numFmtId="164" fontId="9" fillId="2" borderId="18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13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170" fontId="0" fillId="0" borderId="0" xfId="0" applyNumberFormat="1"/>
    <xf numFmtId="0" fontId="8" fillId="8" borderId="41" xfId="0" applyFont="1" applyFill="1" applyBorder="1" applyAlignment="1">
      <alignment horizontal="center" vertical="center"/>
    </xf>
    <xf numFmtId="0" fontId="8" fillId="8" borderId="42" xfId="0" applyFont="1" applyFill="1" applyBorder="1" applyAlignment="1">
      <alignment horizontal="center" vertical="center"/>
    </xf>
    <xf numFmtId="0" fontId="8" fillId="8" borderId="43" xfId="0" applyFont="1" applyFill="1" applyBorder="1" applyAlignment="1">
      <alignment horizontal="center" vertical="center"/>
    </xf>
    <xf numFmtId="0" fontId="8" fillId="8" borderId="35" xfId="0" applyFont="1" applyFill="1" applyBorder="1" applyAlignment="1">
      <alignment horizontal="center" vertical="center"/>
    </xf>
    <xf numFmtId="0" fontId="8" fillId="8" borderId="36" xfId="0" applyFont="1" applyFill="1" applyBorder="1" applyAlignment="1">
      <alignment horizontal="center" vertical="center"/>
    </xf>
    <xf numFmtId="0" fontId="8" fillId="8" borderId="10" xfId="0" applyFont="1" applyFill="1" applyBorder="1" applyAlignment="1">
      <alignment horizontal="center" vertical="center"/>
    </xf>
    <xf numFmtId="0" fontId="7" fillId="8" borderId="11" xfId="0" applyFont="1" applyFill="1" applyBorder="1" applyAlignment="1">
      <alignment horizontal="center" vertical="center"/>
    </xf>
    <xf numFmtId="0" fontId="7" fillId="8" borderId="12" xfId="0" applyFont="1" applyFill="1" applyBorder="1" applyAlignment="1">
      <alignment horizontal="center" vertical="center"/>
    </xf>
    <xf numFmtId="0" fontId="7" fillId="8" borderId="13" xfId="0" applyFont="1" applyFill="1" applyBorder="1" applyAlignment="1">
      <alignment horizontal="center" vertical="center"/>
    </xf>
    <xf numFmtId="167" fontId="7" fillId="8" borderId="14" xfId="0" applyNumberFormat="1" applyFont="1" applyFill="1" applyBorder="1" applyAlignment="1">
      <alignment horizontal="center" vertical="center"/>
    </xf>
    <xf numFmtId="167" fontId="7" fillId="8" borderId="15" xfId="0" applyNumberFormat="1" applyFont="1" applyFill="1" applyBorder="1" applyAlignment="1">
      <alignment horizontal="center" vertical="center"/>
    </xf>
    <xf numFmtId="167" fontId="7" fillId="8" borderId="16" xfId="0" applyNumberFormat="1" applyFont="1" applyFill="1" applyBorder="1" applyAlignment="1">
      <alignment horizontal="center" vertical="center"/>
    </xf>
    <xf numFmtId="0" fontId="8" fillId="8" borderId="14" xfId="0" applyFont="1" applyFill="1" applyBorder="1" applyAlignment="1">
      <alignment horizontal="center" vertical="center"/>
    </xf>
    <xf numFmtId="0" fontId="8" fillId="8" borderId="16" xfId="0" applyFont="1" applyFill="1" applyBorder="1" applyAlignment="1">
      <alignment horizontal="center" vertical="center"/>
    </xf>
    <xf numFmtId="0" fontId="8" fillId="8" borderId="37" xfId="0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2" fillId="8" borderId="22" xfId="0" applyFont="1" applyFill="1" applyBorder="1" applyAlignment="1">
      <alignment horizontal="center" vertical="center"/>
    </xf>
    <xf numFmtId="0" fontId="2" fillId="8" borderId="23" xfId="0" applyFont="1" applyFill="1" applyBorder="1" applyAlignment="1">
      <alignment horizontal="center" vertical="center"/>
    </xf>
    <xf numFmtId="0" fontId="2" fillId="8" borderId="24" xfId="0" applyFont="1" applyFill="1" applyBorder="1" applyAlignment="1">
      <alignment horizontal="center" vertical="center"/>
    </xf>
    <xf numFmtId="164" fontId="3" fillId="10" borderId="2" xfId="0" applyNumberFormat="1" applyFont="1" applyFill="1" applyBorder="1" applyAlignment="1">
      <alignment horizontal="center" vertical="center"/>
    </xf>
    <xf numFmtId="164" fontId="3" fillId="10" borderId="4" xfId="0" applyNumberFormat="1" applyFont="1" applyFill="1" applyBorder="1" applyAlignment="1">
      <alignment horizontal="center" vertical="center"/>
    </xf>
    <xf numFmtId="0" fontId="2" fillId="8" borderId="45" xfId="0" applyFont="1" applyFill="1" applyBorder="1" applyAlignment="1">
      <alignment horizontal="left" vertical="center"/>
    </xf>
    <xf numFmtId="0" fontId="2" fillId="8" borderId="27" xfId="0" applyFont="1" applyFill="1" applyBorder="1" applyAlignment="1">
      <alignment horizontal="left" vertical="center"/>
    </xf>
    <xf numFmtId="0" fontId="2" fillId="8" borderId="2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165" fontId="3" fillId="10" borderId="46" xfId="1" applyNumberFormat="1" applyFont="1" applyFill="1" applyBorder="1" applyAlignment="1">
      <alignment horizontal="center" vertical="center"/>
    </xf>
    <xf numFmtId="165" fontId="3" fillId="10" borderId="28" xfId="1" applyNumberFormat="1" applyFont="1" applyFill="1" applyBorder="1" applyAlignment="1">
      <alignment horizontal="center" vertical="center"/>
    </xf>
    <xf numFmtId="0" fontId="2" fillId="8" borderId="47" xfId="0" applyFont="1" applyFill="1" applyBorder="1" applyAlignment="1">
      <alignment horizontal="left" vertical="center"/>
    </xf>
    <xf numFmtId="14" fontId="8" fillId="8" borderId="14" xfId="0" applyNumberFormat="1" applyFont="1" applyFill="1" applyBorder="1" applyAlignment="1">
      <alignment horizontal="center" vertical="center"/>
    </xf>
    <xf numFmtId="0" fontId="8" fillId="8" borderId="15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12" fillId="9" borderId="11" xfId="0" applyFont="1" applyFill="1" applyBorder="1" applyAlignment="1">
      <alignment horizontal="center" vertical="center" wrapText="1"/>
    </xf>
    <xf numFmtId="0" fontId="12" fillId="9" borderId="12" xfId="0" applyFont="1" applyFill="1" applyBorder="1" applyAlignment="1">
      <alignment horizontal="center" vertical="center" wrapText="1"/>
    </xf>
    <xf numFmtId="0" fontId="12" fillId="9" borderId="13" xfId="0" applyFont="1" applyFill="1" applyBorder="1" applyAlignment="1">
      <alignment horizontal="center" vertical="center" wrapText="1"/>
    </xf>
    <xf numFmtId="14" fontId="12" fillId="9" borderId="14" xfId="0" applyNumberFormat="1" applyFont="1" applyFill="1" applyBorder="1" applyAlignment="1">
      <alignment horizontal="center" vertical="center" wrapText="1"/>
    </xf>
    <xf numFmtId="0" fontId="12" fillId="9" borderId="15" xfId="0" applyFont="1" applyFill="1" applyBorder="1" applyAlignment="1">
      <alignment horizontal="center" vertical="center" wrapText="1"/>
    </xf>
    <xf numFmtId="0" fontId="12" fillId="9" borderId="16" xfId="0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8" borderId="11" xfId="0" applyFill="1" applyBorder="1" applyAlignment="1">
      <alignment horizontal="center" vertical="center"/>
    </xf>
    <xf numFmtId="0" fontId="0" fillId="8" borderId="12" xfId="0" applyFill="1" applyBorder="1" applyAlignment="1">
      <alignment horizontal="center" vertical="center"/>
    </xf>
    <xf numFmtId="0" fontId="0" fillId="8" borderId="13" xfId="0" applyFill="1" applyBorder="1" applyAlignment="1">
      <alignment horizontal="center" vertical="center"/>
    </xf>
    <xf numFmtId="0" fontId="0" fillId="8" borderId="14" xfId="0" applyFill="1" applyBorder="1" applyAlignment="1">
      <alignment horizontal="center" vertical="center"/>
    </xf>
    <xf numFmtId="0" fontId="0" fillId="8" borderId="15" xfId="0" applyFill="1" applyBorder="1" applyAlignment="1">
      <alignment horizontal="center" vertical="center"/>
    </xf>
    <xf numFmtId="0" fontId="0" fillId="8" borderId="16" xfId="0" applyFill="1" applyBorder="1" applyAlignment="1">
      <alignment horizontal="center" vertical="center"/>
    </xf>
    <xf numFmtId="0" fontId="9" fillId="13" borderId="2" xfId="0" applyFont="1" applyFill="1" applyBorder="1" applyAlignment="1">
      <alignment horizontal="center" vertical="center" wrapText="1"/>
    </xf>
    <xf numFmtId="0" fontId="9" fillId="13" borderId="4" xfId="0" applyFont="1" applyFill="1" applyBorder="1" applyAlignment="1">
      <alignment horizontal="center" vertical="center" wrapText="1"/>
    </xf>
    <xf numFmtId="164" fontId="9" fillId="10" borderId="1" xfId="0" applyNumberFormat="1" applyFont="1" applyFill="1" applyBorder="1" applyAlignment="1">
      <alignment horizontal="center" vertical="center" wrapText="1"/>
    </xf>
    <xf numFmtId="10" fontId="9" fillId="10" borderId="21" xfId="1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169" fontId="9" fillId="10" borderId="1" xfId="0" applyNumberFormat="1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wrapText="1"/>
    </xf>
    <xf numFmtId="0" fontId="8" fillId="3" borderId="12" xfId="0" applyFont="1" applyFill="1" applyBorder="1" applyAlignment="1">
      <alignment horizontal="center" wrapText="1"/>
    </xf>
    <xf numFmtId="0" fontId="8" fillId="3" borderId="13" xfId="0" applyFont="1" applyFill="1" applyBorder="1" applyAlignment="1">
      <alignment horizontal="center" wrapText="1"/>
    </xf>
    <xf numFmtId="14" fontId="8" fillId="3" borderId="14" xfId="0" applyNumberFormat="1" applyFont="1" applyFill="1" applyBorder="1" applyAlignment="1">
      <alignment horizontal="center" wrapText="1"/>
    </xf>
    <xf numFmtId="0" fontId="8" fillId="3" borderId="15" xfId="0" applyFont="1" applyFill="1" applyBorder="1" applyAlignment="1">
      <alignment horizontal="center" wrapText="1"/>
    </xf>
    <xf numFmtId="0" fontId="8" fillId="3" borderId="16" xfId="0" applyFont="1" applyFill="1" applyBorder="1" applyAlignment="1">
      <alignment horizont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164" fontId="9" fillId="10" borderId="18" xfId="0" applyNumberFormat="1" applyFont="1" applyFill="1" applyBorder="1" applyAlignment="1">
      <alignment horizontal="center" vertical="center" wrapText="1"/>
    </xf>
    <xf numFmtId="10" fontId="9" fillId="10" borderId="19" xfId="1" applyNumberFormat="1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164" fontId="9" fillId="10" borderId="25" xfId="0" applyNumberFormat="1" applyFont="1" applyFill="1" applyBorder="1" applyAlignment="1">
      <alignment horizontal="center" vertical="center" wrapText="1"/>
    </xf>
    <xf numFmtId="10" fontId="9" fillId="10" borderId="26" xfId="1" applyNumberFormat="1" applyFont="1" applyFill="1" applyBorder="1" applyAlignment="1">
      <alignment horizontal="center" vertical="center" wrapText="1"/>
    </xf>
    <xf numFmtId="0" fontId="8" fillId="8" borderId="17" xfId="0" applyFont="1" applyFill="1" applyBorder="1" applyAlignment="1">
      <alignment horizontal="center" vertical="center" wrapText="1"/>
    </xf>
    <xf numFmtId="0" fontId="8" fillId="8" borderId="20" xfId="0" applyFont="1" applyFill="1" applyBorder="1" applyAlignment="1">
      <alignment horizontal="center" vertical="center" wrapText="1"/>
    </xf>
    <xf numFmtId="0" fontId="8" fillId="8" borderId="33" xfId="0" applyFont="1" applyFill="1" applyBorder="1" applyAlignment="1">
      <alignment horizontal="center" vertical="center" wrapText="1"/>
    </xf>
    <xf numFmtId="0" fontId="9" fillId="8" borderId="18" xfId="0" applyFont="1" applyFill="1" applyBorder="1" applyAlignment="1">
      <alignment horizontal="center" vertical="center" wrapText="1"/>
    </xf>
    <xf numFmtId="169" fontId="9" fillId="10" borderId="18" xfId="0" applyNumberFormat="1" applyFont="1" applyFill="1" applyBorder="1" applyAlignment="1">
      <alignment horizontal="center" vertical="center" wrapText="1"/>
    </xf>
    <xf numFmtId="10" fontId="8" fillId="10" borderId="19" xfId="1" applyNumberFormat="1" applyFont="1" applyFill="1" applyBorder="1" applyAlignment="1">
      <alignment horizontal="center" vertical="center" wrapText="1"/>
    </xf>
    <xf numFmtId="10" fontId="8" fillId="10" borderId="21" xfId="1" applyNumberFormat="1" applyFont="1" applyFill="1" applyBorder="1" applyAlignment="1">
      <alignment horizontal="center" vertical="center" wrapText="1"/>
    </xf>
    <xf numFmtId="169" fontId="9" fillId="10" borderId="2" xfId="0" applyNumberFormat="1" applyFont="1" applyFill="1" applyBorder="1" applyAlignment="1">
      <alignment horizontal="center" vertical="center" wrapText="1"/>
    </xf>
    <xf numFmtId="169" fontId="9" fillId="10" borderId="4" xfId="0" applyNumberFormat="1" applyFont="1" applyFill="1" applyBorder="1" applyAlignment="1">
      <alignment horizontal="center" vertical="center" wrapText="1"/>
    </xf>
    <xf numFmtId="0" fontId="9" fillId="8" borderId="25" xfId="0" applyFont="1" applyFill="1" applyBorder="1" applyAlignment="1">
      <alignment horizontal="center" vertical="center" wrapText="1"/>
    </xf>
    <xf numFmtId="169" fontId="9" fillId="10" borderId="25" xfId="0" applyNumberFormat="1" applyFont="1" applyFill="1" applyBorder="1" applyAlignment="1">
      <alignment horizontal="center" vertical="center" wrapText="1"/>
    </xf>
    <xf numFmtId="0" fontId="9" fillId="13" borderId="1" xfId="0" applyFont="1" applyFill="1" applyBorder="1" applyAlignment="1">
      <alignment horizontal="center" vertical="center" wrapText="1"/>
    </xf>
    <xf numFmtId="0" fontId="9" fillId="13" borderId="18" xfId="0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0" fontId="9" fillId="13" borderId="50" xfId="0" applyFont="1" applyFill="1" applyBorder="1" applyAlignment="1">
      <alignment horizontal="center" vertical="center" wrapText="1"/>
    </xf>
    <xf numFmtId="0" fontId="8" fillId="13" borderId="48" xfId="0" applyFont="1" applyFill="1" applyBorder="1" applyAlignment="1">
      <alignment horizontal="center" vertical="center" wrapText="1"/>
    </xf>
    <xf numFmtId="0" fontId="8" fillId="13" borderId="47" xfId="0" applyFont="1" applyFill="1" applyBorder="1" applyAlignment="1">
      <alignment horizontal="center" vertical="center" wrapText="1"/>
    </xf>
    <xf numFmtId="0" fontId="8" fillId="13" borderId="49" xfId="0" applyFont="1" applyFill="1" applyBorder="1" applyAlignment="1">
      <alignment horizontal="center" vertical="center" wrapText="1"/>
    </xf>
    <xf numFmtId="0" fontId="9" fillId="12" borderId="1" xfId="0" applyFont="1" applyFill="1" applyBorder="1" applyAlignment="1">
      <alignment horizontal="center" vertical="center" wrapText="1"/>
    </xf>
    <xf numFmtId="164" fontId="9" fillId="10" borderId="2" xfId="0" applyNumberFormat="1" applyFont="1" applyFill="1" applyBorder="1" applyAlignment="1">
      <alignment horizontal="center" vertical="center" wrapText="1"/>
    </xf>
    <xf numFmtId="164" fontId="9" fillId="10" borderId="4" xfId="0" applyNumberFormat="1" applyFont="1" applyFill="1" applyBorder="1" applyAlignment="1">
      <alignment horizontal="center" vertical="center" wrapText="1"/>
    </xf>
    <xf numFmtId="10" fontId="9" fillId="10" borderId="46" xfId="1" applyNumberFormat="1" applyFont="1" applyFill="1" applyBorder="1" applyAlignment="1">
      <alignment horizontal="center" vertical="center" wrapText="1"/>
    </xf>
    <xf numFmtId="10" fontId="9" fillId="10" borderId="28" xfId="1" applyNumberFormat="1" applyFont="1" applyFill="1" applyBorder="1" applyAlignment="1">
      <alignment horizontal="center" vertical="center" wrapText="1"/>
    </xf>
    <xf numFmtId="0" fontId="8" fillId="2" borderId="48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49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50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12" borderId="18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9" fillId="9" borderId="25" xfId="0" applyFont="1" applyFill="1" applyBorder="1" applyAlignment="1">
      <alignment horizontal="center" vertical="center" wrapText="1"/>
    </xf>
    <xf numFmtId="0" fontId="9" fillId="12" borderId="25" xfId="0" applyFont="1" applyFill="1" applyBorder="1" applyAlignment="1">
      <alignment horizontal="center" vertical="center" wrapText="1"/>
    </xf>
    <xf numFmtId="0" fontId="9" fillId="12" borderId="2" xfId="0" applyFont="1" applyFill="1" applyBorder="1" applyAlignment="1">
      <alignment horizontal="center" vertical="center" wrapText="1"/>
    </xf>
    <xf numFmtId="0" fontId="9" fillId="12" borderId="4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8" fillId="9" borderId="20" xfId="0" applyFont="1" applyFill="1" applyBorder="1" applyAlignment="1">
      <alignment horizontal="center" vertical="center" wrapText="1"/>
    </xf>
    <xf numFmtId="0" fontId="8" fillId="9" borderId="33" xfId="0" applyFont="1" applyFill="1" applyBorder="1" applyAlignment="1">
      <alignment horizontal="center" vertical="center" wrapText="1"/>
    </xf>
    <xf numFmtId="0" fontId="9" fillId="9" borderId="18" xfId="0" applyFont="1" applyFill="1" applyBorder="1" applyAlignment="1">
      <alignment horizontal="center" vertical="center" wrapText="1"/>
    </xf>
    <xf numFmtId="0" fontId="8" fillId="12" borderId="17" xfId="0" applyFont="1" applyFill="1" applyBorder="1" applyAlignment="1">
      <alignment horizontal="center" vertical="center" wrapText="1"/>
    </xf>
    <xf numFmtId="0" fontId="8" fillId="12" borderId="20" xfId="0" applyFont="1" applyFill="1" applyBorder="1" applyAlignment="1">
      <alignment horizontal="center" vertical="center" wrapText="1"/>
    </xf>
    <xf numFmtId="0" fontId="8" fillId="12" borderId="33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164" fontId="3" fillId="0" borderId="3" xfId="0" applyNumberFormat="1" applyFont="1" applyFill="1" applyBorder="1" applyAlignment="1">
      <alignment horizontal="center" vertical="center"/>
    </xf>
    <xf numFmtId="168" fontId="3" fillId="0" borderId="2" xfId="1" applyNumberFormat="1" applyFont="1" applyBorder="1" applyAlignment="1">
      <alignment horizontal="center" vertical="center"/>
    </xf>
    <xf numFmtId="168" fontId="3" fillId="0" borderId="3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 wrapText="1"/>
    </xf>
    <xf numFmtId="0" fontId="9" fillId="6" borderId="18" xfId="0" applyFont="1" applyFill="1" applyBorder="1" applyAlignment="1">
      <alignment horizontal="center" vertical="center" wrapText="1"/>
    </xf>
    <xf numFmtId="169" fontId="9" fillId="6" borderId="18" xfId="0" applyNumberFormat="1" applyFont="1" applyFill="1" applyBorder="1" applyAlignment="1">
      <alignment horizontal="center" vertical="center" wrapText="1"/>
    </xf>
    <xf numFmtId="169" fontId="9" fillId="6" borderId="1" xfId="0" applyNumberFormat="1" applyFont="1" applyFill="1" applyBorder="1" applyAlignment="1">
      <alignment horizontal="center" vertical="center" wrapText="1"/>
    </xf>
    <xf numFmtId="169" fontId="9" fillId="10" borderId="53" xfId="0" applyNumberFormat="1" applyFont="1" applyFill="1" applyBorder="1" applyAlignment="1">
      <alignment horizontal="center" vertical="center" wrapText="1"/>
    </xf>
    <xf numFmtId="169" fontId="9" fillId="10" borderId="50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7" fillId="15" borderId="17" xfId="0" applyFont="1" applyFill="1" applyBorder="1" applyAlignment="1">
      <alignment horizontal="center"/>
    </xf>
    <xf numFmtId="0" fontId="7" fillId="15" borderId="18" xfId="0" applyFont="1" applyFill="1" applyBorder="1" applyAlignment="1">
      <alignment horizontal="center"/>
    </xf>
    <xf numFmtId="0" fontId="7" fillId="15" borderId="19" xfId="0" applyFont="1" applyFill="1" applyBorder="1" applyAlignment="1">
      <alignment horizontal="center"/>
    </xf>
    <xf numFmtId="0" fontId="0" fillId="0" borderId="5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8">
    <dxf>
      <font>
        <b/>
        <i val="0"/>
        <color rgb="FFFF0000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A2CD85"/>
      <color rgb="FF83BE5E"/>
      <color rgb="FF6FAF47"/>
      <color rgb="FF9CCA7C"/>
      <color rgb="FF8EC26A"/>
      <color rgb="FF649E40"/>
      <color rgb="FF16F26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1222812</xdr:colOff>
      <xdr:row>3</xdr:row>
      <xdr:rowOff>17688</xdr:rowOff>
    </xdr:to>
    <xdr:pic>
      <xdr:nvPicPr>
        <xdr:cNvPr id="2" name="1 Imagen" descr="LOGO_SNP_2012_sinfondo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171450"/>
          <a:ext cx="1222812" cy="408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0</xdr:row>
      <xdr:rowOff>219075</xdr:rowOff>
    </xdr:from>
    <xdr:to>
      <xdr:col>1</xdr:col>
      <xdr:colOff>1381231</xdr:colOff>
      <xdr:row>2</xdr:row>
      <xdr:rowOff>208442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23925" y="219075"/>
          <a:ext cx="1219306" cy="4084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375087</xdr:colOff>
      <xdr:row>2</xdr:row>
      <xdr:rowOff>17688</xdr:rowOff>
    </xdr:to>
    <xdr:pic>
      <xdr:nvPicPr>
        <xdr:cNvPr id="2" name="1 Imagen" descr="LOGO_SNP_2012_sinfondo.PNG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81150" y="0"/>
          <a:ext cx="1222812" cy="408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0</xdr:rowOff>
    </xdr:from>
    <xdr:to>
      <xdr:col>2</xdr:col>
      <xdr:colOff>333481</xdr:colOff>
      <xdr:row>3</xdr:row>
      <xdr:rowOff>17942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9100" y="171450"/>
          <a:ext cx="1219306" cy="40846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0</xdr:rowOff>
    </xdr:from>
    <xdr:to>
      <xdr:col>2</xdr:col>
      <xdr:colOff>333481</xdr:colOff>
      <xdr:row>3</xdr:row>
      <xdr:rowOff>17942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9100" y="171450"/>
          <a:ext cx="1219306" cy="40846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3</xdr:col>
      <xdr:colOff>3612</xdr:colOff>
      <xdr:row>2</xdr:row>
      <xdr:rowOff>17688</xdr:rowOff>
    </xdr:to>
    <xdr:pic>
      <xdr:nvPicPr>
        <xdr:cNvPr id="2" name="1 Imagen" descr="LOGO_SNP_2012_sinfondo.PNG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90675" y="0"/>
          <a:ext cx="1222812" cy="408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6"/>
  <sheetViews>
    <sheetView showGridLines="0" zoomScaleNormal="100" workbookViewId="0">
      <selection activeCell="B4" sqref="B4"/>
    </sheetView>
  </sheetViews>
  <sheetFormatPr baseColWidth="10" defaultColWidth="11.42578125" defaultRowHeight="12.75" x14ac:dyDescent="0.25"/>
  <cols>
    <col min="1" max="1" width="10.85546875" style="48" customWidth="1"/>
    <col min="2" max="2" width="24.5703125" style="48" bestFit="1" customWidth="1"/>
    <col min="3" max="3" width="12.140625" style="48" bestFit="1" customWidth="1"/>
    <col min="4" max="4" width="23.140625" style="48" bestFit="1" customWidth="1"/>
    <col min="5" max="5" width="25.28515625" style="48" bestFit="1" customWidth="1"/>
    <col min="6" max="6" width="20.85546875" style="48" bestFit="1" customWidth="1"/>
    <col min="7" max="7" width="20" style="48" bestFit="1" customWidth="1"/>
    <col min="8" max="8" width="13.85546875" style="48" bestFit="1" customWidth="1"/>
    <col min="9" max="9" width="12" style="48" bestFit="1" customWidth="1"/>
    <col min="10" max="10" width="13.42578125" style="48" bestFit="1" customWidth="1"/>
    <col min="11" max="16384" width="11.42578125" style="48"/>
  </cols>
  <sheetData>
    <row r="1" spans="2:10" ht="13.5" thickBot="1" x14ac:dyDescent="0.3"/>
    <row r="2" spans="2:10" ht="15" x14ac:dyDescent="0.25">
      <c r="B2" s="259" t="s">
        <v>137</v>
      </c>
      <c r="C2" s="260"/>
      <c r="D2" s="260"/>
      <c r="E2" s="260"/>
      <c r="F2" s="260"/>
      <c r="G2" s="260"/>
      <c r="H2" s="260"/>
      <c r="I2" s="260"/>
      <c r="J2" s="261"/>
    </row>
    <row r="3" spans="2:10" ht="15.75" thickBot="1" x14ac:dyDescent="0.3">
      <c r="B3" s="262">
        <v>44561</v>
      </c>
      <c r="C3" s="263"/>
      <c r="D3" s="263"/>
      <c r="E3" s="263"/>
      <c r="F3" s="263"/>
      <c r="G3" s="263"/>
      <c r="H3" s="263"/>
      <c r="I3" s="263"/>
      <c r="J3" s="264"/>
    </row>
    <row r="4" spans="2:10" ht="13.5" thickBot="1" x14ac:dyDescent="0.3"/>
    <row r="5" spans="2:10" ht="13.5" thickBot="1" x14ac:dyDescent="0.3">
      <c r="B5" s="45" t="s">
        <v>0</v>
      </c>
      <c r="C5" s="46" t="s">
        <v>8</v>
      </c>
      <c r="D5" s="46" t="s">
        <v>1</v>
      </c>
      <c r="E5" s="46" t="s">
        <v>2</v>
      </c>
      <c r="F5" s="46" t="s">
        <v>3</v>
      </c>
      <c r="G5" s="46" t="s">
        <v>4</v>
      </c>
      <c r="H5" s="46" t="s">
        <v>5</v>
      </c>
      <c r="I5" s="46" t="s">
        <v>6</v>
      </c>
      <c r="J5" s="47" t="s">
        <v>7</v>
      </c>
    </row>
    <row r="6" spans="2:10" x14ac:dyDescent="0.25">
      <c r="B6" s="267" t="s">
        <v>20</v>
      </c>
      <c r="C6" s="253" t="s">
        <v>21</v>
      </c>
      <c r="D6" s="138" t="s">
        <v>9</v>
      </c>
      <c r="E6" s="49">
        <f>'CUOTA ARTESANAL'!L6:L7</f>
        <v>3</v>
      </c>
      <c r="F6" s="50">
        <f>'CUOTA ARTESANAL'!M6:M7</f>
        <v>0</v>
      </c>
      <c r="G6" s="50">
        <f>'CUOTA ARTESANAL'!N6:N7</f>
        <v>3</v>
      </c>
      <c r="H6" s="50">
        <f>'CUOTA ARTESANAL'!O6:O7</f>
        <v>0</v>
      </c>
      <c r="I6" s="50">
        <f>'CUOTA ARTESANAL'!P6:P7</f>
        <v>3</v>
      </c>
      <c r="J6" s="51">
        <f>H6/G6</f>
        <v>0</v>
      </c>
    </row>
    <row r="7" spans="2:10" x14ac:dyDescent="0.25">
      <c r="B7" s="268"/>
      <c r="C7" s="254"/>
      <c r="D7" s="139" t="s">
        <v>10</v>
      </c>
      <c r="E7" s="52">
        <f>'CUOTA ARTESANAL'!L8</f>
        <v>3</v>
      </c>
      <c r="F7" s="53">
        <f>'CUOTA ARTESANAL'!M8</f>
        <v>0</v>
      </c>
      <c r="G7" s="53">
        <f>'CUOTA ARTESANAL'!N8</f>
        <v>3</v>
      </c>
      <c r="H7" s="53">
        <f>'CUOTA ARTESANAL'!O8</f>
        <v>0</v>
      </c>
      <c r="I7" s="53">
        <f>'CUOTA ARTESANAL'!P8</f>
        <v>3</v>
      </c>
      <c r="J7" s="54">
        <f t="shared" ref="J7:J19" si="0">H7/G7</f>
        <v>0</v>
      </c>
    </row>
    <row r="8" spans="2:10" x14ac:dyDescent="0.25">
      <c r="B8" s="268"/>
      <c r="C8" s="254"/>
      <c r="D8" s="139" t="s">
        <v>65</v>
      </c>
      <c r="E8" s="52">
        <f>SUM('CUOTA ARTESANAL'!L10:L19)</f>
        <v>557</v>
      </c>
      <c r="F8" s="53">
        <f>SUM('CUOTA ARTESANAL'!M10:M19)</f>
        <v>106.84700000000001</v>
      </c>
      <c r="G8" s="53">
        <f>SUM('CUOTA ARTESANAL'!N10:N19)</f>
        <v>663.84699999999998</v>
      </c>
      <c r="H8" s="55">
        <f>SUM('CUOTA ARTESANAL'!O10:O19)</f>
        <v>533.05899999999997</v>
      </c>
      <c r="I8" s="53">
        <f>SUM('CUOTA ARTESANAL'!P10:P19)</f>
        <v>130.78800000000004</v>
      </c>
      <c r="J8" s="54">
        <f t="shared" si="0"/>
        <v>0.80298472388969144</v>
      </c>
    </row>
    <row r="9" spans="2:10" x14ac:dyDescent="0.25">
      <c r="B9" s="268"/>
      <c r="C9" s="254"/>
      <c r="D9" s="139" t="s">
        <v>11</v>
      </c>
      <c r="E9" s="52">
        <f>'CUOTA ARTESANAL'!L20</f>
        <v>578</v>
      </c>
      <c r="F9" s="53">
        <f>'CUOTA ARTESANAL'!M20</f>
        <v>0</v>
      </c>
      <c r="G9" s="53">
        <f>'CUOTA ARTESANAL'!N20</f>
        <v>578</v>
      </c>
      <c r="H9" s="55">
        <f>'CUOTA ARTESANAL'!O20</f>
        <v>580.72700000000009</v>
      </c>
      <c r="I9" s="53">
        <f>'CUOTA ARTESANAL'!P20</f>
        <v>-2.7270000000000891</v>
      </c>
      <c r="J9" s="54">
        <f t="shared" si="0"/>
        <v>1.0047179930795849</v>
      </c>
    </row>
    <row r="10" spans="2:10" x14ac:dyDescent="0.25">
      <c r="B10" s="268"/>
      <c r="C10" s="254"/>
      <c r="D10" s="139" t="s">
        <v>12</v>
      </c>
      <c r="E10" s="52">
        <f>'CUOTA ARTESANAL'!L22</f>
        <v>3</v>
      </c>
      <c r="F10" s="53">
        <f>'CUOTA ARTESANAL'!M22</f>
        <v>0</v>
      </c>
      <c r="G10" s="53">
        <f>'CUOTA ARTESANAL'!N22</f>
        <v>3</v>
      </c>
      <c r="H10" s="53">
        <f>'CUOTA ARTESANAL'!O22</f>
        <v>0</v>
      </c>
      <c r="I10" s="53">
        <f>'CUOTA ARTESANAL'!P22</f>
        <v>3</v>
      </c>
      <c r="J10" s="54">
        <f t="shared" si="0"/>
        <v>0</v>
      </c>
    </row>
    <row r="11" spans="2:10" x14ac:dyDescent="0.25">
      <c r="B11" s="268"/>
      <c r="C11" s="254"/>
      <c r="D11" s="139" t="s">
        <v>13</v>
      </c>
      <c r="E11" s="52">
        <f>'CUOTA ARTESANAL'!L24</f>
        <v>3</v>
      </c>
      <c r="F11" s="53">
        <f>'CUOTA ARTESANAL'!M24</f>
        <v>0</v>
      </c>
      <c r="G11" s="53">
        <f>'CUOTA ARTESANAL'!N24</f>
        <v>3</v>
      </c>
      <c r="H11" s="53">
        <f>'CUOTA ARTESANAL'!O24</f>
        <v>0</v>
      </c>
      <c r="I11" s="53">
        <f>'CUOTA ARTESANAL'!P24</f>
        <v>3</v>
      </c>
      <c r="J11" s="54">
        <f t="shared" si="0"/>
        <v>0</v>
      </c>
    </row>
    <row r="12" spans="2:10" x14ac:dyDescent="0.25">
      <c r="B12" s="268"/>
      <c r="C12" s="254"/>
      <c r="D12" s="139" t="s">
        <v>14</v>
      </c>
      <c r="E12" s="52">
        <f>'CUOTA ARTESANAL'!L26</f>
        <v>3</v>
      </c>
      <c r="F12" s="53">
        <f>'CUOTA ARTESANAL'!M26</f>
        <v>0</v>
      </c>
      <c r="G12" s="53">
        <f>'CUOTA ARTESANAL'!N26</f>
        <v>3</v>
      </c>
      <c r="H12" s="53">
        <f>'CUOTA ARTESANAL'!O26</f>
        <v>0</v>
      </c>
      <c r="I12" s="53">
        <f>'CUOTA ARTESANAL'!P26</f>
        <v>3</v>
      </c>
      <c r="J12" s="54">
        <f t="shared" si="0"/>
        <v>0</v>
      </c>
    </row>
    <row r="13" spans="2:10" ht="13.5" thickBot="1" x14ac:dyDescent="0.3">
      <c r="B13" s="268"/>
      <c r="C13" s="254"/>
      <c r="D13" s="139" t="s">
        <v>15</v>
      </c>
      <c r="E13" s="56">
        <f>'CUOTA ARTESANAL'!L28</f>
        <v>25</v>
      </c>
      <c r="F13" s="57">
        <f>'CUOTA ARTESANAL'!M28</f>
        <v>0</v>
      </c>
      <c r="G13" s="57">
        <f>'CUOTA ARTESANAL'!N28</f>
        <v>25</v>
      </c>
      <c r="H13" s="57">
        <f>'CUOTA ARTESANAL'!O28</f>
        <v>0.13800000000000001</v>
      </c>
      <c r="I13" s="57">
        <f>'CUOTA ARTESANAL'!P28</f>
        <v>24.861999999999998</v>
      </c>
      <c r="J13" s="58">
        <f t="shared" si="0"/>
        <v>5.5200000000000006E-3</v>
      </c>
    </row>
    <row r="14" spans="2:10" ht="13.5" thickBot="1" x14ac:dyDescent="0.3">
      <c r="B14" s="268"/>
      <c r="C14" s="255"/>
      <c r="D14" s="140" t="s">
        <v>16</v>
      </c>
      <c r="E14" s="59">
        <f>SUM(E6:E13)</f>
        <v>1175</v>
      </c>
      <c r="F14" s="60">
        <f>SUM(F6:F13)</f>
        <v>106.84700000000001</v>
      </c>
      <c r="G14" s="60">
        <f>E14+F14</f>
        <v>1281.847</v>
      </c>
      <c r="H14" s="60">
        <f>SUM(H6:H13)</f>
        <v>1113.924</v>
      </c>
      <c r="I14" s="60">
        <f>G14-H14</f>
        <v>167.923</v>
      </c>
      <c r="J14" s="61">
        <f t="shared" si="0"/>
        <v>0.86899918633034989</v>
      </c>
    </row>
    <row r="15" spans="2:10" ht="13.5" thickBot="1" x14ac:dyDescent="0.3">
      <c r="B15" s="268"/>
      <c r="C15" s="253" t="s">
        <v>22</v>
      </c>
      <c r="D15" s="138" t="s">
        <v>185</v>
      </c>
      <c r="E15" s="233">
        <f>'CUOTA LTP (2)'!R8</f>
        <v>411.99901</v>
      </c>
      <c r="F15" s="50">
        <f>'CUOTA LTP (2)'!S8</f>
        <v>-106.84669</v>
      </c>
      <c r="G15" s="50">
        <f>E15+F15</f>
        <v>305.15232000000003</v>
      </c>
      <c r="H15" s="50">
        <f>'CUOTA LTP (2)'!U8</f>
        <v>87.558000000000007</v>
      </c>
      <c r="I15" s="50">
        <f>G15-H15</f>
        <v>217.59432000000004</v>
      </c>
      <c r="J15" s="51">
        <f>H15/G15</f>
        <v>0.28693211311649214</v>
      </c>
    </row>
    <row r="16" spans="2:10" ht="13.5" thickBot="1" x14ac:dyDescent="0.3">
      <c r="B16" s="268"/>
      <c r="C16" s="254"/>
      <c r="D16" s="139" t="s">
        <v>188</v>
      </c>
      <c r="E16" s="239">
        <f>'CUOTA LTP (2)'!R9</f>
        <v>2019.00188</v>
      </c>
      <c r="F16" s="50">
        <f>'CUOTA LTP (2)'!S9</f>
        <v>4.6569999998169465E-4</v>
      </c>
      <c r="G16" s="50">
        <f>E16+F16</f>
        <v>2019.0023457</v>
      </c>
      <c r="H16" s="50">
        <f>'CUOTA LTP (2)'!U9</f>
        <v>1682.34</v>
      </c>
      <c r="I16" s="50">
        <f>G16-H16</f>
        <v>336.66234570000006</v>
      </c>
      <c r="J16" s="54">
        <f>H16/G16</f>
        <v>0.83325311809715741</v>
      </c>
    </row>
    <row r="17" spans="2:10" x14ac:dyDescent="0.25">
      <c r="B17" s="268"/>
      <c r="C17" s="254"/>
      <c r="D17" s="139" t="s">
        <v>190</v>
      </c>
      <c r="E17" s="62">
        <f>'CUOTA LTP (2)'!R10</f>
        <v>2267.000970000001</v>
      </c>
      <c r="F17" s="62">
        <f>'CUOTA LTP (2)'!S10</f>
        <v>1.2000000000278455E-4</v>
      </c>
      <c r="G17" s="50">
        <f>E17+F17</f>
        <v>2267.0010900000011</v>
      </c>
      <c r="H17" s="50">
        <f>'CUOTA LTP (2)'!U10</f>
        <v>1509.7520000000002</v>
      </c>
      <c r="I17" s="50">
        <f>G17-H17</f>
        <v>757.24909000000093</v>
      </c>
      <c r="J17" s="54">
        <f>H17/G17</f>
        <v>0.66596880198235786</v>
      </c>
    </row>
    <row r="18" spans="2:10" ht="13.5" thickBot="1" x14ac:dyDescent="0.3">
      <c r="B18" s="268"/>
      <c r="C18" s="255"/>
      <c r="D18" s="140" t="s">
        <v>17</v>
      </c>
      <c r="E18" s="63">
        <f>SUM(E15:E17)</f>
        <v>4698.0018600000012</v>
      </c>
      <c r="F18" s="64">
        <f>SUM(F15:F17)</f>
        <v>-106.84610430000001</v>
      </c>
      <c r="G18" s="64">
        <f>SUM(G15:G17)</f>
        <v>4591.1557557000015</v>
      </c>
      <c r="H18" s="64">
        <f>SUM(H15:H17)</f>
        <v>3279.65</v>
      </c>
      <c r="I18" s="64">
        <f>SUM(I15:I17)</f>
        <v>1311.5057557000009</v>
      </c>
      <c r="J18" s="65">
        <f t="shared" si="0"/>
        <v>0.71434082712795277</v>
      </c>
    </row>
    <row r="19" spans="2:10" ht="14.45" customHeight="1" thickBot="1" x14ac:dyDescent="0.3">
      <c r="B19" s="268"/>
      <c r="C19" s="265" t="s">
        <v>18</v>
      </c>
      <c r="D19" s="266"/>
      <c r="E19" s="66">
        <v>119</v>
      </c>
      <c r="F19" s="67">
        <v>0</v>
      </c>
      <c r="G19" s="67">
        <f>E19+F19</f>
        <v>119</v>
      </c>
      <c r="H19" s="67">
        <f>'PESCA INVESTIGACION'!F6</f>
        <v>63.336000000000006</v>
      </c>
      <c r="I19" s="67">
        <f>G19-H19</f>
        <v>55.663999999999994</v>
      </c>
      <c r="J19" s="68">
        <f t="shared" si="0"/>
        <v>0.53223529411764714</v>
      </c>
    </row>
    <row r="20" spans="2:10" ht="14.45" customHeight="1" thickBot="1" x14ac:dyDescent="0.3">
      <c r="B20" s="269"/>
      <c r="C20" s="256" t="s">
        <v>126</v>
      </c>
      <c r="D20" s="258"/>
      <c r="E20" s="62">
        <v>0</v>
      </c>
      <c r="F20" s="53">
        <f>'CESIONES INDIVIDUALES'!E9</f>
        <v>0</v>
      </c>
      <c r="G20" s="53">
        <f>E20</f>
        <v>0</v>
      </c>
      <c r="H20" s="55">
        <f>'CESIONES INDIVIDUALES'!F9</f>
        <v>0</v>
      </c>
      <c r="I20" s="53">
        <f>'CESIONES INDIVIDUALES'!G9</f>
        <v>0</v>
      </c>
      <c r="J20" s="54">
        <v>0</v>
      </c>
    </row>
    <row r="21" spans="2:10" ht="13.5" thickBot="1" x14ac:dyDescent="0.3">
      <c r="B21" s="256" t="s">
        <v>19</v>
      </c>
      <c r="C21" s="257"/>
      <c r="D21" s="258"/>
      <c r="E21" s="69">
        <f>SUM(E14+E18+E19+E20)</f>
        <v>5992.0018600000012</v>
      </c>
      <c r="F21" s="70">
        <f>SUM(F14+F18+F19+F20)</f>
        <v>8.9570000000094296E-4</v>
      </c>
      <c r="G21" s="71">
        <f>E21+F21</f>
        <v>5992.0027557000012</v>
      </c>
      <c r="H21" s="70">
        <f>SUM(H14+H18+H19+H20)</f>
        <v>4456.9100000000008</v>
      </c>
      <c r="I21" s="71">
        <f>G21-H21</f>
        <v>1535.0927557000005</v>
      </c>
      <c r="J21" s="72">
        <f>H21/G21</f>
        <v>0.74380973803129247</v>
      </c>
    </row>
    <row r="22" spans="2:10" ht="13.5" hidden="1" thickBot="1" x14ac:dyDescent="0.3">
      <c r="J22" s="142">
        <v>1</v>
      </c>
    </row>
    <row r="23" spans="2:10" ht="13.5" thickBot="1" x14ac:dyDescent="0.3">
      <c r="B23" s="73" t="s">
        <v>133</v>
      </c>
      <c r="C23" s="74" t="s">
        <v>106</v>
      </c>
    </row>
    <row r="26" spans="2:10" x14ac:dyDescent="0.25">
      <c r="D26" s="169">
        <f>0.00022*E18</f>
        <v>1.0335604092000004</v>
      </c>
    </row>
  </sheetData>
  <mergeCells count="8">
    <mergeCell ref="C6:C14"/>
    <mergeCell ref="B21:D21"/>
    <mergeCell ref="B2:J2"/>
    <mergeCell ref="B3:J3"/>
    <mergeCell ref="C15:C18"/>
    <mergeCell ref="C19:D19"/>
    <mergeCell ref="B6:B20"/>
    <mergeCell ref="C20:D20"/>
  </mergeCells>
  <conditionalFormatting sqref="J6:J22">
    <cfRule type="dataBar" priority="27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{8961CEA0-9DFB-41B7-BFE9-FFA83FB04F26}</x14:id>
        </ext>
      </extLst>
    </cfRule>
  </conditionalFormatting>
  <conditionalFormatting sqref="J6:J21">
    <cfRule type="dataBar" priority="45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{EC640222-BFCC-4949-AD59-4D56BFAA4060}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961CEA0-9DFB-41B7-BFE9-FFA83FB04F2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J6:J22</xm:sqref>
        </x14:conditionalFormatting>
        <x14:conditionalFormatting xmlns:xm="http://schemas.microsoft.com/office/excel/2006/main">
          <x14:cfRule type="dataBar" id="{EC640222-BFCC-4949-AD59-4D56BFAA406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J6:J21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workbookViewId="0">
      <selection activeCell="E24" sqref="E24"/>
    </sheetView>
  </sheetViews>
  <sheetFormatPr baseColWidth="10" defaultRowHeight="15" x14ac:dyDescent="0.25"/>
  <cols>
    <col min="5" max="5" width="11.85546875" bestFit="1" customWidth="1"/>
  </cols>
  <sheetData>
    <row r="1" spans="1:14" x14ac:dyDescent="0.25">
      <c r="A1" s="143" t="s">
        <v>25</v>
      </c>
      <c r="B1" s="144" t="s">
        <v>92</v>
      </c>
      <c r="C1" s="144" t="s">
        <v>94</v>
      </c>
      <c r="D1" s="160" t="s">
        <v>95</v>
      </c>
      <c r="E1" s="160" t="s">
        <v>96</v>
      </c>
      <c r="F1" s="160" t="s">
        <v>97</v>
      </c>
      <c r="G1" s="160" t="s">
        <v>98</v>
      </c>
      <c r="H1" s="145" t="s">
        <v>115</v>
      </c>
    </row>
    <row r="2" spans="1:14" x14ac:dyDescent="0.25">
      <c r="A2" s="146" t="s">
        <v>145</v>
      </c>
      <c r="B2" s="147">
        <v>9</v>
      </c>
      <c r="C2" s="147">
        <v>362</v>
      </c>
      <c r="D2" s="161">
        <v>1022</v>
      </c>
      <c r="E2" s="161">
        <v>796</v>
      </c>
      <c r="F2" s="161">
        <v>1472</v>
      </c>
      <c r="G2" s="161">
        <v>569</v>
      </c>
      <c r="H2" s="148">
        <f>SUM(B2:G2)</f>
        <v>4230</v>
      </c>
    </row>
    <row r="3" spans="1:14" x14ac:dyDescent="0.25">
      <c r="A3" s="146" t="s">
        <v>64</v>
      </c>
      <c r="B3" s="147">
        <v>1</v>
      </c>
      <c r="C3" s="147">
        <v>40</v>
      </c>
      <c r="D3" s="161">
        <v>113</v>
      </c>
      <c r="E3" s="161">
        <v>88</v>
      </c>
      <c r="F3" s="161">
        <v>163</v>
      </c>
      <c r="G3" s="161">
        <v>63</v>
      </c>
      <c r="H3" s="148">
        <f>SUM(B3:G3)</f>
        <v>468</v>
      </c>
    </row>
    <row r="4" spans="1:14" ht="15.75" thickBot="1" x14ac:dyDescent="0.3">
      <c r="A4" s="149" t="s">
        <v>115</v>
      </c>
      <c r="B4" s="150">
        <f>SUM(B2:B3)</f>
        <v>10</v>
      </c>
      <c r="C4" s="150">
        <f>SUM(C2:C3)</f>
        <v>402</v>
      </c>
      <c r="D4" s="150">
        <f t="shared" ref="D4:G4" si="0">SUM(D2:D3)</f>
        <v>1135</v>
      </c>
      <c r="E4" s="150">
        <f t="shared" si="0"/>
        <v>884</v>
      </c>
      <c r="F4" s="150">
        <f t="shared" si="0"/>
        <v>1635</v>
      </c>
      <c r="G4" s="150">
        <f t="shared" si="0"/>
        <v>632</v>
      </c>
      <c r="H4" s="151">
        <f>SUM(H2:H3)</f>
        <v>4698</v>
      </c>
    </row>
    <row r="7" spans="1:14" ht="15.75" thickBot="1" x14ac:dyDescent="0.3"/>
    <row r="8" spans="1:14" x14ac:dyDescent="0.25">
      <c r="A8" s="387" t="s">
        <v>144</v>
      </c>
      <c r="B8" s="388"/>
      <c r="C8" s="388"/>
      <c r="D8" s="388"/>
      <c r="E8" s="388"/>
      <c r="F8" s="388"/>
      <c r="G8" s="388"/>
      <c r="H8" s="389"/>
    </row>
    <row r="9" spans="1:14" ht="15.75" thickBot="1" x14ac:dyDescent="0.3">
      <c r="A9" s="152" t="s">
        <v>138</v>
      </c>
      <c r="B9" s="153" t="s">
        <v>139</v>
      </c>
      <c r="C9" s="153" t="s">
        <v>140</v>
      </c>
      <c r="D9" s="153" t="s">
        <v>141</v>
      </c>
      <c r="E9" s="153" t="s">
        <v>142</v>
      </c>
      <c r="F9" s="153" t="s">
        <v>92</v>
      </c>
      <c r="G9" s="153" t="s">
        <v>94</v>
      </c>
      <c r="H9" s="153" t="s">
        <v>95</v>
      </c>
      <c r="I9" s="153" t="s">
        <v>96</v>
      </c>
      <c r="J9" s="153" t="s">
        <v>97</v>
      </c>
      <c r="K9" s="153" t="s">
        <v>98</v>
      </c>
      <c r="L9" s="154" t="s">
        <v>143</v>
      </c>
    </row>
    <row r="10" spans="1:14" x14ac:dyDescent="0.25">
      <c r="A10" s="155">
        <v>508</v>
      </c>
      <c r="B10" s="156" t="s">
        <v>146</v>
      </c>
      <c r="C10" s="155" t="s">
        <v>147</v>
      </c>
      <c r="D10" s="155" t="s">
        <v>148</v>
      </c>
      <c r="E10" s="157">
        <v>2.2000000000000001E-4</v>
      </c>
      <c r="F10" s="162">
        <f>E10*B4</f>
        <v>2.2000000000000001E-3</v>
      </c>
      <c r="G10" s="162">
        <f>E10*C4</f>
        <v>8.8440000000000005E-2</v>
      </c>
      <c r="H10" s="162">
        <f>E10*D4</f>
        <v>0.24970000000000001</v>
      </c>
      <c r="I10" s="162">
        <f>E10*E4</f>
        <v>0.19448000000000001</v>
      </c>
      <c r="J10" s="162">
        <f>E10*F4</f>
        <v>0.35970000000000002</v>
      </c>
      <c r="K10" s="162">
        <f>E10*G4</f>
        <v>0.13904</v>
      </c>
      <c r="L10" s="157">
        <f>F10+G10+H10+I10+J10+K10</f>
        <v>1.03356</v>
      </c>
      <c r="N10" s="252">
        <f>H10+I10</f>
        <v>0.44418000000000002</v>
      </c>
    </row>
    <row r="11" spans="1:14" x14ac:dyDescent="0.25">
      <c r="A11" s="158"/>
      <c r="B11" s="158"/>
      <c r="C11" s="158"/>
      <c r="D11" s="158"/>
      <c r="E11" s="159"/>
      <c r="F11" s="159">
        <v>0</v>
      </c>
      <c r="G11" s="159"/>
      <c r="H11" s="159"/>
      <c r="I11" s="159">
        <f>E11*G5</f>
        <v>0</v>
      </c>
      <c r="J11" s="159"/>
      <c r="K11" s="159">
        <f>E11*H5</f>
        <v>0</v>
      </c>
      <c r="L11" s="159">
        <v>65.846999999999994</v>
      </c>
    </row>
    <row r="12" spans="1:14" x14ac:dyDescent="0.25">
      <c r="A12" s="158"/>
      <c r="B12" s="158"/>
      <c r="C12" s="158"/>
      <c r="D12" s="158"/>
      <c r="E12" s="158">
        <f>L12/H4</f>
        <v>1.7028522775649212E-2</v>
      </c>
      <c r="F12" s="158">
        <v>0</v>
      </c>
      <c r="G12" s="158">
        <v>80</v>
      </c>
      <c r="H12" s="158">
        <v>0</v>
      </c>
      <c r="I12" s="158">
        <v>0</v>
      </c>
      <c r="J12" s="158">
        <v>0</v>
      </c>
      <c r="K12" s="158">
        <v>0</v>
      </c>
      <c r="L12" s="158">
        <v>80</v>
      </c>
    </row>
    <row r="13" spans="1:14" x14ac:dyDescent="0.25">
      <c r="A13" s="158">
        <v>2563</v>
      </c>
      <c r="B13" s="158" t="s">
        <v>171</v>
      </c>
      <c r="C13" s="158" t="s">
        <v>173</v>
      </c>
      <c r="D13" s="158" t="s">
        <v>172</v>
      </c>
      <c r="E13" s="158">
        <v>1.7368100000000001E-2</v>
      </c>
      <c r="F13" s="203">
        <f>E13*B4</f>
        <v>0.173681</v>
      </c>
      <c r="G13" s="203">
        <f>E13*C4</f>
        <v>6.9819762000000001</v>
      </c>
      <c r="H13" s="203">
        <f>E13*D4</f>
        <v>19.7127935</v>
      </c>
      <c r="I13" s="203">
        <f>E13*E4</f>
        <v>15.3534004</v>
      </c>
      <c r="J13" s="203">
        <f>E13*F4</f>
        <v>28.396843500000003</v>
      </c>
      <c r="K13" s="203">
        <f>E13*G4</f>
        <v>10.976639200000001</v>
      </c>
      <c r="L13" s="203">
        <f>SUM(F13:K13)</f>
        <v>81.595333799999992</v>
      </c>
    </row>
    <row r="14" spans="1:14" x14ac:dyDescent="0.25">
      <c r="A14" s="158">
        <v>1901</v>
      </c>
      <c r="B14" s="158" t="s">
        <v>174</v>
      </c>
      <c r="C14" s="158" t="s">
        <v>175</v>
      </c>
      <c r="D14" s="158" t="s">
        <v>176</v>
      </c>
      <c r="E14" s="158">
        <v>1.7520299999999999E-2</v>
      </c>
      <c r="F14" s="203">
        <f>E14*$B$4</f>
        <v>0.175203</v>
      </c>
      <c r="G14" s="203">
        <f>E14*$C$4</f>
        <v>7.0431605999999993</v>
      </c>
      <c r="H14" s="203">
        <f>E14*$D$4</f>
        <v>19.885540499999998</v>
      </c>
      <c r="I14" s="203">
        <f>E14*$E$4</f>
        <v>15.487945199999999</v>
      </c>
      <c r="J14" s="203">
        <f>E14*$F$4</f>
        <v>28.645690499999997</v>
      </c>
      <c r="K14" s="203">
        <f>E14*$G$4</f>
        <v>11.072829599999999</v>
      </c>
      <c r="L14" s="203">
        <f>SUM(F14:K14)</f>
        <v>82.310369399999985</v>
      </c>
    </row>
    <row r="15" spans="1:14" x14ac:dyDescent="0.25">
      <c r="A15" s="390">
        <v>2030</v>
      </c>
      <c r="B15" s="390" t="s">
        <v>88</v>
      </c>
      <c r="C15" s="393" t="s">
        <v>177</v>
      </c>
      <c r="D15" s="393" t="s">
        <v>178</v>
      </c>
      <c r="E15" s="211">
        <v>2.7E-4</v>
      </c>
      <c r="F15" s="212">
        <f t="shared" ref="F15:F19" si="1">E15*$B$4</f>
        <v>2.7000000000000001E-3</v>
      </c>
      <c r="G15" s="212">
        <f t="shared" ref="G15:G17" si="2">E15*$C$4</f>
        <v>0.10854</v>
      </c>
      <c r="H15" s="212">
        <f t="shared" ref="H15:H17" si="3">E15*$D$4</f>
        <v>0.30645</v>
      </c>
      <c r="I15" s="212">
        <f t="shared" ref="I15:I17" si="4">E15*$E$4</f>
        <v>0.23868</v>
      </c>
      <c r="J15" s="212">
        <f t="shared" ref="J15:J17" si="5">E15*$F$4</f>
        <v>0.44145000000000001</v>
      </c>
      <c r="K15" s="212">
        <f t="shared" ref="K15:K17" si="6">E15*$G$4</f>
        <v>0.17064000000000001</v>
      </c>
      <c r="L15" s="212">
        <f t="shared" ref="L15:L17" si="7">SUM(F15:K15)</f>
        <v>1.2684600000000001</v>
      </c>
      <c r="M15" t="s">
        <v>179</v>
      </c>
    </row>
    <row r="16" spans="1:14" x14ac:dyDescent="0.25">
      <c r="A16" s="391"/>
      <c r="B16" s="391"/>
      <c r="C16" s="394"/>
      <c r="D16" s="394"/>
      <c r="E16" s="213">
        <v>1.3999999999999999E-4</v>
      </c>
      <c r="F16" s="214">
        <f t="shared" si="1"/>
        <v>1.3999999999999998E-3</v>
      </c>
      <c r="G16" s="214">
        <f t="shared" si="2"/>
        <v>5.6279999999999997E-2</v>
      </c>
      <c r="H16" s="214">
        <f t="shared" si="3"/>
        <v>0.15889999999999999</v>
      </c>
      <c r="I16" s="214">
        <f t="shared" si="4"/>
        <v>0.12376</v>
      </c>
      <c r="J16" s="214">
        <f t="shared" si="5"/>
        <v>0.22889999999999999</v>
      </c>
      <c r="K16" s="214">
        <f t="shared" si="6"/>
        <v>8.8479999999999989E-2</v>
      </c>
      <c r="L16" s="214">
        <f t="shared" si="7"/>
        <v>0.65771999999999997</v>
      </c>
    </row>
    <row r="17" spans="1:16" x14ac:dyDescent="0.25">
      <c r="A17" s="392"/>
      <c r="B17" s="392"/>
      <c r="C17" s="395"/>
      <c r="D17" s="395"/>
      <c r="E17" s="215">
        <v>1.2999999999999999E-4</v>
      </c>
      <c r="F17" s="216">
        <f t="shared" si="1"/>
        <v>1.2999999999999999E-3</v>
      </c>
      <c r="G17" s="216">
        <f t="shared" si="2"/>
        <v>5.2259999999999994E-2</v>
      </c>
      <c r="H17" s="216">
        <f t="shared" si="3"/>
        <v>0.14754999999999999</v>
      </c>
      <c r="I17" s="216">
        <f t="shared" si="4"/>
        <v>0.11491999999999999</v>
      </c>
      <c r="J17" s="216">
        <f t="shared" si="5"/>
        <v>0.21254999999999999</v>
      </c>
      <c r="K17" s="216">
        <f t="shared" si="6"/>
        <v>8.2159999999999997E-2</v>
      </c>
      <c r="L17" s="216">
        <f t="shared" si="7"/>
        <v>0.61073999999999995</v>
      </c>
    </row>
    <row r="18" spans="1:16" x14ac:dyDescent="0.25">
      <c r="A18" s="385">
        <v>1819</v>
      </c>
      <c r="B18" s="385" t="s">
        <v>174</v>
      </c>
      <c r="C18" s="386" t="s">
        <v>181</v>
      </c>
      <c r="D18" s="386" t="s">
        <v>182</v>
      </c>
      <c r="E18" s="220">
        <v>3.1158100000000001E-2</v>
      </c>
      <c r="F18" s="218">
        <f>E18*$B$4</f>
        <v>0.311581</v>
      </c>
      <c r="G18" s="218">
        <f t="shared" ref="G18:G19" si="8">E18*$C$4</f>
        <v>12.5255562</v>
      </c>
      <c r="H18" s="218">
        <f t="shared" ref="H18:H19" si="9">E18*$D$4</f>
        <v>35.3644435</v>
      </c>
      <c r="I18" s="218">
        <f t="shared" ref="I18:I19" si="10">E18*$E$4</f>
        <v>27.5437604</v>
      </c>
      <c r="J18" s="218">
        <f t="shared" ref="J18:J19" si="11">E18*$F$4</f>
        <v>50.943493500000002</v>
      </c>
      <c r="K18" s="218">
        <f t="shared" ref="K18:K19" si="12">E18*$G$4</f>
        <v>19.691919200000001</v>
      </c>
      <c r="L18" s="218">
        <f t="shared" ref="L18:L19" si="13">SUM(F18:K18)</f>
        <v>146.38075380000001</v>
      </c>
    </row>
    <row r="19" spans="1:16" x14ac:dyDescent="0.25">
      <c r="A19" s="385"/>
      <c r="B19" s="385"/>
      <c r="C19" s="386"/>
      <c r="D19" s="386"/>
      <c r="E19" s="220">
        <v>2.1800000000000001E-3</v>
      </c>
      <c r="F19" s="218">
        <f t="shared" si="1"/>
        <v>2.18E-2</v>
      </c>
      <c r="G19" s="218">
        <f t="shared" si="8"/>
        <v>0.87636000000000003</v>
      </c>
      <c r="H19" s="218">
        <f t="shared" si="9"/>
        <v>2.4742999999999999</v>
      </c>
      <c r="I19" s="218">
        <f t="shared" si="10"/>
        <v>1.9271200000000002</v>
      </c>
      <c r="J19" s="218">
        <f t="shared" si="11"/>
        <v>3.5643000000000002</v>
      </c>
      <c r="K19" s="218">
        <f t="shared" si="12"/>
        <v>1.3777600000000001</v>
      </c>
      <c r="L19" s="218">
        <f t="shared" si="13"/>
        <v>10.241640000000002</v>
      </c>
    </row>
    <row r="20" spans="1:16" ht="15.75" thickBot="1" x14ac:dyDescent="0.3">
      <c r="A20" s="385"/>
      <c r="B20" s="385"/>
      <c r="C20" s="386"/>
      <c r="D20" s="386"/>
      <c r="E20" s="217">
        <f>E18+E19</f>
        <v>3.3338100000000002E-2</v>
      </c>
      <c r="F20" s="219">
        <f>F18+F19</f>
        <v>0.33338099999999998</v>
      </c>
      <c r="G20" s="219">
        <f>G18+G19</f>
        <v>13.401916200000001</v>
      </c>
      <c r="H20" s="219">
        <f>H18+H19</f>
        <v>37.8387435</v>
      </c>
      <c r="I20" s="217">
        <f t="shared" ref="I20:L20" si="14">I18+I19</f>
        <v>29.470880399999999</v>
      </c>
      <c r="J20" s="217">
        <f t="shared" si="14"/>
        <v>54.507793500000005</v>
      </c>
      <c r="K20" s="217">
        <f t="shared" si="14"/>
        <v>21.069679199999999</v>
      </c>
      <c r="L20" s="217">
        <f t="shared" si="14"/>
        <v>156.6223938</v>
      </c>
    </row>
    <row r="21" spans="1:16" ht="15.75" thickBot="1" x14ac:dyDescent="0.3">
      <c r="A21" s="155">
        <v>1982</v>
      </c>
      <c r="B21" s="156" t="s">
        <v>193</v>
      </c>
      <c r="C21" s="155" t="s">
        <v>194</v>
      </c>
      <c r="D21" s="155" t="s">
        <v>195</v>
      </c>
      <c r="E21" s="157">
        <v>4.5650000000000003E-2</v>
      </c>
      <c r="F21" s="162">
        <f>E21*B4</f>
        <v>0.45650000000000002</v>
      </c>
      <c r="G21" s="162">
        <f>E21*C4</f>
        <v>18.351300000000002</v>
      </c>
      <c r="H21" s="162">
        <f>E21*D4</f>
        <v>51.812750000000001</v>
      </c>
      <c r="I21" s="162">
        <f>E21*E4</f>
        <v>40.354600000000005</v>
      </c>
      <c r="J21" s="162">
        <f>E21*F4</f>
        <v>74.637750000000011</v>
      </c>
      <c r="K21" s="162">
        <f>E21*G4</f>
        <v>28.850800000000003</v>
      </c>
      <c r="L21" s="157">
        <f>F21+G21+H21+I21+J21+K21</f>
        <v>214.46370000000002</v>
      </c>
      <c r="N21" s="252">
        <f>F21+G21</f>
        <v>18.8078</v>
      </c>
      <c r="O21" s="252">
        <f>H21+I21</f>
        <v>92.167349999999999</v>
      </c>
      <c r="P21" s="252">
        <f>J21+K21</f>
        <v>103.48855000000002</v>
      </c>
    </row>
    <row r="22" spans="1:16" ht="15.75" thickBot="1" x14ac:dyDescent="0.3">
      <c r="A22" s="155">
        <v>2918</v>
      </c>
      <c r="B22" s="156" t="s">
        <v>197</v>
      </c>
      <c r="C22" s="155" t="s">
        <v>198</v>
      </c>
      <c r="D22" s="155" t="s">
        <v>199</v>
      </c>
      <c r="E22" s="157">
        <v>1.7540300000000002E-2</v>
      </c>
      <c r="F22" s="162">
        <f>E22*B4</f>
        <v>0.17540300000000003</v>
      </c>
      <c r="G22" s="162">
        <f>E22*C4</f>
        <v>7.0512006000000005</v>
      </c>
      <c r="H22" s="162">
        <f>E22*D4</f>
        <v>19.908240500000002</v>
      </c>
      <c r="I22" s="162">
        <f>E22*E4</f>
        <v>15.505625200000001</v>
      </c>
      <c r="J22" s="162">
        <f>E22*F4</f>
        <v>28.678390500000003</v>
      </c>
      <c r="K22" s="162">
        <f>E22*G4</f>
        <v>11.085469600000001</v>
      </c>
      <c r="L22" s="157">
        <f>F22+G22+H22+I22+J22+K22</f>
        <v>82.404329400000009</v>
      </c>
    </row>
    <row r="23" spans="1:16" ht="15.75" thickBot="1" x14ac:dyDescent="0.3">
      <c r="A23" s="155">
        <v>3079</v>
      </c>
      <c r="B23" s="156" t="s">
        <v>201</v>
      </c>
      <c r="C23" s="155" t="s">
        <v>91</v>
      </c>
      <c r="D23" s="155" t="s">
        <v>91</v>
      </c>
      <c r="E23" s="157">
        <v>3.2485699999999999E-2</v>
      </c>
      <c r="F23" s="162">
        <f>E23*B4</f>
        <v>0.32485700000000001</v>
      </c>
      <c r="G23" s="162">
        <f>E23*C4</f>
        <v>13.059251399999999</v>
      </c>
      <c r="H23" s="162">
        <f>E23*D4</f>
        <v>36.871269499999997</v>
      </c>
      <c r="I23" s="162">
        <f>E23*E4</f>
        <v>28.7173588</v>
      </c>
      <c r="J23" s="162">
        <f>E23*F4</f>
        <v>53.114119500000001</v>
      </c>
      <c r="K23" s="162">
        <f>E23*G4</f>
        <v>20.5309624</v>
      </c>
      <c r="L23" s="157">
        <f>F23+G23+H23+I23+J23+K23</f>
        <v>152.61781859999999</v>
      </c>
      <c r="N23" s="252">
        <f>F23+G23</f>
        <v>13.384108399999999</v>
      </c>
      <c r="O23" s="252">
        <f>H23+I23</f>
        <v>65.588628299999996</v>
      </c>
      <c r="P23" s="252">
        <f>J23+K23</f>
        <v>73.645081900000008</v>
      </c>
    </row>
    <row r="24" spans="1:16" x14ac:dyDescent="0.25">
      <c r="A24" s="155">
        <v>3221</v>
      </c>
      <c r="B24" s="156" t="s">
        <v>203</v>
      </c>
      <c r="C24" s="155" t="s">
        <v>198</v>
      </c>
      <c r="D24" s="155" t="s">
        <v>204</v>
      </c>
      <c r="E24" s="157">
        <v>9.5798900000000006E-2</v>
      </c>
      <c r="F24" s="162">
        <f>E24*B4</f>
        <v>0.95798900000000009</v>
      </c>
      <c r="G24" s="162">
        <f>E24*C4</f>
        <v>38.511157799999999</v>
      </c>
      <c r="H24" s="162">
        <f>E24*D4</f>
        <v>108.7317515</v>
      </c>
      <c r="I24" s="162">
        <f>E24*E4</f>
        <v>84.686227600000009</v>
      </c>
      <c r="J24" s="162">
        <f>E24*F4</f>
        <v>156.6312015</v>
      </c>
      <c r="K24" s="162">
        <f>E24*G4</f>
        <v>60.544904800000005</v>
      </c>
      <c r="L24" s="157">
        <f>F24+G24+H24+I24+J24+K24</f>
        <v>450.06323219999996</v>
      </c>
      <c r="N24" s="252">
        <f>F24+G24</f>
        <v>39.469146799999997</v>
      </c>
      <c r="O24" s="252">
        <f>H24+I24</f>
        <v>193.41797910000003</v>
      </c>
      <c r="P24" s="252">
        <f>J24+K24</f>
        <v>217.17610630000001</v>
      </c>
    </row>
    <row r="26" spans="1:16" x14ac:dyDescent="0.25">
      <c r="G26">
        <f>E12*H4</f>
        <v>80</v>
      </c>
    </row>
  </sheetData>
  <mergeCells count="9">
    <mergeCell ref="A18:A20"/>
    <mergeCell ref="B18:B20"/>
    <mergeCell ref="C18:C20"/>
    <mergeCell ref="D18:D20"/>
    <mergeCell ref="A8:H8"/>
    <mergeCell ref="A15:A17"/>
    <mergeCell ref="B15:B17"/>
    <mergeCell ref="C15:C17"/>
    <mergeCell ref="D15:D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Q30"/>
  <sheetViews>
    <sheetView showGridLines="0"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L39" sqref="L39"/>
    </sheetView>
  </sheetViews>
  <sheetFormatPr baseColWidth="10" defaultColWidth="11.42578125" defaultRowHeight="12" x14ac:dyDescent="0.25"/>
  <cols>
    <col min="1" max="1" width="11.42578125" style="1"/>
    <col min="2" max="2" width="22" style="1" bestFit="1" customWidth="1"/>
    <col min="3" max="3" width="11" style="1" bestFit="1" customWidth="1"/>
    <col min="4" max="4" width="7.5703125" style="1" bestFit="1" customWidth="1"/>
    <col min="5" max="5" width="24.28515625" style="1" customWidth="1"/>
    <col min="6" max="6" width="15.85546875" style="1" customWidth="1"/>
    <col min="7" max="8" width="18.7109375" style="1" customWidth="1"/>
    <col min="9" max="9" width="11.42578125" style="1"/>
    <col min="10" max="10" width="15.140625" style="1" customWidth="1"/>
    <col min="11" max="11" width="11.42578125" style="1"/>
    <col min="12" max="12" width="19" style="1" bestFit="1" customWidth="1"/>
    <col min="13" max="13" width="15.5703125" style="1" bestFit="1" customWidth="1"/>
    <col min="14" max="14" width="20.7109375" style="1" customWidth="1"/>
    <col min="15" max="15" width="12.42578125" style="1" bestFit="1" customWidth="1"/>
    <col min="16" max="16" width="10.5703125" style="1" bestFit="1" customWidth="1"/>
    <col min="17" max="17" width="10.42578125" style="1" bestFit="1" customWidth="1"/>
    <col min="18" max="16384" width="11.42578125" style="1"/>
  </cols>
  <sheetData>
    <row r="1" spans="2:17" ht="18" customHeight="1" thickBot="1" x14ac:dyDescent="0.3"/>
    <row r="2" spans="2:17" ht="15" x14ac:dyDescent="0.25">
      <c r="B2" s="259" t="s">
        <v>169</v>
      </c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1"/>
    </row>
    <row r="3" spans="2:17" ht="18.75" customHeight="1" thickBot="1" x14ac:dyDescent="0.3">
      <c r="B3" s="282">
        <f>'RESUMEN '!B3:J3</f>
        <v>44561</v>
      </c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283"/>
      <c r="Q3" s="266"/>
    </row>
    <row r="4" spans="2:17" ht="12.75" thickBot="1" x14ac:dyDescent="0.3"/>
    <row r="5" spans="2:17" x14ac:dyDescent="0.25">
      <c r="B5" s="76" t="s">
        <v>23</v>
      </c>
      <c r="C5" s="77" t="s">
        <v>24</v>
      </c>
      <c r="D5" s="77" t="s">
        <v>25</v>
      </c>
      <c r="E5" s="77" t="s">
        <v>2</v>
      </c>
      <c r="F5" s="77" t="s">
        <v>3</v>
      </c>
      <c r="G5" s="77" t="s">
        <v>4</v>
      </c>
      <c r="H5" s="77" t="s">
        <v>5</v>
      </c>
      <c r="I5" s="77" t="s">
        <v>6</v>
      </c>
      <c r="J5" s="78" t="s">
        <v>7</v>
      </c>
      <c r="K5" s="77" t="s">
        <v>26</v>
      </c>
      <c r="L5" s="77" t="s">
        <v>2</v>
      </c>
      <c r="M5" s="77" t="s">
        <v>3</v>
      </c>
      <c r="N5" s="77" t="s">
        <v>4</v>
      </c>
      <c r="O5" s="77" t="s">
        <v>5</v>
      </c>
      <c r="P5" s="77" t="s">
        <v>6</v>
      </c>
      <c r="Q5" s="79" t="s">
        <v>27</v>
      </c>
    </row>
    <row r="6" spans="2:17" x14ac:dyDescent="0.25">
      <c r="B6" s="275" t="s">
        <v>28</v>
      </c>
      <c r="C6" s="277" t="s">
        <v>23</v>
      </c>
      <c r="D6" s="86" t="s">
        <v>63</v>
      </c>
      <c r="E6" s="43">
        <v>2</v>
      </c>
      <c r="F6" s="41"/>
      <c r="G6" s="41">
        <f>E6+F6</f>
        <v>2</v>
      </c>
      <c r="H6" s="88"/>
      <c r="I6" s="41">
        <f>G6-H6</f>
        <v>2</v>
      </c>
      <c r="J6" s="42">
        <f>H6/G6</f>
        <v>0</v>
      </c>
      <c r="K6" s="10" t="s">
        <v>91</v>
      </c>
      <c r="L6" s="273">
        <f>E6+E7</f>
        <v>3</v>
      </c>
      <c r="M6" s="273">
        <f>F6+F7</f>
        <v>0</v>
      </c>
      <c r="N6" s="273">
        <f>L6+M6</f>
        <v>3</v>
      </c>
      <c r="O6" s="273">
        <f>H6+H7</f>
        <v>0</v>
      </c>
      <c r="P6" s="273">
        <f>N6-O6</f>
        <v>3</v>
      </c>
      <c r="Q6" s="279">
        <f>O6/N6</f>
        <v>0</v>
      </c>
    </row>
    <row r="7" spans="2:17" x14ac:dyDescent="0.25">
      <c r="B7" s="276"/>
      <c r="C7" s="278"/>
      <c r="D7" s="86" t="s">
        <v>64</v>
      </c>
      <c r="E7" s="43">
        <v>1</v>
      </c>
      <c r="F7" s="41"/>
      <c r="G7" s="41">
        <f>E7+F7+I6</f>
        <v>3</v>
      </c>
      <c r="H7" s="88"/>
      <c r="I7" s="41">
        <f>G7-H7</f>
        <v>3</v>
      </c>
      <c r="J7" s="42">
        <f t="shared" ref="J7:J29" si="0">H7/G7</f>
        <v>0</v>
      </c>
      <c r="K7" s="10" t="s">
        <v>91</v>
      </c>
      <c r="L7" s="274"/>
      <c r="M7" s="274"/>
      <c r="N7" s="274"/>
      <c r="O7" s="274"/>
      <c r="P7" s="274"/>
      <c r="Q7" s="280"/>
    </row>
    <row r="8" spans="2:17" x14ac:dyDescent="0.25">
      <c r="B8" s="275" t="s">
        <v>29</v>
      </c>
      <c r="C8" s="277" t="s">
        <v>23</v>
      </c>
      <c r="D8" s="86" t="s">
        <v>63</v>
      </c>
      <c r="E8" s="43">
        <v>2</v>
      </c>
      <c r="F8" s="41"/>
      <c r="G8" s="41">
        <f>E8+F8</f>
        <v>2</v>
      </c>
      <c r="H8" s="88"/>
      <c r="I8" s="41">
        <f>G8-H8</f>
        <v>2</v>
      </c>
      <c r="J8" s="42">
        <f t="shared" si="0"/>
        <v>0</v>
      </c>
      <c r="K8" s="10" t="s">
        <v>91</v>
      </c>
      <c r="L8" s="273">
        <f t="shared" ref="L8" si="1">E8+E9</f>
        <v>3</v>
      </c>
      <c r="M8" s="273">
        <f t="shared" ref="M8" si="2">F8+F9</f>
        <v>0</v>
      </c>
      <c r="N8" s="273">
        <f t="shared" ref="N8" si="3">L8+M8</f>
        <v>3</v>
      </c>
      <c r="O8" s="273">
        <f t="shared" ref="O8" si="4">H8+H9</f>
        <v>0</v>
      </c>
      <c r="P8" s="273">
        <f t="shared" ref="P8" si="5">N8-O8</f>
        <v>3</v>
      </c>
      <c r="Q8" s="279">
        <f t="shared" ref="Q8" si="6">O8/N8</f>
        <v>0</v>
      </c>
    </row>
    <row r="9" spans="2:17" x14ac:dyDescent="0.25">
      <c r="B9" s="276"/>
      <c r="C9" s="278"/>
      <c r="D9" s="86" t="s">
        <v>64</v>
      </c>
      <c r="E9" s="43">
        <v>1</v>
      </c>
      <c r="F9" s="41"/>
      <c r="G9" s="41">
        <f>E9+F9+I8</f>
        <v>3</v>
      </c>
      <c r="H9" s="43"/>
      <c r="I9" s="41">
        <f>G9-H9</f>
        <v>3</v>
      </c>
      <c r="J9" s="42">
        <f t="shared" si="0"/>
        <v>0</v>
      </c>
      <c r="K9" s="10" t="s">
        <v>91</v>
      </c>
      <c r="L9" s="274"/>
      <c r="M9" s="274"/>
      <c r="N9" s="274"/>
      <c r="O9" s="274"/>
      <c r="P9" s="274"/>
      <c r="Q9" s="280"/>
    </row>
    <row r="10" spans="2:17" x14ac:dyDescent="0.25">
      <c r="B10" s="275" t="s">
        <v>30</v>
      </c>
      <c r="C10" s="277" t="s">
        <v>58</v>
      </c>
      <c r="D10" s="86" t="s">
        <v>63</v>
      </c>
      <c r="E10" s="43">
        <v>145.58000000000001</v>
      </c>
      <c r="F10" s="41">
        <f>-16.153+43</f>
        <v>26.847000000000001</v>
      </c>
      <c r="G10" s="41">
        <f t="shared" ref="G10" si="7">E10+F10</f>
        <v>172.42700000000002</v>
      </c>
      <c r="H10" s="245">
        <f>-REMANENTE!F9+141.454</f>
        <v>139.721</v>
      </c>
      <c r="I10" s="41">
        <f t="shared" ref="I10:I19" si="8">G10-H10</f>
        <v>32.706000000000017</v>
      </c>
      <c r="J10" s="42">
        <f t="shared" si="0"/>
        <v>0.81031972950871956</v>
      </c>
      <c r="K10" s="202">
        <v>44383</v>
      </c>
      <c r="L10" s="273">
        <f t="shared" ref="L10" si="9">E10+E11</f>
        <v>161.53</v>
      </c>
      <c r="M10" s="273">
        <f t="shared" ref="M10" si="10">F10+F11</f>
        <v>26.847000000000001</v>
      </c>
      <c r="N10" s="273">
        <f t="shared" ref="N10" si="11">L10+M10</f>
        <v>188.37700000000001</v>
      </c>
      <c r="O10" s="273">
        <f t="shared" ref="O10" si="12">H10+H11</f>
        <v>149.965</v>
      </c>
      <c r="P10" s="273">
        <f t="shared" ref="P10" si="13">N10-O10</f>
        <v>38.412000000000006</v>
      </c>
      <c r="Q10" s="279">
        <f t="shared" ref="Q10" si="14">O10/N10</f>
        <v>0.79608975618042543</v>
      </c>
    </row>
    <row r="11" spans="2:17" x14ac:dyDescent="0.25">
      <c r="B11" s="281"/>
      <c r="C11" s="278"/>
      <c r="D11" s="86" t="s">
        <v>64</v>
      </c>
      <c r="E11" s="43">
        <v>15.95</v>
      </c>
      <c r="F11" s="41"/>
      <c r="G11" s="41">
        <f t="shared" ref="G11" si="15">E11+F11+I10</f>
        <v>48.65600000000002</v>
      </c>
      <c r="H11" s="245">
        <v>10.244</v>
      </c>
      <c r="I11" s="41">
        <f t="shared" si="8"/>
        <v>38.41200000000002</v>
      </c>
      <c r="J11" s="42">
        <f t="shared" si="0"/>
        <v>0.21053929628411697</v>
      </c>
      <c r="K11" s="10" t="s">
        <v>91</v>
      </c>
      <c r="L11" s="274"/>
      <c r="M11" s="274"/>
      <c r="N11" s="274"/>
      <c r="O11" s="274"/>
      <c r="P11" s="274"/>
      <c r="Q11" s="280"/>
    </row>
    <row r="12" spans="2:17" x14ac:dyDescent="0.25">
      <c r="B12" s="281"/>
      <c r="C12" s="277" t="s">
        <v>59</v>
      </c>
      <c r="D12" s="86" t="s">
        <v>63</v>
      </c>
      <c r="E12" s="43">
        <v>136.54400000000001</v>
      </c>
      <c r="F12" s="41">
        <v>80</v>
      </c>
      <c r="G12" s="41">
        <f t="shared" ref="G12" si="16">E12+F12</f>
        <v>216.54400000000001</v>
      </c>
      <c r="H12" s="245">
        <f>-2.798+157.232</f>
        <v>154.434</v>
      </c>
      <c r="I12" s="41">
        <f t="shared" si="8"/>
        <v>62.110000000000014</v>
      </c>
      <c r="J12" s="42">
        <f t="shared" si="0"/>
        <v>0.71317607507019354</v>
      </c>
      <c r="K12" s="10" t="s">
        <v>91</v>
      </c>
      <c r="L12" s="273">
        <f t="shared" ref="L12" si="17">E12+E13</f>
        <v>151.50400000000002</v>
      </c>
      <c r="M12" s="273">
        <f t="shared" ref="M12" si="18">F12+F13</f>
        <v>80</v>
      </c>
      <c r="N12" s="273">
        <f t="shared" ref="N12" si="19">L12+M12</f>
        <v>231.50400000000002</v>
      </c>
      <c r="O12" s="273">
        <f t="shared" ref="O12" si="20">H12+H13</f>
        <v>230.51900000000001</v>
      </c>
      <c r="P12" s="273">
        <f t="shared" ref="P12" si="21">N12-O12</f>
        <v>0.98500000000001364</v>
      </c>
      <c r="Q12" s="279">
        <f t="shared" ref="Q12" si="22">O12/N12</f>
        <v>0.99574521390559123</v>
      </c>
    </row>
    <row r="13" spans="2:17" x14ac:dyDescent="0.25">
      <c r="B13" s="281"/>
      <c r="C13" s="278"/>
      <c r="D13" s="86" t="s">
        <v>64</v>
      </c>
      <c r="E13" s="43">
        <v>14.96</v>
      </c>
      <c r="F13" s="41"/>
      <c r="G13" s="41">
        <f t="shared" ref="G13" si="23">E13+F13+I12</f>
        <v>77.070000000000022</v>
      </c>
      <c r="H13" s="245">
        <v>76.084999999999994</v>
      </c>
      <c r="I13" s="41">
        <f t="shared" si="8"/>
        <v>0.98500000000002785</v>
      </c>
      <c r="J13" s="42">
        <f t="shared" si="0"/>
        <v>0.98721941092513266</v>
      </c>
      <c r="K13" s="10" t="s">
        <v>91</v>
      </c>
      <c r="L13" s="274"/>
      <c r="M13" s="274"/>
      <c r="N13" s="274"/>
      <c r="O13" s="274"/>
      <c r="P13" s="274"/>
      <c r="Q13" s="280"/>
    </row>
    <row r="14" spans="2:17" x14ac:dyDescent="0.25">
      <c r="B14" s="281"/>
      <c r="C14" s="277" t="s">
        <v>60</v>
      </c>
      <c r="D14" s="86" t="s">
        <v>63</v>
      </c>
      <c r="E14" s="43">
        <v>105.42</v>
      </c>
      <c r="F14" s="41">
        <v>-5</v>
      </c>
      <c r="G14" s="41">
        <f t="shared" ref="G14" si="24">E14+F14</f>
        <v>100.42</v>
      </c>
      <c r="H14" s="245">
        <f>-4.518+103.627</f>
        <v>99.108999999999995</v>
      </c>
      <c r="I14" s="41">
        <f t="shared" si="8"/>
        <v>1.311000000000007</v>
      </c>
      <c r="J14" s="42">
        <f t="shared" si="0"/>
        <v>0.98694483170683123</v>
      </c>
      <c r="K14" s="10" t="s">
        <v>91</v>
      </c>
      <c r="L14" s="273">
        <f t="shared" ref="L14" si="25">E14+E15</f>
        <v>116.97</v>
      </c>
      <c r="M14" s="273">
        <f t="shared" ref="M14" si="26">F14+F15</f>
        <v>-5</v>
      </c>
      <c r="N14" s="273">
        <f t="shared" ref="N14" si="27">L14+M14</f>
        <v>111.97</v>
      </c>
      <c r="O14" s="273">
        <f t="shared" ref="O14" si="28">H14+H15</f>
        <v>103.53899999999999</v>
      </c>
      <c r="P14" s="273">
        <f t="shared" ref="P14" si="29">N14-O14</f>
        <v>8.4310000000000116</v>
      </c>
      <c r="Q14" s="279">
        <f t="shared" ref="Q14" si="30">O14/N14</f>
        <v>0.92470304545860493</v>
      </c>
    </row>
    <row r="15" spans="2:17" x14ac:dyDescent="0.25">
      <c r="B15" s="281"/>
      <c r="C15" s="278"/>
      <c r="D15" s="86" t="s">
        <v>64</v>
      </c>
      <c r="E15" s="43">
        <v>11.55</v>
      </c>
      <c r="F15" s="41"/>
      <c r="G15" s="41">
        <f t="shared" ref="G15" si="31">E15+F15+I14</f>
        <v>12.861000000000008</v>
      </c>
      <c r="H15" s="245">
        <v>4.43</v>
      </c>
      <c r="I15" s="41">
        <f t="shared" si="8"/>
        <v>8.431000000000008</v>
      </c>
      <c r="J15" s="42">
        <f t="shared" si="0"/>
        <v>0.34445221988958846</v>
      </c>
      <c r="K15" s="10" t="s">
        <v>91</v>
      </c>
      <c r="L15" s="274"/>
      <c r="M15" s="274"/>
      <c r="N15" s="274"/>
      <c r="O15" s="274"/>
      <c r="P15" s="274"/>
      <c r="Q15" s="280"/>
    </row>
    <row r="16" spans="2:17" x14ac:dyDescent="0.25">
      <c r="B16" s="281"/>
      <c r="C16" s="277" t="s">
        <v>61</v>
      </c>
      <c r="D16" s="86" t="s">
        <v>63</v>
      </c>
      <c r="E16" s="43">
        <v>99.396000000000001</v>
      </c>
      <c r="F16" s="41">
        <v>-5</v>
      </c>
      <c r="G16" s="41">
        <f t="shared" ref="G16" si="32">E16+F16</f>
        <v>94.396000000000001</v>
      </c>
      <c r="H16" s="245">
        <v>20.603999999999999</v>
      </c>
      <c r="I16" s="41">
        <f t="shared" si="8"/>
        <v>73.792000000000002</v>
      </c>
      <c r="J16" s="42">
        <f t="shared" si="0"/>
        <v>0.21827196067629984</v>
      </c>
      <c r="K16" s="10" t="s">
        <v>91</v>
      </c>
      <c r="L16" s="273">
        <f t="shared" ref="L16" si="33">E16+E17</f>
        <v>110.286</v>
      </c>
      <c r="M16" s="273">
        <f t="shared" ref="M16" si="34">F16+F17</f>
        <v>-10</v>
      </c>
      <c r="N16" s="273">
        <f t="shared" ref="N16" si="35">L16+M16</f>
        <v>100.286</v>
      </c>
      <c r="O16" s="273">
        <f t="shared" ref="O16" si="36">H16+H17</f>
        <v>20.603999999999999</v>
      </c>
      <c r="P16" s="273">
        <f t="shared" ref="P16" si="37">N16-O16</f>
        <v>79.682000000000002</v>
      </c>
      <c r="Q16" s="279">
        <f t="shared" ref="Q16" si="38">O16/N16</f>
        <v>0.20545240611850107</v>
      </c>
    </row>
    <row r="17" spans="2:17" x14ac:dyDescent="0.25">
      <c r="B17" s="281"/>
      <c r="C17" s="278"/>
      <c r="D17" s="86" t="s">
        <v>64</v>
      </c>
      <c r="E17" s="43">
        <v>10.89</v>
      </c>
      <c r="F17" s="41">
        <v>-5</v>
      </c>
      <c r="G17" s="41">
        <f t="shared" ref="G17" si="39">E17+F17+I16</f>
        <v>79.682000000000002</v>
      </c>
      <c r="H17" s="245"/>
      <c r="I17" s="41">
        <f t="shared" si="8"/>
        <v>79.682000000000002</v>
      </c>
      <c r="J17" s="42">
        <f t="shared" si="0"/>
        <v>0</v>
      </c>
      <c r="K17" s="10" t="s">
        <v>91</v>
      </c>
      <c r="L17" s="274"/>
      <c r="M17" s="274"/>
      <c r="N17" s="274"/>
      <c r="O17" s="274"/>
      <c r="P17" s="274"/>
      <c r="Q17" s="280"/>
    </row>
    <row r="18" spans="2:17" x14ac:dyDescent="0.25">
      <c r="B18" s="281"/>
      <c r="C18" s="277" t="s">
        <v>62</v>
      </c>
      <c r="D18" s="86" t="s">
        <v>63</v>
      </c>
      <c r="E18" s="43">
        <v>15.06</v>
      </c>
      <c r="F18" s="41">
        <f>5+5</f>
        <v>10</v>
      </c>
      <c r="G18" s="41">
        <f t="shared" ref="G18" si="40">E18+F18</f>
        <v>25.060000000000002</v>
      </c>
      <c r="H18" s="245">
        <v>20.99</v>
      </c>
      <c r="I18" s="41">
        <f t="shared" si="8"/>
        <v>4.0700000000000038</v>
      </c>
      <c r="J18" s="42">
        <f t="shared" si="0"/>
        <v>0.83758978451715871</v>
      </c>
      <c r="K18" s="137">
        <v>44383</v>
      </c>
      <c r="L18" s="273">
        <f t="shared" ref="L18" si="41">E18+E19</f>
        <v>16.71</v>
      </c>
      <c r="M18" s="273">
        <f t="shared" ref="M18" si="42">F18+F19</f>
        <v>15</v>
      </c>
      <c r="N18" s="273">
        <f t="shared" ref="N18" si="43">L18+M18</f>
        <v>31.71</v>
      </c>
      <c r="O18" s="273">
        <f t="shared" ref="O18" si="44">H18+H19</f>
        <v>28.431999999999999</v>
      </c>
      <c r="P18" s="273">
        <f t="shared" ref="P18" si="45">N18-O18</f>
        <v>3.2780000000000022</v>
      </c>
      <c r="Q18" s="279">
        <f t="shared" ref="Q18" si="46">O18/N18</f>
        <v>0.89662567013560379</v>
      </c>
    </row>
    <row r="19" spans="2:17" ht="13.5" customHeight="1" x14ac:dyDescent="0.25">
      <c r="B19" s="276"/>
      <c r="C19" s="278"/>
      <c r="D19" s="86" t="s">
        <v>64</v>
      </c>
      <c r="E19" s="43">
        <v>1.65</v>
      </c>
      <c r="F19" s="41">
        <v>5</v>
      </c>
      <c r="G19" s="41">
        <f>E19+F19+I18</f>
        <v>10.720000000000004</v>
      </c>
      <c r="H19" s="245">
        <v>7.4420000000000002</v>
      </c>
      <c r="I19" s="41">
        <f t="shared" si="8"/>
        <v>3.278000000000004</v>
      </c>
      <c r="J19" s="42">
        <f t="shared" si="0"/>
        <v>0.69421641791044753</v>
      </c>
      <c r="K19" s="137">
        <v>44524</v>
      </c>
      <c r="L19" s="274"/>
      <c r="M19" s="274"/>
      <c r="N19" s="274"/>
      <c r="O19" s="274"/>
      <c r="P19" s="274"/>
      <c r="Q19" s="280"/>
    </row>
    <row r="20" spans="2:17" x14ac:dyDescent="0.25">
      <c r="B20" s="275" t="s">
        <v>31</v>
      </c>
      <c r="C20" s="277" t="s">
        <v>23</v>
      </c>
      <c r="D20" s="86" t="s">
        <v>63</v>
      </c>
      <c r="E20" s="43">
        <v>406</v>
      </c>
      <c r="F20" s="41"/>
      <c r="G20" s="41">
        <f t="shared" ref="G20" si="47">E20+F20</f>
        <v>406</v>
      </c>
      <c r="H20" s="245">
        <v>414.97</v>
      </c>
      <c r="I20" s="41">
        <f>G20-H20</f>
        <v>-8.9700000000000273</v>
      </c>
      <c r="J20" s="42">
        <f t="shared" si="0"/>
        <v>1.0220935960591133</v>
      </c>
      <c r="K20" s="137">
        <v>44284</v>
      </c>
      <c r="L20" s="273">
        <f>E20+E21</f>
        <v>578</v>
      </c>
      <c r="M20" s="273">
        <f t="shared" ref="M20" si="48">F20+F21</f>
        <v>0</v>
      </c>
      <c r="N20" s="273">
        <f t="shared" ref="N20" si="49">L20+M20</f>
        <v>578</v>
      </c>
      <c r="O20" s="273">
        <f t="shared" ref="O20" si="50">H20+H21</f>
        <v>580.72700000000009</v>
      </c>
      <c r="P20" s="273">
        <f t="shared" ref="P20" si="51">N20-O20</f>
        <v>-2.7270000000000891</v>
      </c>
      <c r="Q20" s="279">
        <f t="shared" ref="Q20" si="52">O20/N20</f>
        <v>1.0047179930795849</v>
      </c>
    </row>
    <row r="21" spans="2:17" x14ac:dyDescent="0.25">
      <c r="B21" s="281"/>
      <c r="C21" s="284"/>
      <c r="D21" s="86" t="s">
        <v>64</v>
      </c>
      <c r="E21" s="43">
        <v>172</v>
      </c>
      <c r="F21" s="41"/>
      <c r="G21" s="41">
        <f>E21+F21+I20</f>
        <v>163.02999999999997</v>
      </c>
      <c r="H21" s="245">
        <f>118.632+47.125</f>
        <v>165.75700000000001</v>
      </c>
      <c r="I21" s="41">
        <f>G21-H21</f>
        <v>-2.7270000000000323</v>
      </c>
      <c r="J21" s="42">
        <f t="shared" si="0"/>
        <v>1.0167269827639087</v>
      </c>
      <c r="K21" s="137">
        <v>44531</v>
      </c>
      <c r="L21" s="274"/>
      <c r="M21" s="274"/>
      <c r="N21" s="274"/>
      <c r="O21" s="274"/>
      <c r="P21" s="274"/>
      <c r="Q21" s="280"/>
    </row>
    <row r="22" spans="2:17" x14ac:dyDescent="0.25">
      <c r="B22" s="275" t="s">
        <v>32</v>
      </c>
      <c r="C22" s="277" t="s">
        <v>23</v>
      </c>
      <c r="D22" s="86" t="s">
        <v>63</v>
      </c>
      <c r="E22" s="43">
        <v>2</v>
      </c>
      <c r="F22" s="41"/>
      <c r="G22" s="41">
        <f t="shared" ref="G22" si="53">E22+F22</f>
        <v>2</v>
      </c>
      <c r="H22" s="88"/>
      <c r="I22" s="41">
        <f t="shared" ref="I22:I23" si="54">G22-H22</f>
        <v>2</v>
      </c>
      <c r="J22" s="42">
        <f t="shared" si="0"/>
        <v>0</v>
      </c>
      <c r="K22" s="10" t="s">
        <v>91</v>
      </c>
      <c r="L22" s="273">
        <f t="shared" ref="L22" si="55">E22+E23</f>
        <v>3</v>
      </c>
      <c r="M22" s="273">
        <f t="shared" ref="M22" si="56">F22+F23</f>
        <v>0</v>
      </c>
      <c r="N22" s="273">
        <f t="shared" ref="N22" si="57">L22+M22</f>
        <v>3</v>
      </c>
      <c r="O22" s="273">
        <f t="shared" ref="O22" si="58">H22+H23</f>
        <v>0</v>
      </c>
      <c r="P22" s="273">
        <f t="shared" ref="P22" si="59">N22-O22</f>
        <v>3</v>
      </c>
      <c r="Q22" s="279">
        <f t="shared" ref="Q22" si="60">O22/N22</f>
        <v>0</v>
      </c>
    </row>
    <row r="23" spans="2:17" x14ac:dyDescent="0.25">
      <c r="B23" s="276"/>
      <c r="C23" s="278"/>
      <c r="D23" s="86" t="s">
        <v>64</v>
      </c>
      <c r="E23" s="43">
        <v>1</v>
      </c>
      <c r="F23" s="41"/>
      <c r="G23" s="41">
        <f t="shared" ref="G23" si="61">E23+F23+I22</f>
        <v>3</v>
      </c>
      <c r="H23" s="88"/>
      <c r="I23" s="41">
        <f t="shared" si="54"/>
        <v>3</v>
      </c>
      <c r="J23" s="42">
        <f t="shared" si="0"/>
        <v>0</v>
      </c>
      <c r="K23" s="10" t="s">
        <v>91</v>
      </c>
      <c r="L23" s="274"/>
      <c r="M23" s="274"/>
      <c r="N23" s="274"/>
      <c r="O23" s="274"/>
      <c r="P23" s="274"/>
      <c r="Q23" s="280"/>
    </row>
    <row r="24" spans="2:17" x14ac:dyDescent="0.25">
      <c r="B24" s="275" t="s">
        <v>33</v>
      </c>
      <c r="C24" s="277" t="s">
        <v>23</v>
      </c>
      <c r="D24" s="86" t="s">
        <v>63</v>
      </c>
      <c r="E24" s="43">
        <v>2</v>
      </c>
      <c r="F24" s="41"/>
      <c r="G24" s="41">
        <f t="shared" ref="G24" si="62">E24+F24</f>
        <v>2</v>
      </c>
      <c r="H24" s="88"/>
      <c r="I24" s="41">
        <f t="shared" ref="I24:I27" si="63">G24-H24</f>
        <v>2</v>
      </c>
      <c r="J24" s="42">
        <f t="shared" si="0"/>
        <v>0</v>
      </c>
      <c r="K24" s="10" t="s">
        <v>91</v>
      </c>
      <c r="L24" s="273">
        <f t="shared" ref="L24" si="64">E24+E25</f>
        <v>3</v>
      </c>
      <c r="M24" s="273">
        <f t="shared" ref="M24" si="65">F24+F25</f>
        <v>0</v>
      </c>
      <c r="N24" s="273">
        <f t="shared" ref="N24" si="66">L24+M24</f>
        <v>3</v>
      </c>
      <c r="O24" s="273">
        <f t="shared" ref="O24" si="67">H24+H25</f>
        <v>0</v>
      </c>
      <c r="P24" s="273">
        <f t="shared" ref="P24" si="68">N24-O24</f>
        <v>3</v>
      </c>
      <c r="Q24" s="279">
        <f t="shared" ref="Q24" si="69">O24/N24</f>
        <v>0</v>
      </c>
    </row>
    <row r="25" spans="2:17" x14ac:dyDescent="0.25">
      <c r="B25" s="276"/>
      <c r="C25" s="278"/>
      <c r="D25" s="86" t="s">
        <v>64</v>
      </c>
      <c r="E25" s="43">
        <v>1</v>
      </c>
      <c r="F25" s="41"/>
      <c r="G25" s="41">
        <f t="shared" ref="G25" si="70">E25+F25+I24</f>
        <v>3</v>
      </c>
      <c r="H25" s="88"/>
      <c r="I25" s="41">
        <f t="shared" si="63"/>
        <v>3</v>
      </c>
      <c r="J25" s="42">
        <f t="shared" si="0"/>
        <v>0</v>
      </c>
      <c r="K25" s="10" t="s">
        <v>91</v>
      </c>
      <c r="L25" s="274"/>
      <c r="M25" s="274"/>
      <c r="N25" s="274"/>
      <c r="O25" s="274"/>
      <c r="P25" s="274"/>
      <c r="Q25" s="280"/>
    </row>
    <row r="26" spans="2:17" x14ac:dyDescent="0.25">
      <c r="B26" s="275" t="s">
        <v>34</v>
      </c>
      <c r="C26" s="277" t="s">
        <v>23</v>
      </c>
      <c r="D26" s="86" t="s">
        <v>63</v>
      </c>
      <c r="E26" s="43">
        <v>2</v>
      </c>
      <c r="F26" s="41"/>
      <c r="G26" s="41">
        <f t="shared" ref="G26" si="71">E26+F26</f>
        <v>2</v>
      </c>
      <c r="H26" s="88"/>
      <c r="I26" s="41">
        <f t="shared" si="63"/>
        <v>2</v>
      </c>
      <c r="J26" s="42">
        <f t="shared" si="0"/>
        <v>0</v>
      </c>
      <c r="K26" s="10" t="s">
        <v>91</v>
      </c>
      <c r="L26" s="273">
        <f>E26+E27</f>
        <v>3</v>
      </c>
      <c r="M26" s="273">
        <f t="shared" ref="M26" si="72">F26+F27</f>
        <v>0</v>
      </c>
      <c r="N26" s="273">
        <f t="shared" ref="N26" si="73">L26+M26</f>
        <v>3</v>
      </c>
      <c r="O26" s="273">
        <f t="shared" ref="O26" si="74">H26+H27</f>
        <v>0</v>
      </c>
      <c r="P26" s="273">
        <f t="shared" ref="P26" si="75">N26-O26</f>
        <v>3</v>
      </c>
      <c r="Q26" s="279">
        <f t="shared" ref="Q26" si="76">O26/N26</f>
        <v>0</v>
      </c>
    </row>
    <row r="27" spans="2:17" x14ac:dyDescent="0.25">
      <c r="B27" s="276"/>
      <c r="C27" s="278"/>
      <c r="D27" s="86" t="s">
        <v>64</v>
      </c>
      <c r="E27" s="43">
        <v>1</v>
      </c>
      <c r="F27" s="41"/>
      <c r="G27" s="41">
        <f t="shared" ref="G27" si="77">E27+F27+I26</f>
        <v>3</v>
      </c>
      <c r="H27" s="88"/>
      <c r="I27" s="41">
        <f t="shared" si="63"/>
        <v>3</v>
      </c>
      <c r="J27" s="42">
        <f t="shared" si="0"/>
        <v>0</v>
      </c>
      <c r="K27" s="10" t="s">
        <v>91</v>
      </c>
      <c r="L27" s="274"/>
      <c r="M27" s="274"/>
      <c r="N27" s="274"/>
      <c r="O27" s="274"/>
      <c r="P27" s="274"/>
      <c r="Q27" s="280"/>
    </row>
    <row r="28" spans="2:17" x14ac:dyDescent="0.25">
      <c r="B28" s="87" t="s">
        <v>15</v>
      </c>
      <c r="C28" s="86" t="s">
        <v>101</v>
      </c>
      <c r="D28" s="86" t="s">
        <v>66</v>
      </c>
      <c r="E28" s="43">
        <v>25</v>
      </c>
      <c r="F28" s="41"/>
      <c r="G28" s="41">
        <f>E28+F28</f>
        <v>25</v>
      </c>
      <c r="H28" s="245">
        <v>0.13800000000000001</v>
      </c>
      <c r="I28" s="41">
        <f>G28-H28</f>
        <v>24.861999999999998</v>
      </c>
      <c r="J28" s="42">
        <f t="shared" si="0"/>
        <v>5.5200000000000006E-3</v>
      </c>
      <c r="K28" s="10" t="s">
        <v>91</v>
      </c>
      <c r="L28" s="75">
        <f>E28</f>
        <v>25</v>
      </c>
      <c r="M28" s="75">
        <f>F28</f>
        <v>0</v>
      </c>
      <c r="N28" s="75">
        <f t="shared" ref="N28:Q29" si="78">G28</f>
        <v>25</v>
      </c>
      <c r="O28" s="75">
        <f t="shared" si="78"/>
        <v>0.13800000000000001</v>
      </c>
      <c r="P28" s="75">
        <f t="shared" si="78"/>
        <v>24.861999999999998</v>
      </c>
      <c r="Q28" s="80">
        <f t="shared" si="78"/>
        <v>5.5200000000000006E-3</v>
      </c>
    </row>
    <row r="29" spans="2:17" ht="12.75" thickBot="1" x14ac:dyDescent="0.3">
      <c r="B29" s="270" t="s">
        <v>19</v>
      </c>
      <c r="C29" s="271"/>
      <c r="D29" s="272"/>
      <c r="E29" s="81">
        <f>SUM(E6:E28)</f>
        <v>1175</v>
      </c>
      <c r="F29" s="44">
        <f>SUM(F6:F28)</f>
        <v>106.84700000000001</v>
      </c>
      <c r="G29" s="44">
        <f>E29+F29</f>
        <v>1281.847</v>
      </c>
      <c r="H29" s="89">
        <f>SUM(H6:H28)</f>
        <v>1113.924</v>
      </c>
      <c r="I29" s="44">
        <f>G29-H29</f>
        <v>167.923</v>
      </c>
      <c r="J29" s="82">
        <f t="shared" si="0"/>
        <v>0.86899918633034989</v>
      </c>
      <c r="K29" s="83" t="s">
        <v>91</v>
      </c>
      <c r="L29" s="84">
        <f>E29</f>
        <v>1175</v>
      </c>
      <c r="M29" s="84">
        <f t="shared" ref="M29" si="79">F29</f>
        <v>106.84700000000001</v>
      </c>
      <c r="N29" s="84">
        <f t="shared" si="78"/>
        <v>1281.847</v>
      </c>
      <c r="O29" s="84">
        <f t="shared" si="78"/>
        <v>1113.924</v>
      </c>
      <c r="P29" s="84">
        <f t="shared" si="78"/>
        <v>167.923</v>
      </c>
      <c r="Q29" s="85">
        <f t="shared" si="78"/>
        <v>0.86899918633034989</v>
      </c>
    </row>
    <row r="30" spans="2:17" hidden="1" x14ac:dyDescent="0.25">
      <c r="J30" s="141">
        <v>1</v>
      </c>
    </row>
  </sheetData>
  <mergeCells count="87">
    <mergeCell ref="B2:Q2"/>
    <mergeCell ref="B3:Q3"/>
    <mergeCell ref="C16:C17"/>
    <mergeCell ref="C18:C19"/>
    <mergeCell ref="C20:C21"/>
    <mergeCell ref="L16:L17"/>
    <mergeCell ref="L18:L19"/>
    <mergeCell ref="M6:M7"/>
    <mergeCell ref="N6:N7"/>
    <mergeCell ref="O6:O7"/>
    <mergeCell ref="P6:P7"/>
    <mergeCell ref="Q6:Q7"/>
    <mergeCell ref="M8:M9"/>
    <mergeCell ref="N8:N9"/>
    <mergeCell ref="O8:O9"/>
    <mergeCell ref="P8:P9"/>
    <mergeCell ref="B6:B7"/>
    <mergeCell ref="B8:B9"/>
    <mergeCell ref="B10:B19"/>
    <mergeCell ref="B20:B21"/>
    <mergeCell ref="C6:C7"/>
    <mergeCell ref="C8:C9"/>
    <mergeCell ref="C10:C11"/>
    <mergeCell ref="C12:C13"/>
    <mergeCell ref="C14:C15"/>
    <mergeCell ref="L6:L7"/>
    <mergeCell ref="L8:L9"/>
    <mergeCell ref="L10:L11"/>
    <mergeCell ref="L12:L13"/>
    <mergeCell ref="L14:L15"/>
    <mergeCell ref="Q8:Q9"/>
    <mergeCell ref="M10:M11"/>
    <mergeCell ref="N10:N11"/>
    <mergeCell ref="O10:O11"/>
    <mergeCell ref="P10:P11"/>
    <mergeCell ref="Q10:Q11"/>
    <mergeCell ref="M12:M13"/>
    <mergeCell ref="N12:N13"/>
    <mergeCell ref="O12:O13"/>
    <mergeCell ref="P12:P13"/>
    <mergeCell ref="Q12:Q13"/>
    <mergeCell ref="M14:M15"/>
    <mergeCell ref="N14:N15"/>
    <mergeCell ref="O14:O15"/>
    <mergeCell ref="P14:P15"/>
    <mergeCell ref="Q14:Q15"/>
    <mergeCell ref="M16:M17"/>
    <mergeCell ref="N16:N17"/>
    <mergeCell ref="O16:O17"/>
    <mergeCell ref="P16:P17"/>
    <mergeCell ref="Q16:Q17"/>
    <mergeCell ref="Q22:Q23"/>
    <mergeCell ref="Q20:Q21"/>
    <mergeCell ref="M18:M19"/>
    <mergeCell ref="N18:N19"/>
    <mergeCell ref="O18:O19"/>
    <mergeCell ref="P18:P19"/>
    <mergeCell ref="Q18:Q19"/>
    <mergeCell ref="P20:P21"/>
    <mergeCell ref="M22:M23"/>
    <mergeCell ref="N22:N23"/>
    <mergeCell ref="O22:O23"/>
    <mergeCell ref="P22:P23"/>
    <mergeCell ref="Q26:Q27"/>
    <mergeCell ref="M24:M25"/>
    <mergeCell ref="N24:N25"/>
    <mergeCell ref="O24:O25"/>
    <mergeCell ref="P24:P25"/>
    <mergeCell ref="Q24:Q25"/>
    <mergeCell ref="M26:M27"/>
    <mergeCell ref="N26:N27"/>
    <mergeCell ref="O26:O27"/>
    <mergeCell ref="P26:P27"/>
    <mergeCell ref="B29:D29"/>
    <mergeCell ref="L20:L21"/>
    <mergeCell ref="M20:M21"/>
    <mergeCell ref="N20:N21"/>
    <mergeCell ref="O20:O21"/>
    <mergeCell ref="B24:B25"/>
    <mergeCell ref="C24:C25"/>
    <mergeCell ref="C26:C27"/>
    <mergeCell ref="B26:B27"/>
    <mergeCell ref="L22:L23"/>
    <mergeCell ref="L24:L25"/>
    <mergeCell ref="L26:L27"/>
    <mergeCell ref="C22:C23"/>
    <mergeCell ref="B22:B23"/>
  </mergeCells>
  <conditionalFormatting sqref="J6:J29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{02BF2394-9B0B-4E84-AEC0-C1EDF71C992B}</x14:id>
        </ext>
      </extLst>
    </cfRule>
  </conditionalFormatting>
  <conditionalFormatting sqref="J6:J30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{ED358EA0-B685-4E1C-ACF3-3D7378DD9FC4}</x14:id>
        </ext>
      </extLst>
    </cfRule>
  </conditionalFormatting>
  <conditionalFormatting sqref="Q6:Q29">
    <cfRule type="cellIs" dxfId="7" priority="1" operator="greaterThan">
      <formula>0.99</formula>
    </cfRule>
  </conditionalFormatting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2BF2394-9B0B-4E84-AEC0-C1EDF71C992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J6:J29</xm:sqref>
        </x14:conditionalFormatting>
        <x14:conditionalFormatting xmlns:xm="http://schemas.microsoft.com/office/excel/2006/main">
          <x14:cfRule type="dataBar" id="{ED358EA0-B685-4E1C-ACF3-3D7378DD9FC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J6:J30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L13" sqref="L13"/>
    </sheetView>
  </sheetViews>
  <sheetFormatPr baseColWidth="10" defaultRowHeight="15" x14ac:dyDescent="0.25"/>
  <cols>
    <col min="1" max="1" width="11.42578125" style="170"/>
    <col min="2" max="2" width="24.5703125" style="170" bestFit="1" customWidth="1"/>
    <col min="3" max="3" width="13.42578125" style="170" bestFit="1" customWidth="1"/>
    <col min="4" max="4" width="18.5703125" style="170" customWidth="1"/>
    <col min="5" max="5" width="15.140625" style="170" customWidth="1"/>
    <col min="6" max="16384" width="11.42578125" style="170"/>
  </cols>
  <sheetData>
    <row r="1" spans="2:9" ht="15.75" x14ac:dyDescent="0.25">
      <c r="B1" s="285" t="s">
        <v>159</v>
      </c>
      <c r="C1" s="286"/>
      <c r="D1" s="286"/>
      <c r="E1" s="286"/>
      <c r="F1" s="286"/>
      <c r="G1" s="286"/>
      <c r="H1" s="286"/>
      <c r="I1" s="287"/>
    </row>
    <row r="2" spans="2:9" ht="16.5" thickBot="1" x14ac:dyDescent="0.3">
      <c r="B2" s="288">
        <f>'RESUMEN '!B3:J3</f>
        <v>44561</v>
      </c>
      <c r="C2" s="289"/>
      <c r="D2" s="289"/>
      <c r="E2" s="289"/>
      <c r="F2" s="289"/>
      <c r="G2" s="289"/>
      <c r="H2" s="289"/>
      <c r="I2" s="290"/>
    </row>
    <row r="5" spans="2:9" ht="15.75" thickBot="1" x14ac:dyDescent="0.3"/>
    <row r="6" spans="2:9" ht="45.75" thickBot="1" x14ac:dyDescent="0.3">
      <c r="B6" s="182" t="s">
        <v>158</v>
      </c>
      <c r="C6" s="183" t="s">
        <v>157</v>
      </c>
      <c r="D6" s="183" t="s">
        <v>156</v>
      </c>
      <c r="E6" s="183" t="s">
        <v>155</v>
      </c>
      <c r="F6" s="183" t="s">
        <v>154</v>
      </c>
      <c r="G6" s="183" t="s">
        <v>153</v>
      </c>
      <c r="H6" s="183" t="s">
        <v>152</v>
      </c>
      <c r="I6" s="184" t="s">
        <v>151</v>
      </c>
    </row>
    <row r="7" spans="2:9" ht="15.75" thickBot="1" x14ac:dyDescent="0.3">
      <c r="B7" s="196" t="s">
        <v>164</v>
      </c>
      <c r="C7" s="197" t="s">
        <v>23</v>
      </c>
      <c r="D7" s="190" t="s">
        <v>149</v>
      </c>
      <c r="E7" s="198">
        <v>3</v>
      </c>
      <c r="F7" s="197">
        <v>0</v>
      </c>
      <c r="G7" s="198">
        <f t="shared" ref="G7:G12" si="0">E7-F7</f>
        <v>3</v>
      </c>
      <c r="H7" s="199">
        <f t="shared" ref="H7:H12" si="1">F7/E7</f>
        <v>0</v>
      </c>
      <c r="I7" s="200">
        <v>44329</v>
      </c>
    </row>
    <row r="8" spans="2:9" ht="15.75" thickBot="1" x14ac:dyDescent="0.3">
      <c r="B8" s="188" t="s">
        <v>160</v>
      </c>
      <c r="C8" s="189" t="s">
        <v>23</v>
      </c>
      <c r="D8" s="190" t="s">
        <v>149</v>
      </c>
      <c r="E8" s="191">
        <v>3</v>
      </c>
      <c r="F8" s="189">
        <v>0</v>
      </c>
      <c r="G8" s="189">
        <f t="shared" si="0"/>
        <v>3</v>
      </c>
      <c r="H8" s="192">
        <f t="shared" si="1"/>
        <v>0</v>
      </c>
      <c r="I8" s="200">
        <v>44329</v>
      </c>
    </row>
    <row r="9" spans="2:9" x14ac:dyDescent="0.25">
      <c r="B9" s="291" t="s">
        <v>150</v>
      </c>
      <c r="C9" s="185" t="s">
        <v>58</v>
      </c>
      <c r="D9" s="185" t="s">
        <v>149</v>
      </c>
      <c r="E9" s="186">
        <v>1.7330000000000041</v>
      </c>
      <c r="F9" s="185">
        <v>1.7330000000000001</v>
      </c>
      <c r="G9" s="186">
        <f t="shared" si="0"/>
        <v>3.9968028886505635E-15</v>
      </c>
      <c r="H9" s="187">
        <f t="shared" si="1"/>
        <v>0.99999999999999767</v>
      </c>
      <c r="I9" s="200">
        <v>44329</v>
      </c>
    </row>
    <row r="10" spans="2:9" ht="15.75" thickBot="1" x14ac:dyDescent="0.3">
      <c r="B10" s="291"/>
      <c r="C10" s="173" t="s">
        <v>59</v>
      </c>
      <c r="D10" s="173" t="s">
        <v>149</v>
      </c>
      <c r="E10" s="172">
        <v>2.7980000000000018</v>
      </c>
      <c r="F10" s="173">
        <v>2.798</v>
      </c>
      <c r="G10" s="172">
        <f t="shared" si="0"/>
        <v>0</v>
      </c>
      <c r="H10" s="171">
        <f t="shared" si="1"/>
        <v>0.99999999999999933</v>
      </c>
      <c r="I10" s="174">
        <v>44312</v>
      </c>
    </row>
    <row r="11" spans="2:9" ht="15.75" thickBot="1" x14ac:dyDescent="0.3">
      <c r="B11" s="291"/>
      <c r="C11" s="173" t="s">
        <v>60</v>
      </c>
      <c r="D11" s="173" t="s">
        <v>149</v>
      </c>
      <c r="E11" s="172">
        <v>81.266999999999996</v>
      </c>
      <c r="F11" s="173">
        <v>4.5179999999999998</v>
      </c>
      <c r="G11" s="172">
        <f t="shared" si="0"/>
        <v>76.748999999999995</v>
      </c>
      <c r="H11" s="171">
        <f t="shared" si="1"/>
        <v>5.5594521761600652E-2</v>
      </c>
      <c r="I11" s="200">
        <v>44329</v>
      </c>
    </row>
    <row r="12" spans="2:9" ht="15.75" thickBot="1" x14ac:dyDescent="0.3">
      <c r="B12" s="291"/>
      <c r="C12" s="175" t="s">
        <v>61</v>
      </c>
      <c r="D12" s="175" t="s">
        <v>149</v>
      </c>
      <c r="E12" s="176">
        <v>39.748999999999995</v>
      </c>
      <c r="F12" s="175">
        <v>0</v>
      </c>
      <c r="G12" s="176">
        <f t="shared" si="0"/>
        <v>39.748999999999995</v>
      </c>
      <c r="H12" s="177">
        <f t="shared" si="1"/>
        <v>0</v>
      </c>
      <c r="I12" s="200">
        <v>44329</v>
      </c>
    </row>
    <row r="13" spans="2:9" ht="15.75" thickBot="1" x14ac:dyDescent="0.3">
      <c r="B13" s="193" t="s">
        <v>161</v>
      </c>
      <c r="C13" s="190" t="s">
        <v>23</v>
      </c>
      <c r="D13" s="190" t="s">
        <v>149</v>
      </c>
      <c r="E13" s="194">
        <v>3</v>
      </c>
      <c r="F13" s="190">
        <v>0</v>
      </c>
      <c r="G13" s="194">
        <f t="shared" ref="G13:G15" si="2">E13-F13</f>
        <v>3</v>
      </c>
      <c r="H13" s="195">
        <f t="shared" ref="H13:H15" si="3">F13/E13</f>
        <v>0</v>
      </c>
      <c r="I13" s="200">
        <v>44329</v>
      </c>
    </row>
    <row r="14" spans="2:9" ht="15.75" thickBot="1" x14ac:dyDescent="0.3">
      <c r="B14" s="178" t="s">
        <v>162</v>
      </c>
      <c r="C14" s="179" t="s">
        <v>23</v>
      </c>
      <c r="D14" s="179" t="s">
        <v>149</v>
      </c>
      <c r="E14" s="180">
        <v>3</v>
      </c>
      <c r="F14" s="179">
        <v>0</v>
      </c>
      <c r="G14" s="180">
        <f t="shared" si="2"/>
        <v>3</v>
      </c>
      <c r="H14" s="181">
        <f t="shared" si="3"/>
        <v>0</v>
      </c>
      <c r="I14" s="200">
        <v>44329</v>
      </c>
    </row>
    <row r="15" spans="2:9" ht="15.75" thickBot="1" x14ac:dyDescent="0.3">
      <c r="B15" s="193" t="s">
        <v>163</v>
      </c>
      <c r="C15" s="190" t="s">
        <v>23</v>
      </c>
      <c r="D15" s="190" t="s">
        <v>149</v>
      </c>
      <c r="E15" s="194">
        <v>3</v>
      </c>
      <c r="F15" s="190">
        <v>0</v>
      </c>
      <c r="G15" s="194">
        <f t="shared" si="2"/>
        <v>3</v>
      </c>
      <c r="H15" s="195">
        <f t="shared" si="3"/>
        <v>0</v>
      </c>
      <c r="I15" s="201">
        <v>44329</v>
      </c>
    </row>
  </sheetData>
  <mergeCells count="3">
    <mergeCell ref="B1:I1"/>
    <mergeCell ref="B2:I2"/>
    <mergeCell ref="B9:B1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9"/>
  <sheetViews>
    <sheetView showGridLines="0" workbookViewId="0">
      <selection activeCell="F31" sqref="F31"/>
    </sheetView>
  </sheetViews>
  <sheetFormatPr baseColWidth="10" defaultRowHeight="15" x14ac:dyDescent="0.25"/>
  <cols>
    <col min="1" max="1" width="23.7109375" customWidth="1"/>
    <col min="2" max="2" width="12.7109375" bestFit="1" customWidth="1"/>
  </cols>
  <sheetData>
    <row r="1" spans="2:12" x14ac:dyDescent="0.25">
      <c r="B1" s="298" t="s">
        <v>127</v>
      </c>
      <c r="C1" s="299"/>
      <c r="D1" s="299"/>
      <c r="E1" s="299"/>
      <c r="F1" s="299"/>
      <c r="G1" s="299"/>
      <c r="H1" s="299"/>
      <c r="I1" s="299"/>
      <c r="J1" s="299"/>
      <c r="K1" s="299"/>
      <c r="L1" s="300"/>
    </row>
    <row r="2" spans="2:12" ht="15.75" thickBot="1" x14ac:dyDescent="0.3">
      <c r="B2" s="301"/>
      <c r="C2" s="302"/>
      <c r="D2" s="302"/>
      <c r="E2" s="302"/>
      <c r="F2" s="302"/>
      <c r="G2" s="302"/>
      <c r="H2" s="302"/>
      <c r="I2" s="302"/>
      <c r="J2" s="302"/>
      <c r="K2" s="302"/>
      <c r="L2" s="303"/>
    </row>
    <row r="4" spans="2:12" ht="19.149999999999999" customHeight="1" x14ac:dyDescent="0.25">
      <c r="B4" s="292" t="s">
        <v>124</v>
      </c>
      <c r="C4" s="293"/>
      <c r="D4" s="293"/>
      <c r="E4" s="293"/>
      <c r="F4" s="293"/>
      <c r="G4" s="293"/>
      <c r="H4" s="294"/>
    </row>
    <row r="5" spans="2:12" x14ac:dyDescent="0.25">
      <c r="B5" s="21" t="s">
        <v>108</v>
      </c>
      <c r="C5" s="21" t="s">
        <v>109</v>
      </c>
      <c r="D5" s="21" t="s">
        <v>110</v>
      </c>
      <c r="E5" s="21" t="s">
        <v>111</v>
      </c>
      <c r="F5" s="21" t="s">
        <v>112</v>
      </c>
      <c r="G5" s="21" t="s">
        <v>113</v>
      </c>
      <c r="H5" s="21" t="s">
        <v>114</v>
      </c>
    </row>
    <row r="6" spans="2:12" x14ac:dyDescent="0.25">
      <c r="B6" s="20"/>
      <c r="C6" s="20"/>
      <c r="D6" s="20"/>
      <c r="E6" s="19"/>
      <c r="F6" s="88">
        <v>0</v>
      </c>
      <c r="G6" s="88">
        <f>E6-F6</f>
        <v>0</v>
      </c>
      <c r="H6" s="22" t="e">
        <f>F6/E6</f>
        <v>#DIV/0!</v>
      </c>
    </row>
    <row r="7" spans="2:12" x14ac:dyDescent="0.25">
      <c r="B7" s="25"/>
      <c r="C7" s="25"/>
      <c r="D7" s="25"/>
      <c r="E7" s="24"/>
      <c r="F7" s="88">
        <v>0</v>
      </c>
      <c r="G7" s="88">
        <f>E7-F7</f>
        <v>0</v>
      </c>
      <c r="H7" s="27" t="e">
        <f>F7/E7</f>
        <v>#DIV/0!</v>
      </c>
    </row>
    <row r="8" spans="2:12" x14ac:dyDescent="0.25">
      <c r="B8" s="39"/>
      <c r="C8" s="39"/>
      <c r="D8" s="39"/>
      <c r="E8" s="40"/>
      <c r="F8" s="88">
        <v>0</v>
      </c>
      <c r="G8" s="88">
        <f>E8-F8</f>
        <v>0</v>
      </c>
      <c r="H8" s="27" t="e">
        <f>F8/E8</f>
        <v>#DIV/0!</v>
      </c>
    </row>
    <row r="9" spans="2:12" x14ac:dyDescent="0.25">
      <c r="B9" s="295" t="s">
        <v>115</v>
      </c>
      <c r="C9" s="296"/>
      <c r="D9" s="297"/>
      <c r="E9" s="15">
        <f>E6+E7+E8</f>
        <v>0</v>
      </c>
      <c r="F9" s="15">
        <f>F6+F7+F8</f>
        <v>0</v>
      </c>
      <c r="G9" s="15">
        <f>E9-F9</f>
        <v>0</v>
      </c>
      <c r="H9" s="23" t="e">
        <f>F9/E9</f>
        <v>#DIV/0!</v>
      </c>
    </row>
  </sheetData>
  <mergeCells count="3">
    <mergeCell ref="B4:H4"/>
    <mergeCell ref="B9:D9"/>
    <mergeCell ref="B1:L2"/>
  </mergeCells>
  <phoneticPr fontId="6" type="noConversion"/>
  <conditionalFormatting sqref="H6:H9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{0FCFC4CB-ACFD-4AA9-BF9F-500BFF9C4AF7}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FCFC4CB-ACFD-4AA9-BF9F-500BFF9C4AF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H6:H9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W136"/>
  <sheetViews>
    <sheetView showGridLines="0" tabSelected="1"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Q64" sqref="Q64"/>
    </sheetView>
  </sheetViews>
  <sheetFormatPr baseColWidth="10" defaultColWidth="11.42578125" defaultRowHeight="12.75" x14ac:dyDescent="0.2"/>
  <cols>
    <col min="1" max="1" width="5.7109375" style="90" customWidth="1"/>
    <col min="2" max="2" width="13.85546875" style="90" customWidth="1"/>
    <col min="3" max="3" width="33" style="90" bestFit="1" customWidth="1"/>
    <col min="4" max="4" width="8.7109375" style="90" customWidth="1"/>
    <col min="5" max="5" width="20.28515625" style="94" bestFit="1" customWidth="1"/>
    <col min="6" max="6" width="11.7109375" style="94" bestFit="1" customWidth="1"/>
    <col min="7" max="7" width="18" style="90" customWidth="1"/>
    <col min="8" max="8" width="12.42578125" style="90" customWidth="1"/>
    <col min="9" max="9" width="10.5703125" style="90" customWidth="1"/>
    <col min="10" max="10" width="12" style="90" customWidth="1"/>
    <col min="11" max="11" width="19" style="90" bestFit="1" customWidth="1"/>
    <col min="12" max="12" width="15.5703125" style="90" bestFit="1" customWidth="1"/>
    <col min="13" max="13" width="18" style="90" bestFit="1" customWidth="1"/>
    <col min="14" max="14" width="12.42578125" style="90" bestFit="1" customWidth="1"/>
    <col min="15" max="15" width="10.5703125" style="90" bestFit="1" customWidth="1"/>
    <col min="16" max="16" width="13.7109375" style="90" customWidth="1"/>
    <col min="17" max="16384" width="11.42578125" style="90"/>
  </cols>
  <sheetData>
    <row r="1" spans="2:23" ht="13.5" thickBot="1" x14ac:dyDescent="0.25"/>
    <row r="2" spans="2:23" ht="15" customHeight="1" x14ac:dyDescent="0.2">
      <c r="B2" s="311" t="s">
        <v>170</v>
      </c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3"/>
    </row>
    <row r="3" spans="2:23" ht="15.75" customHeight="1" thickBot="1" x14ac:dyDescent="0.25">
      <c r="B3" s="314">
        <f>'RESUMEN '!B3:J3</f>
        <v>44561</v>
      </c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  <c r="P3" s="316"/>
    </row>
    <row r="4" spans="2:23" ht="13.5" thickBot="1" x14ac:dyDescent="0.25"/>
    <row r="5" spans="2:23" ht="36.75" customHeight="1" thickBot="1" x14ac:dyDescent="0.25">
      <c r="B5" s="227" t="s">
        <v>0</v>
      </c>
      <c r="C5" s="228" t="s">
        <v>35</v>
      </c>
      <c r="D5" s="228" t="s">
        <v>25</v>
      </c>
      <c r="E5" s="228" t="s">
        <v>2</v>
      </c>
      <c r="F5" s="228" t="s">
        <v>3</v>
      </c>
      <c r="G5" s="228" t="s">
        <v>4</v>
      </c>
      <c r="H5" s="228" t="s">
        <v>5</v>
      </c>
      <c r="I5" s="228" t="s">
        <v>6</v>
      </c>
      <c r="J5" s="103" t="s">
        <v>7</v>
      </c>
      <c r="K5" s="228" t="s">
        <v>2</v>
      </c>
      <c r="L5" s="228" t="s">
        <v>3</v>
      </c>
      <c r="M5" s="228" t="s">
        <v>4</v>
      </c>
      <c r="N5" s="228" t="s">
        <v>5</v>
      </c>
      <c r="O5" s="228" t="s">
        <v>6</v>
      </c>
      <c r="P5" s="104" t="s">
        <v>27</v>
      </c>
    </row>
    <row r="6" spans="2:23" x14ac:dyDescent="0.2">
      <c r="B6" s="317" t="s">
        <v>183</v>
      </c>
      <c r="C6" s="320" t="s">
        <v>36</v>
      </c>
      <c r="D6" s="229" t="s">
        <v>63</v>
      </c>
      <c r="E6" s="95">
        <f>53.76862+1.4118+4.344+1.48</f>
        <v>61.004419999999996</v>
      </c>
      <c r="F6" s="95">
        <v>-43</v>
      </c>
      <c r="G6" s="96">
        <f t="shared" ref="G6" si="0">E6+F6</f>
        <v>18.004419999999996</v>
      </c>
      <c r="H6" s="246">
        <v>13.175000000000001</v>
      </c>
      <c r="I6" s="96">
        <f t="shared" ref="I6:I49" si="1">G6-H6</f>
        <v>4.8294199999999954</v>
      </c>
      <c r="J6" s="97">
        <f t="shared" ref="J6:J49" si="2">H6/G6</f>
        <v>0.73176475554336118</v>
      </c>
      <c r="K6" s="321">
        <f t="shared" ref="K6:L6" si="3">E6+E7</f>
        <v>67.745699999999999</v>
      </c>
      <c r="L6" s="321">
        <f t="shared" si="3"/>
        <v>-43</v>
      </c>
      <c r="M6" s="321">
        <f t="shared" ref="M6" si="4">K6+L6</f>
        <v>24.745699999999999</v>
      </c>
      <c r="N6" s="321">
        <f t="shared" ref="N6" si="5">H6+H7</f>
        <v>23.862000000000002</v>
      </c>
      <c r="O6" s="321">
        <f t="shared" ref="O6" si="6">M6-N6</f>
        <v>0.88369999999999749</v>
      </c>
      <c r="P6" s="322">
        <f t="shared" ref="P6" si="7">N6/M6</f>
        <v>0.96428874511531304</v>
      </c>
    </row>
    <row r="7" spans="2:23" x14ac:dyDescent="0.2">
      <c r="B7" s="318"/>
      <c r="C7" s="308"/>
      <c r="D7" s="221" t="s">
        <v>64</v>
      </c>
      <c r="E7" s="91">
        <f>5.94128+0.156+0.48+0.164</f>
        <v>6.7412799999999997</v>
      </c>
      <c r="F7" s="91"/>
      <c r="G7" s="92">
        <f t="shared" ref="G7" si="8">E7+F7+I6</f>
        <v>11.570699999999995</v>
      </c>
      <c r="H7" s="247">
        <v>10.686999999999999</v>
      </c>
      <c r="I7" s="92">
        <f t="shared" si="1"/>
        <v>0.88369999999999571</v>
      </c>
      <c r="J7" s="93">
        <f t="shared" si="2"/>
        <v>0.92362605546769028</v>
      </c>
      <c r="K7" s="306"/>
      <c r="L7" s="306"/>
      <c r="M7" s="306"/>
      <c r="N7" s="306"/>
      <c r="O7" s="306"/>
      <c r="P7" s="307"/>
    </row>
    <row r="8" spans="2:23" x14ac:dyDescent="0.2">
      <c r="B8" s="318"/>
      <c r="C8" s="308" t="s">
        <v>37</v>
      </c>
      <c r="D8" s="221" t="s">
        <v>63</v>
      </c>
      <c r="E8" s="91">
        <f>20.49213+26.51176+6.34235+46.16651+0.2172+2.172+4.887+2.9865+1.7376+2.772</f>
        <v>114.28505000000001</v>
      </c>
      <c r="F8" s="91">
        <f>-Hoja1!G10-Hoja1!G14-Hoja1!F10-Hoja1!F14</f>
        <v>-7.3090035999999996</v>
      </c>
      <c r="G8" s="92">
        <f t="shared" ref="G8" si="9">E8+F8</f>
        <v>106.97604640000002</v>
      </c>
      <c r="H8" s="247">
        <v>19.814</v>
      </c>
      <c r="I8" s="92">
        <f t="shared" si="1"/>
        <v>87.162046400000008</v>
      </c>
      <c r="J8" s="93">
        <f t="shared" si="2"/>
        <v>0.18521903423045177</v>
      </c>
      <c r="K8" s="306">
        <f t="shared" ref="K8:L8" si="10">E8+E9</f>
        <v>126.91493000000001</v>
      </c>
      <c r="L8" s="306">
        <f t="shared" si="10"/>
        <v>-40.620593599999992</v>
      </c>
      <c r="M8" s="306">
        <f t="shared" ref="M8" si="11">K8+L8</f>
        <v>86.29433640000002</v>
      </c>
      <c r="N8" s="306">
        <f t="shared" ref="N8" si="12">H8+H9</f>
        <v>29.344000000000001</v>
      </c>
      <c r="O8" s="306">
        <f t="shared" ref="O8" si="13">M8-N8</f>
        <v>56.950336400000019</v>
      </c>
      <c r="P8" s="307">
        <f t="shared" ref="P8" si="14">N8/M8</f>
        <v>0.3400454910966787</v>
      </c>
      <c r="R8" s="232">
        <f>SUM(E6:E47)</f>
        <v>411.99901</v>
      </c>
      <c r="S8" s="234">
        <f>SUM(F6:F47)</f>
        <v>-106.84669</v>
      </c>
      <c r="T8" s="238">
        <f>R8+S8</f>
        <v>305.15232000000003</v>
      </c>
      <c r="U8" s="237">
        <f>SUM(H6:H47)</f>
        <v>87.558000000000007</v>
      </c>
      <c r="V8" s="236">
        <f>T8-U8</f>
        <v>217.59432000000004</v>
      </c>
      <c r="W8" s="244" t="s">
        <v>184</v>
      </c>
    </row>
    <row r="9" spans="2:23" x14ac:dyDescent="0.2">
      <c r="B9" s="318"/>
      <c r="C9" s="308"/>
      <c r="D9" s="221" t="s">
        <v>64</v>
      </c>
      <c r="E9" s="91">
        <f>2.26432+2.92948+0.70081+5.10127+0.024+0.24+0.54+0.33+0.192+0.308</f>
        <v>12.629879999999998</v>
      </c>
      <c r="F9" s="91">
        <f>-7.2266-39.4691+13.38411</f>
        <v>-33.311589999999995</v>
      </c>
      <c r="G9" s="92">
        <f t="shared" ref="G9" si="15">E9+F9+I8</f>
        <v>66.480336400000013</v>
      </c>
      <c r="H9" s="247">
        <v>9.5299999999999994</v>
      </c>
      <c r="I9" s="92">
        <f t="shared" si="1"/>
        <v>56.950336400000012</v>
      </c>
      <c r="J9" s="93">
        <f t="shared" si="2"/>
        <v>0.14335065849636702</v>
      </c>
      <c r="K9" s="306"/>
      <c r="L9" s="306"/>
      <c r="M9" s="306"/>
      <c r="N9" s="306"/>
      <c r="O9" s="306"/>
      <c r="P9" s="307"/>
      <c r="R9" s="232">
        <f>SUM(E48:E89)</f>
        <v>2019.00188</v>
      </c>
      <c r="S9" s="243">
        <f>SUM(F48:F89)</f>
        <v>4.6569999998169465E-4</v>
      </c>
      <c r="T9" s="238">
        <f>R9+S9</f>
        <v>2019.0023457</v>
      </c>
      <c r="U9" s="237">
        <f>SUM(H48:H89)</f>
        <v>1682.34</v>
      </c>
      <c r="V9" s="236">
        <f>T9-U9</f>
        <v>336.66234570000006</v>
      </c>
      <c r="W9" s="244" t="s">
        <v>186</v>
      </c>
    </row>
    <row r="10" spans="2:23" x14ac:dyDescent="0.2">
      <c r="B10" s="318"/>
      <c r="C10" s="308" t="s">
        <v>38</v>
      </c>
      <c r="D10" s="221" t="s">
        <v>63</v>
      </c>
      <c r="E10" s="91">
        <f>0.01086+0.00027</f>
        <v>1.1129999999999999E-2</v>
      </c>
      <c r="F10" s="91"/>
      <c r="G10" s="92">
        <f t="shared" ref="G10" si="16">E10+F10</f>
        <v>1.1129999999999999E-2</v>
      </c>
      <c r="H10" s="91"/>
      <c r="I10" s="92">
        <f t="shared" si="1"/>
        <v>1.1129999999999999E-2</v>
      </c>
      <c r="J10" s="93">
        <f t="shared" si="2"/>
        <v>0</v>
      </c>
      <c r="K10" s="306">
        <f t="shared" ref="K10:L10" si="17">E10+E11</f>
        <v>1.2359999999999999E-2</v>
      </c>
      <c r="L10" s="306">
        <f t="shared" si="17"/>
        <v>0</v>
      </c>
      <c r="M10" s="306">
        <f t="shared" ref="M10" si="18">K10+L10</f>
        <v>1.2359999999999999E-2</v>
      </c>
      <c r="N10" s="306">
        <f t="shared" ref="N10" si="19">H10+H11</f>
        <v>0</v>
      </c>
      <c r="O10" s="306">
        <f t="shared" ref="O10" si="20">M10-N10</f>
        <v>1.2359999999999999E-2</v>
      </c>
      <c r="P10" s="307">
        <f t="shared" ref="P10" si="21">N10/M10</f>
        <v>0</v>
      </c>
      <c r="R10" s="232">
        <f>SUM(E90:E135)</f>
        <v>2267.000970000001</v>
      </c>
      <c r="S10" s="234">
        <f>SUM(F90:F135)</f>
        <v>1.2000000000278455E-4</v>
      </c>
      <c r="T10" s="238">
        <f>R10+S10</f>
        <v>2267.0010900000011</v>
      </c>
      <c r="U10" s="237">
        <f>SUM(H90:H135)</f>
        <v>1509.7520000000002</v>
      </c>
      <c r="V10" s="236">
        <f>T10-U10</f>
        <v>757.24909000000093</v>
      </c>
      <c r="W10" s="244" t="s">
        <v>187</v>
      </c>
    </row>
    <row r="11" spans="2:23" x14ac:dyDescent="0.2">
      <c r="B11" s="318"/>
      <c r="C11" s="308"/>
      <c r="D11" s="221" t="s">
        <v>64</v>
      </c>
      <c r="E11" s="91">
        <f>0.0012+0.00003</f>
        <v>1.23E-3</v>
      </c>
      <c r="F11" s="91"/>
      <c r="G11" s="92">
        <f t="shared" ref="G11" si="22">E11+F11+I10</f>
        <v>1.2359999999999999E-2</v>
      </c>
      <c r="H11" s="91"/>
      <c r="I11" s="92">
        <f t="shared" si="1"/>
        <v>1.2359999999999999E-2</v>
      </c>
      <c r="J11" s="93">
        <f t="shared" si="2"/>
        <v>0</v>
      </c>
      <c r="K11" s="306"/>
      <c r="L11" s="306"/>
      <c r="M11" s="306"/>
      <c r="N11" s="306"/>
      <c r="O11" s="306"/>
      <c r="P11" s="307"/>
      <c r="R11" s="235"/>
      <c r="S11" s="235"/>
    </row>
    <row r="12" spans="2:23" x14ac:dyDescent="0.2">
      <c r="B12" s="318"/>
      <c r="C12" s="308" t="s">
        <v>39</v>
      </c>
      <c r="D12" s="221" t="s">
        <v>63</v>
      </c>
      <c r="E12" s="91">
        <f>52.79893+1.629+1.629+2.4435+1.454</f>
        <v>59.954429999999995</v>
      </c>
      <c r="F12" s="91">
        <f>16.153+Hoja1!G13+Hoja1!F13</f>
        <v>23.308657199999995</v>
      </c>
      <c r="G12" s="92">
        <f t="shared" ref="G12" si="23">E12+F12</f>
        <v>83.263087199999987</v>
      </c>
      <c r="H12" s="247">
        <v>11.128</v>
      </c>
      <c r="I12" s="92">
        <f t="shared" si="1"/>
        <v>72.135087199999987</v>
      </c>
      <c r="J12" s="93">
        <f t="shared" si="2"/>
        <v>0.13364865961876082</v>
      </c>
      <c r="K12" s="306">
        <f t="shared" ref="K12:L12" si="24">E12+E13</f>
        <v>66.580569999999994</v>
      </c>
      <c r="L12" s="306">
        <f t="shared" si="24"/>
        <v>23.308657199999995</v>
      </c>
      <c r="M12" s="306">
        <f t="shared" ref="M12" si="25">K12+L12</f>
        <v>89.889227199999993</v>
      </c>
      <c r="N12" s="306">
        <f t="shared" ref="N12" si="26">H12+H13</f>
        <v>31.795999999999999</v>
      </c>
      <c r="O12" s="306">
        <f t="shared" ref="O12" si="27">M12-N12</f>
        <v>58.093227199999994</v>
      </c>
      <c r="P12" s="307">
        <f>N12/M12</f>
        <v>0.35372425584720124</v>
      </c>
      <c r="R12" s="235"/>
      <c r="S12" s="235"/>
    </row>
    <row r="13" spans="2:23" x14ac:dyDescent="0.2">
      <c r="B13" s="318"/>
      <c r="C13" s="308"/>
      <c r="D13" s="221" t="s">
        <v>64</v>
      </c>
      <c r="E13" s="91">
        <f>5.83414+0.18+0.18+0.27+0.162</f>
        <v>6.6261399999999986</v>
      </c>
      <c r="F13" s="91"/>
      <c r="G13" s="92">
        <f t="shared" ref="G13" si="28">E13+F13+I12</f>
        <v>78.761227199999979</v>
      </c>
      <c r="H13" s="247">
        <v>20.667999999999999</v>
      </c>
      <c r="I13" s="92">
        <f t="shared" si="1"/>
        <v>58.09322719999998</v>
      </c>
      <c r="J13" s="93">
        <f t="shared" si="2"/>
        <v>0.26241338199971576</v>
      </c>
      <c r="K13" s="306"/>
      <c r="L13" s="306"/>
      <c r="M13" s="306"/>
      <c r="N13" s="306"/>
      <c r="O13" s="306"/>
      <c r="P13" s="307"/>
      <c r="R13" s="235"/>
      <c r="S13" s="235"/>
    </row>
    <row r="14" spans="2:23" x14ac:dyDescent="0.2">
      <c r="B14" s="318"/>
      <c r="C14" s="308" t="s">
        <v>40</v>
      </c>
      <c r="D14" s="221" t="s">
        <v>63</v>
      </c>
      <c r="E14" s="91">
        <f>0.27396+1.629+0.047</f>
        <v>1.9499599999999999</v>
      </c>
      <c r="F14" s="91"/>
      <c r="G14" s="92">
        <f t="shared" ref="G14" si="29">E14+F14</f>
        <v>1.9499599999999999</v>
      </c>
      <c r="H14" s="91"/>
      <c r="I14" s="92">
        <f t="shared" si="1"/>
        <v>1.9499599999999999</v>
      </c>
      <c r="J14" s="93">
        <f t="shared" si="2"/>
        <v>0</v>
      </c>
      <c r="K14" s="306">
        <f t="shared" ref="K14:L14" si="30">E14+E15</f>
        <v>2.1652299999999998</v>
      </c>
      <c r="L14" s="306">
        <f t="shared" si="30"/>
        <v>39.469099999999997</v>
      </c>
      <c r="M14" s="306">
        <f t="shared" ref="M14" si="31">K14+L14</f>
        <v>41.634329999999999</v>
      </c>
      <c r="N14" s="306">
        <f t="shared" ref="N14" si="32">H14+H15</f>
        <v>0</v>
      </c>
      <c r="O14" s="306">
        <f t="shared" ref="O14" si="33">M14-N14</f>
        <v>41.634329999999999</v>
      </c>
      <c r="P14" s="307">
        <f t="shared" ref="P14" si="34">N14/M14</f>
        <v>0</v>
      </c>
      <c r="R14" s="235"/>
      <c r="S14" s="235"/>
    </row>
    <row r="15" spans="2:23" x14ac:dyDescent="0.2">
      <c r="B15" s="318"/>
      <c r="C15" s="308"/>
      <c r="D15" s="221" t="s">
        <v>64</v>
      </c>
      <c r="E15" s="91">
        <f>0.03027+0.18+0.005</f>
        <v>0.21526999999999999</v>
      </c>
      <c r="F15" s="91">
        <v>39.469099999999997</v>
      </c>
      <c r="G15" s="92">
        <f t="shared" ref="G15" si="35">E15+F15+I14</f>
        <v>41.634329999999991</v>
      </c>
      <c r="H15" s="91"/>
      <c r="I15" s="92">
        <f t="shared" si="1"/>
        <v>41.634329999999991</v>
      </c>
      <c r="J15" s="93">
        <f t="shared" si="2"/>
        <v>0</v>
      </c>
      <c r="K15" s="306"/>
      <c r="L15" s="306"/>
      <c r="M15" s="306"/>
      <c r="N15" s="306"/>
      <c r="O15" s="306"/>
      <c r="P15" s="307"/>
      <c r="R15" s="235"/>
      <c r="S15" s="235"/>
    </row>
    <row r="16" spans="2:23" x14ac:dyDescent="0.2">
      <c r="B16" s="318"/>
      <c r="C16" s="308" t="s">
        <v>41</v>
      </c>
      <c r="D16" s="221" t="s">
        <v>63</v>
      </c>
      <c r="E16" s="91">
        <f>1.69887+0.042</f>
        <v>1.7408700000000001</v>
      </c>
      <c r="F16" s="91"/>
      <c r="G16" s="92">
        <f t="shared" ref="G16" si="36">E16+F16</f>
        <v>1.7408700000000001</v>
      </c>
      <c r="H16" s="91"/>
      <c r="I16" s="92">
        <f t="shared" si="1"/>
        <v>1.7408700000000001</v>
      </c>
      <c r="J16" s="93">
        <f t="shared" si="2"/>
        <v>0</v>
      </c>
      <c r="K16" s="306">
        <f t="shared" ref="K16:L16" si="37">E16+E17</f>
        <v>1.9335900000000001</v>
      </c>
      <c r="L16" s="306">
        <f t="shared" si="37"/>
        <v>0</v>
      </c>
      <c r="M16" s="306">
        <f t="shared" ref="M16" si="38">K16+L16</f>
        <v>1.9335900000000001</v>
      </c>
      <c r="N16" s="306">
        <f t="shared" ref="N16" si="39">H16+H17</f>
        <v>0</v>
      </c>
      <c r="O16" s="306">
        <f t="shared" ref="O16" si="40">M16-N16</f>
        <v>1.9335900000000001</v>
      </c>
      <c r="P16" s="307">
        <f t="shared" ref="P16" si="41">N16/M16</f>
        <v>0</v>
      </c>
    </row>
    <row r="17" spans="2:16" x14ac:dyDescent="0.2">
      <c r="B17" s="318"/>
      <c r="C17" s="308"/>
      <c r="D17" s="221" t="s">
        <v>64</v>
      </c>
      <c r="E17" s="91">
        <f>0.18772+0.005</f>
        <v>0.19272</v>
      </c>
      <c r="F17" s="91"/>
      <c r="G17" s="92">
        <f t="shared" ref="G17" si="42">E17+F17+I16</f>
        <v>1.9335900000000001</v>
      </c>
      <c r="H17" s="91"/>
      <c r="I17" s="92">
        <f t="shared" si="1"/>
        <v>1.9335900000000001</v>
      </c>
      <c r="J17" s="93">
        <f t="shared" si="2"/>
        <v>0</v>
      </c>
      <c r="K17" s="306"/>
      <c r="L17" s="306"/>
      <c r="M17" s="306"/>
      <c r="N17" s="306"/>
      <c r="O17" s="306"/>
      <c r="P17" s="307"/>
    </row>
    <row r="18" spans="2:16" x14ac:dyDescent="0.2">
      <c r="B18" s="318"/>
      <c r="C18" s="308" t="s">
        <v>42</v>
      </c>
      <c r="D18" s="221" t="s">
        <v>63</v>
      </c>
      <c r="E18" s="91">
        <f>1.02772+0.026</f>
        <v>1.05372</v>
      </c>
      <c r="F18" s="91"/>
      <c r="G18" s="92">
        <f t="shared" ref="G18" si="43">E18+F18</f>
        <v>1.05372</v>
      </c>
      <c r="H18" s="91"/>
      <c r="I18" s="92">
        <f t="shared" si="1"/>
        <v>1.05372</v>
      </c>
      <c r="J18" s="93">
        <f t="shared" si="2"/>
        <v>0</v>
      </c>
      <c r="K18" s="306">
        <f t="shared" ref="K18:L18" si="44">E18+E19</f>
        <v>1.17028</v>
      </c>
      <c r="L18" s="306">
        <f t="shared" si="44"/>
        <v>0</v>
      </c>
      <c r="M18" s="306">
        <f t="shared" ref="M18" si="45">K18+L18</f>
        <v>1.17028</v>
      </c>
      <c r="N18" s="306">
        <f t="shared" ref="N18" si="46">H18+H19</f>
        <v>0</v>
      </c>
      <c r="O18" s="306">
        <f t="shared" ref="O18" si="47">M18-N18</f>
        <v>1.17028</v>
      </c>
      <c r="P18" s="307">
        <f t="shared" ref="P18" si="48">N18/M18</f>
        <v>0</v>
      </c>
    </row>
    <row r="19" spans="2:16" x14ac:dyDescent="0.2">
      <c r="B19" s="318"/>
      <c r="C19" s="308"/>
      <c r="D19" s="221" t="s">
        <v>64</v>
      </c>
      <c r="E19" s="91">
        <f>0.11356+0.003</f>
        <v>0.11656</v>
      </c>
      <c r="F19" s="91"/>
      <c r="G19" s="92">
        <f t="shared" ref="G19" si="49">E19+F19+I18</f>
        <v>1.17028</v>
      </c>
      <c r="H19" s="91"/>
      <c r="I19" s="92">
        <f t="shared" si="1"/>
        <v>1.17028</v>
      </c>
      <c r="J19" s="93">
        <f t="shared" si="2"/>
        <v>0</v>
      </c>
      <c r="K19" s="306"/>
      <c r="L19" s="306"/>
      <c r="M19" s="306"/>
      <c r="N19" s="306"/>
      <c r="O19" s="306"/>
      <c r="P19" s="307"/>
    </row>
    <row r="20" spans="2:16" x14ac:dyDescent="0.2">
      <c r="B20" s="318"/>
      <c r="C20" s="308" t="s">
        <v>43</v>
      </c>
      <c r="D20" s="221" t="s">
        <v>63</v>
      </c>
      <c r="E20" s="91">
        <f>54.9411+13.36189+11.27923+0.543+0.543+0.543+1.086+1.086+1.086+1.086+1.086+1.086+0.8507+0.7783+1.629+1.629+1.629+1.629+0.9231+0.78916+2.715+4.344+3.6924+2.693</f>
        <v>111.02888000000003</v>
      </c>
      <c r="F20" s="91">
        <f>-Hoja1!G12-Hoja1!G20+13.91246-Hoja1!F20+0.346</f>
        <v>-79.476837200000006</v>
      </c>
      <c r="G20" s="92">
        <f t="shared" ref="G20" si="50">E20+F20</f>
        <v>31.552042800000024</v>
      </c>
      <c r="H20" s="247">
        <v>2.556</v>
      </c>
      <c r="I20" s="92">
        <f t="shared" si="1"/>
        <v>28.996042800000023</v>
      </c>
      <c r="J20" s="93">
        <f t="shared" si="2"/>
        <v>8.1009017901053249E-2</v>
      </c>
      <c r="K20" s="306">
        <f t="shared" ref="K20:L20" si="51">E20+E21</f>
        <v>123.29869000000002</v>
      </c>
      <c r="L20" s="306">
        <f t="shared" si="51"/>
        <v>-79.476637199999999</v>
      </c>
      <c r="M20" s="306">
        <f t="shared" ref="M20" si="52">K20+L20</f>
        <v>43.822052800000023</v>
      </c>
      <c r="N20" s="306">
        <f t="shared" ref="N20" si="53">H20+H21</f>
        <v>2.556</v>
      </c>
      <c r="O20" s="306">
        <f t="shared" ref="O20" si="54">M20-N20</f>
        <v>41.266052800000026</v>
      </c>
      <c r="P20" s="307">
        <f t="shared" ref="P20" si="55">N20/M20</f>
        <v>5.8326797506847938E-2</v>
      </c>
    </row>
    <row r="21" spans="2:16" x14ac:dyDescent="0.2">
      <c r="B21" s="318"/>
      <c r="C21" s="308"/>
      <c r="D21" s="221" t="s">
        <v>64</v>
      </c>
      <c r="E21" s="91">
        <f>6.07084+1.47645+1.24632+0.06+0.06+0.06+0.12+0.12+0.12+0.12+0.12+0.12+0.094+0.086+0.18+0.18+0.18+0.18+0.102+0.0872+0.3+0.48+0.408+0.299</f>
        <v>12.269809999999994</v>
      </c>
      <c r="F21" s="91">
        <f>-18.8078+18.808</f>
        <v>1.9999999999953388E-4</v>
      </c>
      <c r="G21" s="92">
        <f t="shared" ref="G21" si="56">E21+F21+I20</f>
        <v>41.266052800000018</v>
      </c>
      <c r="H21" s="91"/>
      <c r="I21" s="92">
        <f t="shared" si="1"/>
        <v>41.266052800000018</v>
      </c>
      <c r="J21" s="93">
        <f t="shared" si="2"/>
        <v>0</v>
      </c>
      <c r="K21" s="306"/>
      <c r="L21" s="306"/>
      <c r="M21" s="306"/>
      <c r="N21" s="306"/>
      <c r="O21" s="306"/>
      <c r="P21" s="307"/>
    </row>
    <row r="22" spans="2:16" x14ac:dyDescent="0.2">
      <c r="B22" s="318"/>
      <c r="C22" s="308" t="s">
        <v>44</v>
      </c>
      <c r="D22" s="221" t="s">
        <v>63</v>
      </c>
      <c r="E22" s="91">
        <f>0.56099+0.014</f>
        <v>0.57499</v>
      </c>
      <c r="F22" s="91"/>
      <c r="G22" s="92">
        <f t="shared" ref="G22" si="57">E22+F22</f>
        <v>0.57499</v>
      </c>
      <c r="H22" s="129"/>
      <c r="I22" s="92">
        <f t="shared" si="1"/>
        <v>0.57499</v>
      </c>
      <c r="J22" s="93">
        <f t="shared" si="2"/>
        <v>0</v>
      </c>
      <c r="K22" s="306">
        <f t="shared" ref="K22:L22" si="58">E22+E23</f>
        <v>0.63897999999999999</v>
      </c>
      <c r="L22" s="306">
        <f t="shared" si="58"/>
        <v>0</v>
      </c>
      <c r="M22" s="306">
        <f t="shared" ref="M22" si="59">K22+L22</f>
        <v>0.63897999999999999</v>
      </c>
      <c r="N22" s="306">
        <f t="shared" ref="N22" si="60">H22+H23</f>
        <v>0</v>
      </c>
      <c r="O22" s="306">
        <f t="shared" ref="O22" si="61">M22-N22</f>
        <v>0.63897999999999999</v>
      </c>
      <c r="P22" s="307">
        <f t="shared" ref="P22" si="62">N22/M22</f>
        <v>0</v>
      </c>
    </row>
    <row r="23" spans="2:16" x14ac:dyDescent="0.2">
      <c r="B23" s="318"/>
      <c r="C23" s="308"/>
      <c r="D23" s="221" t="s">
        <v>64</v>
      </c>
      <c r="E23" s="91">
        <f>0.06199+0.002</f>
        <v>6.3990000000000005E-2</v>
      </c>
      <c r="F23" s="91"/>
      <c r="G23" s="92">
        <f t="shared" ref="G23" si="63">E23+F23+I22</f>
        <v>0.63897999999999999</v>
      </c>
      <c r="H23" s="129"/>
      <c r="I23" s="92">
        <f t="shared" si="1"/>
        <v>0.63897999999999999</v>
      </c>
      <c r="J23" s="93">
        <f t="shared" si="2"/>
        <v>0</v>
      </c>
      <c r="K23" s="306"/>
      <c r="L23" s="306"/>
      <c r="M23" s="306"/>
      <c r="N23" s="306"/>
      <c r="O23" s="306"/>
      <c r="P23" s="307"/>
    </row>
    <row r="24" spans="2:16" x14ac:dyDescent="0.2">
      <c r="B24" s="318"/>
      <c r="C24" s="308" t="s">
        <v>45</v>
      </c>
      <c r="D24" s="221" t="s">
        <v>63</v>
      </c>
      <c r="E24" s="91">
        <f>11.75982+0.292</f>
        <v>12.051819999999999</v>
      </c>
      <c r="F24" s="91"/>
      <c r="G24" s="92">
        <f t="shared" ref="G24" si="64">E24+F24</f>
        <v>12.051819999999999</v>
      </c>
      <c r="H24" s="129"/>
      <c r="I24" s="92">
        <f t="shared" si="1"/>
        <v>12.051819999999999</v>
      </c>
      <c r="J24" s="93">
        <f t="shared" si="2"/>
        <v>0</v>
      </c>
      <c r="K24" s="306">
        <f t="shared" ref="K24:L24" si="65">E24+E25</f>
        <v>13.38325</v>
      </c>
      <c r="L24" s="306">
        <f t="shared" si="65"/>
        <v>-13.3841</v>
      </c>
      <c r="M24" s="306">
        <f t="shared" ref="M24" si="66">K24+L24</f>
        <v>-8.4999999999979536E-4</v>
      </c>
      <c r="N24" s="306">
        <f t="shared" ref="N24" si="67">H24+H25</f>
        <v>0</v>
      </c>
      <c r="O24" s="306">
        <f t="shared" ref="O24" si="68">M24-N24</f>
        <v>-8.4999999999979536E-4</v>
      </c>
      <c r="P24" s="307">
        <f t="shared" ref="P24" si="69">N24/M24</f>
        <v>0</v>
      </c>
    </row>
    <row r="25" spans="2:16" x14ac:dyDescent="0.2">
      <c r="B25" s="318"/>
      <c r="C25" s="308"/>
      <c r="D25" s="221" t="s">
        <v>64</v>
      </c>
      <c r="E25" s="91">
        <f>1.29943+0.032</f>
        <v>1.3314300000000001</v>
      </c>
      <c r="F25" s="91">
        <v>-13.3841</v>
      </c>
      <c r="G25" s="92">
        <f t="shared" ref="G25" si="70">E25+F25+I24</f>
        <v>-8.4999999999979536E-4</v>
      </c>
      <c r="H25" s="129"/>
      <c r="I25" s="92">
        <f t="shared" si="1"/>
        <v>-8.4999999999979536E-4</v>
      </c>
      <c r="J25" s="93">
        <f t="shared" si="2"/>
        <v>0</v>
      </c>
      <c r="K25" s="306"/>
      <c r="L25" s="306"/>
      <c r="M25" s="306"/>
      <c r="N25" s="306"/>
      <c r="O25" s="306"/>
      <c r="P25" s="307"/>
    </row>
    <row r="26" spans="2:16" x14ac:dyDescent="0.2">
      <c r="B26" s="318"/>
      <c r="C26" s="308" t="s">
        <v>46</v>
      </c>
      <c r="D26" s="221" t="s">
        <v>63</v>
      </c>
      <c r="E26" s="91">
        <f>0.01086+0.00027</f>
        <v>1.1129999999999999E-2</v>
      </c>
      <c r="F26" s="91"/>
      <c r="G26" s="92">
        <f t="shared" ref="G26" si="71">E26+F26</f>
        <v>1.1129999999999999E-2</v>
      </c>
      <c r="H26" s="129"/>
      <c r="I26" s="92">
        <f t="shared" si="1"/>
        <v>1.1129999999999999E-2</v>
      </c>
      <c r="J26" s="93">
        <f t="shared" si="2"/>
        <v>0</v>
      </c>
      <c r="K26" s="306">
        <f t="shared" ref="K26:L26" si="72">E26+E27</f>
        <v>1.2359999999999999E-2</v>
      </c>
      <c r="L26" s="306">
        <f t="shared" si="72"/>
        <v>0</v>
      </c>
      <c r="M26" s="306">
        <f t="shared" ref="M26" si="73">K26+L26</f>
        <v>1.2359999999999999E-2</v>
      </c>
      <c r="N26" s="306">
        <f t="shared" ref="N26" si="74">H26+H27</f>
        <v>0</v>
      </c>
      <c r="O26" s="306">
        <f t="shared" ref="O26" si="75">M26-N26</f>
        <v>1.2359999999999999E-2</v>
      </c>
      <c r="P26" s="307">
        <f t="shared" ref="P26" si="76">N26/M26</f>
        <v>0</v>
      </c>
    </row>
    <row r="27" spans="2:16" x14ac:dyDescent="0.2">
      <c r="B27" s="318"/>
      <c r="C27" s="308"/>
      <c r="D27" s="221" t="s">
        <v>64</v>
      </c>
      <c r="E27" s="91">
        <f>0.0012+0.00003</f>
        <v>1.23E-3</v>
      </c>
      <c r="F27" s="91"/>
      <c r="G27" s="92">
        <f t="shared" ref="G27" si="77">E27+F27+I26</f>
        <v>1.2359999999999999E-2</v>
      </c>
      <c r="H27" s="129"/>
      <c r="I27" s="92">
        <f t="shared" si="1"/>
        <v>1.2359999999999999E-2</v>
      </c>
      <c r="J27" s="93">
        <f t="shared" si="2"/>
        <v>0</v>
      </c>
      <c r="K27" s="306"/>
      <c r="L27" s="306"/>
      <c r="M27" s="306"/>
      <c r="N27" s="306"/>
      <c r="O27" s="306"/>
      <c r="P27" s="307"/>
    </row>
    <row r="28" spans="2:16" x14ac:dyDescent="0.2">
      <c r="B28" s="318"/>
      <c r="C28" s="308" t="s">
        <v>47</v>
      </c>
      <c r="D28" s="221" t="s">
        <v>63</v>
      </c>
      <c r="E28" s="91">
        <f>0.00724+0.00018</f>
        <v>7.4199999999999995E-3</v>
      </c>
      <c r="F28" s="91">
        <f>Hoja1!G14+Hoja1!F14</f>
        <v>7.2183635999999991</v>
      </c>
      <c r="G28" s="92">
        <f t="shared" ref="G28" si="78">E28+F28</f>
        <v>7.2257835999999989</v>
      </c>
      <c r="H28" s="129"/>
      <c r="I28" s="92">
        <f t="shared" si="1"/>
        <v>7.2257835999999989</v>
      </c>
      <c r="J28" s="93">
        <f t="shared" si="2"/>
        <v>0</v>
      </c>
      <c r="K28" s="306">
        <f t="shared" ref="K28:L28" si="79">E28+E29</f>
        <v>8.2399999999999991E-3</v>
      </c>
      <c r="L28" s="306">
        <f t="shared" si="79"/>
        <v>7.2183635999999991</v>
      </c>
      <c r="M28" s="306">
        <f t="shared" ref="M28" si="80">K28+L28</f>
        <v>7.2266035999999989</v>
      </c>
      <c r="N28" s="306">
        <f t="shared" ref="N28" si="81">H28+H29</f>
        <v>0</v>
      </c>
      <c r="O28" s="306">
        <f t="shared" ref="O28" si="82">M28-N28</f>
        <v>7.2266035999999989</v>
      </c>
      <c r="P28" s="307">
        <f t="shared" ref="P28" si="83">N28/M28</f>
        <v>0</v>
      </c>
    </row>
    <row r="29" spans="2:16" x14ac:dyDescent="0.2">
      <c r="B29" s="318"/>
      <c r="C29" s="308"/>
      <c r="D29" s="221" t="s">
        <v>64</v>
      </c>
      <c r="E29" s="91">
        <f>0.0008+0.00002</f>
        <v>8.2000000000000009E-4</v>
      </c>
      <c r="F29" s="91"/>
      <c r="G29" s="92">
        <f t="shared" ref="G29" si="84">E29+F29+I28</f>
        <v>7.2266035999999989</v>
      </c>
      <c r="H29" s="129"/>
      <c r="I29" s="92">
        <f t="shared" si="1"/>
        <v>7.2266035999999989</v>
      </c>
      <c r="J29" s="93">
        <f t="shared" si="2"/>
        <v>0</v>
      </c>
      <c r="K29" s="306"/>
      <c r="L29" s="306"/>
      <c r="M29" s="306"/>
      <c r="N29" s="306"/>
      <c r="O29" s="306"/>
      <c r="P29" s="307"/>
    </row>
    <row r="30" spans="2:16" x14ac:dyDescent="0.2">
      <c r="B30" s="318"/>
      <c r="C30" s="308" t="s">
        <v>48</v>
      </c>
      <c r="D30" s="221" t="s">
        <v>63</v>
      </c>
      <c r="E30" s="91">
        <f>6.58207+0.164</f>
        <v>6.7460699999999996</v>
      </c>
      <c r="F30" s="91">
        <f>-Hoja1!G13-Hoja1!F13</f>
        <v>-7.1556572000000003</v>
      </c>
      <c r="G30" s="92">
        <f t="shared" ref="G30" si="85">E30+F30</f>
        <v>-0.40958720000000071</v>
      </c>
      <c r="H30" s="129"/>
      <c r="I30" s="92">
        <f t="shared" si="1"/>
        <v>-0.40958720000000071</v>
      </c>
      <c r="J30" s="93">
        <f t="shared" si="2"/>
        <v>0</v>
      </c>
      <c r="K30" s="306">
        <f t="shared" ref="K30:L30" si="86">E30+E31</f>
        <v>7.4913699999999999</v>
      </c>
      <c r="L30" s="306">
        <f t="shared" si="86"/>
        <v>-7.1556572000000003</v>
      </c>
      <c r="M30" s="306">
        <f t="shared" ref="M30" si="87">K30+L30</f>
        <v>0.33571279999999959</v>
      </c>
      <c r="N30" s="306">
        <f t="shared" ref="N30" si="88">H30+H31</f>
        <v>0</v>
      </c>
      <c r="O30" s="306">
        <f t="shared" ref="O30" si="89">M30-N30</f>
        <v>0.33571279999999959</v>
      </c>
      <c r="P30" s="307">
        <f t="shared" ref="P30" si="90">N30/M30</f>
        <v>0</v>
      </c>
    </row>
    <row r="31" spans="2:16" x14ac:dyDescent="0.2">
      <c r="B31" s="318"/>
      <c r="C31" s="308"/>
      <c r="D31" s="221" t="s">
        <v>64</v>
      </c>
      <c r="E31" s="91">
        <f>0.7273+0.018</f>
        <v>0.74529999999999996</v>
      </c>
      <c r="F31" s="91"/>
      <c r="G31" s="92">
        <f t="shared" ref="G31" si="91">E31+F31+I30</f>
        <v>0.33571279999999926</v>
      </c>
      <c r="H31" s="129"/>
      <c r="I31" s="92">
        <f t="shared" si="1"/>
        <v>0.33571279999999926</v>
      </c>
      <c r="J31" s="93">
        <f t="shared" si="2"/>
        <v>0</v>
      </c>
      <c r="K31" s="306"/>
      <c r="L31" s="306"/>
      <c r="M31" s="306"/>
      <c r="N31" s="306"/>
      <c r="O31" s="306"/>
      <c r="P31" s="307"/>
    </row>
    <row r="32" spans="2:16" x14ac:dyDescent="0.2">
      <c r="B32" s="318"/>
      <c r="C32" s="308" t="s">
        <v>49</v>
      </c>
      <c r="D32" s="221" t="s">
        <v>63</v>
      </c>
      <c r="E32" s="91">
        <f>0.00362+0.00009</f>
        <v>3.7099999999999998E-3</v>
      </c>
      <c r="F32" s="91"/>
      <c r="G32" s="92">
        <f t="shared" ref="G32" si="92">E32+F32</f>
        <v>3.7099999999999998E-3</v>
      </c>
      <c r="H32" s="129"/>
      <c r="I32" s="92">
        <f t="shared" si="1"/>
        <v>3.7099999999999998E-3</v>
      </c>
      <c r="J32" s="93">
        <f t="shared" si="2"/>
        <v>0</v>
      </c>
      <c r="K32" s="306">
        <f t="shared" ref="K32:L32" si="93">E32+E33</f>
        <v>4.1199999999999995E-3</v>
      </c>
      <c r="L32" s="306">
        <f t="shared" si="93"/>
        <v>0</v>
      </c>
      <c r="M32" s="306">
        <f t="shared" ref="M32" si="94">K32+L32</f>
        <v>4.1199999999999995E-3</v>
      </c>
      <c r="N32" s="306">
        <f t="shared" ref="N32" si="95">H32+H33</f>
        <v>0</v>
      </c>
      <c r="O32" s="306">
        <f t="shared" ref="O32" si="96">M32-N32</f>
        <v>4.1199999999999995E-3</v>
      </c>
      <c r="P32" s="307">
        <f t="shared" ref="P32" si="97">N32/M32</f>
        <v>0</v>
      </c>
    </row>
    <row r="33" spans="2:16" x14ac:dyDescent="0.2">
      <c r="B33" s="318"/>
      <c r="C33" s="308"/>
      <c r="D33" s="221" t="s">
        <v>64</v>
      </c>
      <c r="E33" s="91">
        <f>0.0004+0.00001</f>
        <v>4.1000000000000005E-4</v>
      </c>
      <c r="F33" s="91"/>
      <c r="G33" s="92">
        <f t="shared" ref="G33" si="98">E33+F33+I32</f>
        <v>4.1199999999999995E-3</v>
      </c>
      <c r="H33" s="129"/>
      <c r="I33" s="92">
        <f t="shared" si="1"/>
        <v>4.1199999999999995E-3</v>
      </c>
      <c r="J33" s="93">
        <f t="shared" si="2"/>
        <v>0</v>
      </c>
      <c r="K33" s="306"/>
      <c r="L33" s="306"/>
      <c r="M33" s="306"/>
      <c r="N33" s="306"/>
      <c r="O33" s="306"/>
      <c r="P33" s="307"/>
    </row>
    <row r="34" spans="2:16" x14ac:dyDescent="0.2">
      <c r="B34" s="318"/>
      <c r="C34" s="308" t="s">
        <v>50</v>
      </c>
      <c r="D34" s="221" t="s">
        <v>63</v>
      </c>
      <c r="E34" s="91">
        <f>0.09774+0.00243</f>
        <v>0.10017</v>
      </c>
      <c r="F34" s="91">
        <f>-Hoja1!G17-Hoja1!F17</f>
        <v>-5.3559999999999997E-2</v>
      </c>
      <c r="G34" s="92">
        <f t="shared" ref="G34" si="99">E34+F34</f>
        <v>4.6609999999999999E-2</v>
      </c>
      <c r="H34" s="129"/>
      <c r="I34" s="92">
        <f t="shared" si="1"/>
        <v>4.6609999999999999E-2</v>
      </c>
      <c r="J34" s="93">
        <f t="shared" si="2"/>
        <v>0</v>
      </c>
      <c r="K34" s="306">
        <f t="shared" ref="K34:L34" si="100">E34+E35</f>
        <v>0.11123999999999999</v>
      </c>
      <c r="L34" s="306">
        <f t="shared" si="100"/>
        <v>-5.3559999999999997E-2</v>
      </c>
      <c r="M34" s="306">
        <f t="shared" ref="M34" si="101">K34+L34</f>
        <v>5.7679999999999995E-2</v>
      </c>
      <c r="N34" s="306">
        <f t="shared" ref="N34" si="102">H34+H35</f>
        <v>0</v>
      </c>
      <c r="O34" s="306">
        <f t="shared" ref="O34" si="103">M34-N34</f>
        <v>5.7679999999999995E-2</v>
      </c>
      <c r="P34" s="307">
        <f t="shared" ref="P34" si="104">N34/M34</f>
        <v>0</v>
      </c>
    </row>
    <row r="35" spans="2:16" x14ac:dyDescent="0.2">
      <c r="B35" s="318"/>
      <c r="C35" s="308"/>
      <c r="D35" s="221" t="s">
        <v>64</v>
      </c>
      <c r="E35" s="91">
        <f>0.0108+0.00027</f>
        <v>1.107E-2</v>
      </c>
      <c r="F35" s="91"/>
      <c r="G35" s="92">
        <f t="shared" ref="G35" si="105">E35+F35+I34</f>
        <v>5.7679999999999995E-2</v>
      </c>
      <c r="H35" s="129"/>
      <c r="I35" s="92">
        <f t="shared" si="1"/>
        <v>5.7679999999999995E-2</v>
      </c>
      <c r="J35" s="93">
        <f t="shared" si="2"/>
        <v>0</v>
      </c>
      <c r="K35" s="306"/>
      <c r="L35" s="306"/>
      <c r="M35" s="306"/>
      <c r="N35" s="306"/>
      <c r="O35" s="306"/>
      <c r="P35" s="307"/>
    </row>
    <row r="36" spans="2:16" x14ac:dyDescent="0.2">
      <c r="B36" s="318"/>
      <c r="C36" s="308" t="s">
        <v>148</v>
      </c>
      <c r="D36" s="221" t="s">
        <v>63</v>
      </c>
      <c r="E36" s="91">
        <v>0</v>
      </c>
      <c r="F36" s="91">
        <f>Hoja1!G10+Hoja1!F10</f>
        <v>9.0639999999999998E-2</v>
      </c>
      <c r="G36" s="92">
        <f t="shared" ref="G36" si="106">E36+F36</f>
        <v>9.0639999999999998E-2</v>
      </c>
      <c r="H36" s="129"/>
      <c r="I36" s="92">
        <f t="shared" si="1"/>
        <v>9.0639999999999998E-2</v>
      </c>
      <c r="J36" s="93">
        <f t="shared" si="2"/>
        <v>0</v>
      </c>
      <c r="K36" s="306">
        <f t="shared" ref="K36:L36" si="107">E36+E37</f>
        <v>2.7E-4</v>
      </c>
      <c r="L36" s="306">
        <f t="shared" si="107"/>
        <v>9.0639999999999998E-2</v>
      </c>
      <c r="M36" s="306">
        <f t="shared" ref="M36" si="108">K36+L36</f>
        <v>9.0910000000000005E-2</v>
      </c>
      <c r="N36" s="306">
        <f t="shared" ref="N36" si="109">H36+H37</f>
        <v>0</v>
      </c>
      <c r="O36" s="306">
        <f t="shared" ref="O36" si="110">M36-N36</f>
        <v>9.0910000000000005E-2</v>
      </c>
      <c r="P36" s="307">
        <f t="shared" ref="P36" si="111">N36/M36</f>
        <v>0</v>
      </c>
    </row>
    <row r="37" spans="2:16" x14ac:dyDescent="0.2">
      <c r="B37" s="318"/>
      <c r="C37" s="308"/>
      <c r="D37" s="221" t="s">
        <v>64</v>
      </c>
      <c r="E37" s="91">
        <v>2.7E-4</v>
      </c>
      <c r="F37" s="91"/>
      <c r="G37" s="92">
        <f t="shared" ref="G37" si="112">E37+F37+I36</f>
        <v>9.0910000000000005E-2</v>
      </c>
      <c r="H37" s="129"/>
      <c r="I37" s="92">
        <f t="shared" si="1"/>
        <v>9.0910000000000005E-2</v>
      </c>
      <c r="J37" s="93">
        <f t="shared" si="2"/>
        <v>0</v>
      </c>
      <c r="K37" s="306"/>
      <c r="L37" s="306"/>
      <c r="M37" s="306"/>
      <c r="N37" s="306"/>
      <c r="O37" s="306"/>
      <c r="P37" s="307"/>
    </row>
    <row r="38" spans="2:16" x14ac:dyDescent="0.2">
      <c r="B38" s="318"/>
      <c r="C38" s="308" t="s">
        <v>192</v>
      </c>
      <c r="D38" s="221" t="s">
        <v>63</v>
      </c>
      <c r="E38" s="91">
        <v>0</v>
      </c>
      <c r="F38" s="91">
        <f>Hoja1!G17+Hoja1!F17</f>
        <v>5.3559999999999997E-2</v>
      </c>
      <c r="G38" s="92">
        <f t="shared" ref="G38" si="113">E38+F38</f>
        <v>5.3559999999999997E-2</v>
      </c>
      <c r="H38" s="129"/>
      <c r="I38" s="92">
        <f t="shared" si="1"/>
        <v>5.3559999999999997E-2</v>
      </c>
      <c r="J38" s="93">
        <f t="shared" si="2"/>
        <v>0</v>
      </c>
      <c r="K38" s="306">
        <f t="shared" ref="K38:L38" si="114">E38+E39</f>
        <v>2.7E-4</v>
      </c>
      <c r="L38" s="306">
        <f t="shared" si="114"/>
        <v>5.3559999999999997E-2</v>
      </c>
      <c r="M38" s="306">
        <f t="shared" ref="M38" si="115">K38+L38</f>
        <v>5.3829999999999996E-2</v>
      </c>
      <c r="N38" s="306">
        <f t="shared" ref="N38" si="116">H38+H39</f>
        <v>0</v>
      </c>
      <c r="O38" s="306">
        <f t="shared" ref="O38" si="117">M38-N38</f>
        <v>5.3829999999999996E-2</v>
      </c>
      <c r="P38" s="307">
        <f t="shared" ref="P38" si="118">N38/M38</f>
        <v>0</v>
      </c>
    </row>
    <row r="39" spans="2:16" x14ac:dyDescent="0.2">
      <c r="B39" s="318"/>
      <c r="C39" s="308"/>
      <c r="D39" s="221" t="s">
        <v>64</v>
      </c>
      <c r="E39" s="91">
        <v>2.7E-4</v>
      </c>
      <c r="F39" s="91"/>
      <c r="G39" s="92">
        <f t="shared" ref="G39" si="119">E39+F39+I38</f>
        <v>5.3829999999999996E-2</v>
      </c>
      <c r="H39" s="129"/>
      <c r="I39" s="92">
        <f t="shared" si="1"/>
        <v>5.3829999999999996E-2</v>
      </c>
      <c r="J39" s="93">
        <f t="shared" si="2"/>
        <v>0</v>
      </c>
      <c r="K39" s="306"/>
      <c r="L39" s="306"/>
      <c r="M39" s="306"/>
      <c r="N39" s="306"/>
      <c r="O39" s="306"/>
      <c r="P39" s="307"/>
    </row>
    <row r="40" spans="2:16" x14ac:dyDescent="0.2">
      <c r="B40" s="318"/>
      <c r="C40" s="308" t="s">
        <v>196</v>
      </c>
      <c r="D40" s="248" t="s">
        <v>63</v>
      </c>
      <c r="E40" s="91">
        <v>0</v>
      </c>
      <c r="F40" s="91">
        <v>18.8078</v>
      </c>
      <c r="G40" s="92">
        <f t="shared" ref="G40" si="120">E40+F40</f>
        <v>18.8078</v>
      </c>
      <c r="H40" s="129"/>
      <c r="I40" s="92">
        <f t="shared" ref="I40:I41" si="121">G40-H40</f>
        <v>18.8078</v>
      </c>
      <c r="J40" s="93">
        <f t="shared" ref="J40:J41" si="122">H40/G40</f>
        <v>0</v>
      </c>
      <c r="K40" s="306">
        <f t="shared" ref="K40" si="123">E40+E41</f>
        <v>0</v>
      </c>
      <c r="L40" s="306">
        <f t="shared" ref="L40" si="124">F40+F41</f>
        <v>0</v>
      </c>
      <c r="M40" s="306">
        <f t="shared" ref="M40" si="125">K40+L40</f>
        <v>0</v>
      </c>
      <c r="N40" s="306">
        <f t="shared" ref="N40" si="126">H40+H41</f>
        <v>0</v>
      </c>
      <c r="O40" s="306">
        <f t="shared" ref="O40" si="127">M40-N40</f>
        <v>0</v>
      </c>
      <c r="P40" s="307" t="e">
        <f t="shared" ref="P40" si="128">N40/M40</f>
        <v>#DIV/0!</v>
      </c>
    </row>
    <row r="41" spans="2:16" x14ac:dyDescent="0.2">
      <c r="B41" s="318"/>
      <c r="C41" s="308"/>
      <c r="D41" s="248" t="s">
        <v>64</v>
      </c>
      <c r="E41" s="91">
        <v>0</v>
      </c>
      <c r="F41" s="91">
        <f>-0.4565-18.3513</f>
        <v>-18.807799999999997</v>
      </c>
      <c r="G41" s="92">
        <f t="shared" ref="G41" si="129">E41+F41+I40</f>
        <v>0</v>
      </c>
      <c r="H41" s="129"/>
      <c r="I41" s="92">
        <f t="shared" si="121"/>
        <v>0</v>
      </c>
      <c r="J41" s="93" t="e">
        <f t="shared" si="122"/>
        <v>#DIV/0!</v>
      </c>
      <c r="K41" s="306"/>
      <c r="L41" s="306"/>
      <c r="M41" s="306"/>
      <c r="N41" s="306"/>
      <c r="O41" s="306"/>
      <c r="P41" s="307"/>
    </row>
    <row r="42" spans="2:16" x14ac:dyDescent="0.2">
      <c r="B42" s="318"/>
      <c r="C42" s="308" t="s">
        <v>200</v>
      </c>
      <c r="D42" s="248" t="s">
        <v>63</v>
      </c>
      <c r="E42" s="91">
        <v>0</v>
      </c>
      <c r="F42" s="91">
        <v>7.2266000000000004</v>
      </c>
      <c r="G42" s="92">
        <f t="shared" ref="G42" si="130">E42+F42</f>
        <v>7.2266000000000004</v>
      </c>
      <c r="H42" s="129"/>
      <c r="I42" s="92">
        <f t="shared" ref="I42:I43" si="131">G42-H42</f>
        <v>7.2266000000000004</v>
      </c>
      <c r="J42" s="93">
        <f t="shared" ref="J42:J43" si="132">H42/G42</f>
        <v>0</v>
      </c>
      <c r="K42" s="306">
        <f t="shared" ref="K42" si="133">E42+E43</f>
        <v>0</v>
      </c>
      <c r="L42" s="306">
        <f t="shared" ref="L42" si="134">F42+F43</f>
        <v>7.2266000000000004</v>
      </c>
      <c r="M42" s="306">
        <f t="shared" ref="M42" si="135">K42+L42</f>
        <v>7.2266000000000004</v>
      </c>
      <c r="N42" s="306">
        <f t="shared" ref="N42" si="136">H42+H43</f>
        <v>0</v>
      </c>
      <c r="O42" s="306">
        <f t="shared" ref="O42" si="137">M42-N42</f>
        <v>7.2266000000000004</v>
      </c>
      <c r="P42" s="307">
        <f t="shared" ref="P42" si="138">N42/M42</f>
        <v>0</v>
      </c>
    </row>
    <row r="43" spans="2:16" x14ac:dyDescent="0.2">
      <c r="B43" s="318"/>
      <c r="C43" s="308"/>
      <c r="D43" s="248" t="s">
        <v>64</v>
      </c>
      <c r="E43" s="91">
        <v>0</v>
      </c>
      <c r="F43" s="91"/>
      <c r="G43" s="92">
        <f t="shared" ref="G43" si="139">E43+F43+I42</f>
        <v>7.2266000000000004</v>
      </c>
      <c r="H43" s="129"/>
      <c r="I43" s="92">
        <f t="shared" si="131"/>
        <v>7.2266000000000004</v>
      </c>
      <c r="J43" s="93">
        <f t="shared" si="132"/>
        <v>0</v>
      </c>
      <c r="K43" s="306"/>
      <c r="L43" s="306"/>
      <c r="M43" s="306"/>
      <c r="N43" s="306"/>
      <c r="O43" s="306"/>
      <c r="P43" s="307"/>
    </row>
    <row r="44" spans="2:16" x14ac:dyDescent="0.2">
      <c r="B44" s="318"/>
      <c r="C44" s="308" t="s">
        <v>202</v>
      </c>
      <c r="D44" s="248" t="s">
        <v>63</v>
      </c>
      <c r="E44" s="91">
        <v>0</v>
      </c>
      <c r="F44" s="91">
        <v>13.3841</v>
      </c>
      <c r="G44" s="92">
        <f t="shared" ref="G44" si="140">E44+F44</f>
        <v>13.3841</v>
      </c>
      <c r="H44" s="129"/>
      <c r="I44" s="92">
        <f t="shared" ref="I44:I45" si="141">G44-H44</f>
        <v>13.3841</v>
      </c>
      <c r="J44" s="93">
        <f t="shared" ref="J44:J45" si="142">H44/G44</f>
        <v>0</v>
      </c>
      <c r="K44" s="306">
        <f t="shared" ref="K44" si="143">E44+E45</f>
        <v>0</v>
      </c>
      <c r="L44" s="306">
        <f t="shared" ref="L44" si="144">F44+F45</f>
        <v>9.9999999999766942E-5</v>
      </c>
      <c r="M44" s="306">
        <f t="shared" ref="M44" si="145">K44+L44</f>
        <v>9.9999999999766942E-5</v>
      </c>
      <c r="N44" s="306">
        <f t="shared" ref="N44" si="146">H44+H45</f>
        <v>0</v>
      </c>
      <c r="O44" s="306">
        <f t="shared" ref="O44" si="147">M44-N44</f>
        <v>9.9999999999766942E-5</v>
      </c>
      <c r="P44" s="307">
        <f t="shared" ref="P44" si="148">N44/M44</f>
        <v>0</v>
      </c>
    </row>
    <row r="45" spans="2:16" x14ac:dyDescent="0.2">
      <c r="B45" s="318"/>
      <c r="C45" s="308"/>
      <c r="D45" s="248" t="s">
        <v>64</v>
      </c>
      <c r="E45" s="91">
        <v>0</v>
      </c>
      <c r="F45" s="91">
        <v>-13.384</v>
      </c>
      <c r="G45" s="92">
        <f t="shared" ref="G45" si="149">E45+F45+I44</f>
        <v>9.9999999999766942E-5</v>
      </c>
      <c r="H45" s="129"/>
      <c r="I45" s="92">
        <f t="shared" si="141"/>
        <v>9.9999999999766942E-5</v>
      </c>
      <c r="J45" s="93">
        <f t="shared" si="142"/>
        <v>0</v>
      </c>
      <c r="K45" s="306"/>
      <c r="L45" s="306"/>
      <c r="M45" s="306"/>
      <c r="N45" s="306"/>
      <c r="O45" s="306"/>
      <c r="P45" s="307"/>
    </row>
    <row r="46" spans="2:16" x14ac:dyDescent="0.2">
      <c r="B46" s="318"/>
      <c r="C46" s="308" t="s">
        <v>51</v>
      </c>
      <c r="D46" s="221" t="s">
        <v>63</v>
      </c>
      <c r="E46" s="91">
        <f>0.00362+0.45974+0.012</f>
        <v>0.47536</v>
      </c>
      <c r="F46" s="92">
        <f>Hoja1!G20-13.91246+Hoja1!F20-0.346</f>
        <v>-0.52316279999999882</v>
      </c>
      <c r="G46" s="92">
        <f t="shared" ref="G46" si="150">E46+F46</f>
        <v>-4.7802799999998813E-2</v>
      </c>
      <c r="H46" s="129"/>
      <c r="I46" s="92">
        <f t="shared" si="1"/>
        <v>-4.7802799999998813E-2</v>
      </c>
      <c r="J46" s="93">
        <f t="shared" si="2"/>
        <v>0</v>
      </c>
      <c r="K46" s="306">
        <f t="shared" ref="K46:L46" si="151">E46+E47</f>
        <v>0.52756000000000003</v>
      </c>
      <c r="L46" s="306">
        <f t="shared" si="151"/>
        <v>-0.52316279999999882</v>
      </c>
      <c r="M46" s="306">
        <f t="shared" ref="M46" si="152">K46+L46</f>
        <v>4.3972000000012113E-3</v>
      </c>
      <c r="N46" s="306">
        <f t="shared" ref="N46" si="153">H46+H47</f>
        <v>0</v>
      </c>
      <c r="O46" s="306">
        <f t="shared" ref="O46" si="154">M46-N46</f>
        <v>4.3972000000012113E-3</v>
      </c>
      <c r="P46" s="307">
        <f t="shared" ref="P46" si="155">N46/M46</f>
        <v>0</v>
      </c>
    </row>
    <row r="47" spans="2:16" ht="13.5" thickBot="1" x14ac:dyDescent="0.25">
      <c r="B47" s="319"/>
      <c r="C47" s="323"/>
      <c r="D47" s="226" t="s">
        <v>64</v>
      </c>
      <c r="E47" s="98">
        <f>0.0004+0.0508+0.001</f>
        <v>5.2199999999999996E-2</v>
      </c>
      <c r="F47" s="99"/>
      <c r="G47" s="99">
        <f t="shared" ref="G47" si="156">E47+F47+I46</f>
        <v>4.3972000000011835E-3</v>
      </c>
      <c r="H47" s="130"/>
      <c r="I47" s="99">
        <f t="shared" si="1"/>
        <v>4.3972000000011835E-3</v>
      </c>
      <c r="J47" s="100">
        <f t="shared" si="2"/>
        <v>0</v>
      </c>
      <c r="K47" s="324"/>
      <c r="L47" s="324"/>
      <c r="M47" s="324"/>
      <c r="N47" s="324"/>
      <c r="O47" s="324"/>
      <c r="P47" s="325"/>
    </row>
    <row r="48" spans="2:16" x14ac:dyDescent="0.2">
      <c r="B48" s="326" t="s">
        <v>189</v>
      </c>
      <c r="C48" s="329" t="s">
        <v>36</v>
      </c>
      <c r="D48" s="224" t="s">
        <v>63</v>
      </c>
      <c r="E48" s="95">
        <f>151.79981+3.9858+12.264+130.888</f>
        <v>298.93761000000006</v>
      </c>
      <c r="F48" s="95"/>
      <c r="G48" s="95">
        <f t="shared" ref="G48" si="157">E48+F48</f>
        <v>298.93761000000006</v>
      </c>
      <c r="H48" s="246">
        <f>158.084+122.151</f>
        <v>280.23500000000001</v>
      </c>
      <c r="I48" s="95">
        <f t="shared" si="1"/>
        <v>18.70261000000005</v>
      </c>
      <c r="J48" s="240">
        <f t="shared" si="2"/>
        <v>0.93743641022620061</v>
      </c>
      <c r="K48" s="330">
        <f t="shared" ref="K48:L48" si="158">E48+E49</f>
        <v>331.98844000000008</v>
      </c>
      <c r="L48" s="321">
        <f t="shared" si="158"/>
        <v>0</v>
      </c>
      <c r="M48" s="321">
        <f t="shared" ref="M48" si="159">K48+L48</f>
        <v>331.98844000000008</v>
      </c>
      <c r="N48" s="321">
        <f t="shared" ref="N48" si="160">H48+H49</f>
        <v>317.959</v>
      </c>
      <c r="O48" s="321">
        <f t="shared" ref="O48" si="161">M48-N48</f>
        <v>14.029440000000079</v>
      </c>
      <c r="P48" s="331">
        <f t="shared" ref="P48" si="162">N48/M48</f>
        <v>0.95774117918081703</v>
      </c>
    </row>
    <row r="49" spans="2:22" ht="13.5" thickBot="1" x14ac:dyDescent="0.25">
      <c r="B49" s="327"/>
      <c r="C49" s="309"/>
      <c r="D49" s="251" t="s">
        <v>64</v>
      </c>
      <c r="E49" s="91">
        <f>16.78413+0.4407+1.356+14.47</f>
        <v>33.050830000000005</v>
      </c>
      <c r="F49" s="91"/>
      <c r="G49" s="91">
        <f t="shared" ref="G49" si="163">E49+F49+I48</f>
        <v>51.753440000000055</v>
      </c>
      <c r="H49" s="247">
        <v>37.723999999999997</v>
      </c>
      <c r="I49" s="91">
        <f t="shared" si="1"/>
        <v>14.029440000000058</v>
      </c>
      <c r="J49" s="241">
        <f t="shared" si="2"/>
        <v>0.72891772991321846</v>
      </c>
      <c r="K49" s="310"/>
      <c r="L49" s="306"/>
      <c r="M49" s="306"/>
      <c r="N49" s="306"/>
      <c r="O49" s="306"/>
      <c r="P49" s="332"/>
    </row>
    <row r="50" spans="2:22" x14ac:dyDescent="0.2">
      <c r="B50" s="327"/>
      <c r="C50" s="329" t="s">
        <v>37</v>
      </c>
      <c r="D50" s="251" t="s">
        <v>63</v>
      </c>
      <c r="E50" s="91">
        <f>57.85348+74.84811+17.90575+130.3375+0.6132+6.132+13.797+8.4315+4.9056+245.205</f>
        <v>560.02913999999998</v>
      </c>
      <c r="F50" s="91">
        <f>-0.4442-35.373</f>
        <v>-35.8172</v>
      </c>
      <c r="G50" s="91">
        <f t="shared" ref="G50" si="164">E50+F50</f>
        <v>524.21194000000003</v>
      </c>
      <c r="H50" s="91">
        <f>99.564+5.961+223.621</f>
        <v>329.14600000000002</v>
      </c>
      <c r="I50" s="91">
        <f t="shared" ref="I50:I91" si="165">G50-H50</f>
        <v>195.06594000000001</v>
      </c>
      <c r="J50" s="241">
        <f t="shared" ref="J50:J91" si="166">H50/G50</f>
        <v>0.62788726254499272</v>
      </c>
      <c r="K50" s="310">
        <f t="shared" ref="K50:L50" si="167">E50+E51</f>
        <v>621.94650999999999</v>
      </c>
      <c r="L50" s="306">
        <f t="shared" si="167"/>
        <v>-136.35310000000001</v>
      </c>
      <c r="M50" s="306">
        <f t="shared" ref="M50" si="168">K50+L50</f>
        <v>485.59340999999995</v>
      </c>
      <c r="N50" s="306">
        <f t="shared" ref="N50" si="169">H50+H51</f>
        <v>487.12</v>
      </c>
      <c r="O50" s="306">
        <f t="shared" ref="O50" si="170">M50-N50</f>
        <v>-1.5265900000000556</v>
      </c>
      <c r="P50" s="307">
        <f t="shared" ref="P50" si="171">N50/M50</f>
        <v>1.0031437617738677</v>
      </c>
    </row>
    <row r="51" spans="2:22" x14ac:dyDescent="0.2">
      <c r="B51" s="327"/>
      <c r="C51" s="309"/>
      <c r="D51" s="251" t="s">
        <v>64</v>
      </c>
      <c r="E51" s="91">
        <f>6.39672+8.27577+1.97979+14.41109+0.0678+0.678+1.5255+0.9323+0.5424+27.108</f>
        <v>61.917369999999991</v>
      </c>
      <c r="F51" s="91">
        <f>28-28-35.4139-98.154+33.032</f>
        <v>-100.53590000000001</v>
      </c>
      <c r="G51" s="91">
        <f t="shared" ref="G51" si="172">E51+F51+I50</f>
        <v>156.44740999999999</v>
      </c>
      <c r="H51" s="91">
        <v>157.97399999999999</v>
      </c>
      <c r="I51" s="91">
        <f t="shared" si="165"/>
        <v>-1.5265899999999988</v>
      </c>
      <c r="J51" s="241">
        <f t="shared" si="166"/>
        <v>1.0097578477010263</v>
      </c>
      <c r="K51" s="310"/>
      <c r="L51" s="306"/>
      <c r="M51" s="306"/>
      <c r="N51" s="306"/>
      <c r="O51" s="306"/>
      <c r="P51" s="307"/>
    </row>
    <row r="52" spans="2:22" x14ac:dyDescent="0.2">
      <c r="B52" s="327"/>
      <c r="C52" s="309" t="s">
        <v>38</v>
      </c>
      <c r="D52" s="223" t="s">
        <v>63</v>
      </c>
      <c r="E52" s="91">
        <f>0.03066+0.024</f>
        <v>5.466E-2</v>
      </c>
      <c r="F52" s="91"/>
      <c r="G52" s="91">
        <f t="shared" ref="G52" si="173">E52+F52</f>
        <v>5.466E-2</v>
      </c>
      <c r="H52" s="91"/>
      <c r="I52" s="91">
        <f t="shared" si="165"/>
        <v>5.466E-2</v>
      </c>
      <c r="J52" s="241">
        <f t="shared" si="166"/>
        <v>0</v>
      </c>
      <c r="K52" s="310">
        <f t="shared" ref="K52:L52" si="174">E52+E53</f>
        <v>6.105E-2</v>
      </c>
      <c r="L52" s="306">
        <f t="shared" si="174"/>
        <v>0</v>
      </c>
      <c r="M52" s="306">
        <f t="shared" ref="M52" si="175">K52+L52</f>
        <v>6.105E-2</v>
      </c>
      <c r="N52" s="306">
        <f t="shared" ref="N52" si="176">H52+H53</f>
        <v>0</v>
      </c>
      <c r="O52" s="306">
        <f t="shared" ref="O52" si="177">M52-N52</f>
        <v>6.105E-2</v>
      </c>
      <c r="P52" s="307">
        <f t="shared" ref="P52" si="178">N52/M52</f>
        <v>0</v>
      </c>
    </row>
    <row r="53" spans="2:22" x14ac:dyDescent="0.2">
      <c r="B53" s="327"/>
      <c r="C53" s="309"/>
      <c r="D53" s="223" t="s">
        <v>64</v>
      </c>
      <c r="E53" s="91">
        <f>0.00339+0.003</f>
        <v>6.3899999999999998E-3</v>
      </c>
      <c r="F53" s="91"/>
      <c r="G53" s="91">
        <f t="shared" ref="G53" si="179">E53+F53+I52</f>
        <v>6.105E-2</v>
      </c>
      <c r="H53" s="91"/>
      <c r="I53" s="91">
        <f t="shared" si="165"/>
        <v>6.105E-2</v>
      </c>
      <c r="J53" s="241">
        <f t="shared" si="166"/>
        <v>0</v>
      </c>
      <c r="K53" s="310"/>
      <c r="L53" s="306"/>
      <c r="M53" s="306"/>
      <c r="N53" s="306"/>
      <c r="O53" s="306"/>
      <c r="P53" s="307"/>
    </row>
    <row r="54" spans="2:22" x14ac:dyDescent="0.2">
      <c r="B54" s="327"/>
      <c r="C54" s="309" t="s">
        <v>39</v>
      </c>
      <c r="D54" s="223" t="s">
        <v>63</v>
      </c>
      <c r="E54" s="91">
        <f>149.06217+4.599+4.599+6.8985+128.636</f>
        <v>293.79467</v>
      </c>
      <c r="F54" s="91">
        <f>Hoja1!H13+Hoja1!I13</f>
        <v>35.066193900000002</v>
      </c>
      <c r="G54" s="91">
        <f t="shared" ref="G54" si="180">E54+F54</f>
        <v>328.86086390000003</v>
      </c>
      <c r="H54" s="247">
        <f>90.629+114.248</f>
        <v>204.87700000000001</v>
      </c>
      <c r="I54" s="91">
        <f t="shared" si="165"/>
        <v>123.98386390000002</v>
      </c>
      <c r="J54" s="241">
        <f t="shared" si="166"/>
        <v>0.62298990998910408</v>
      </c>
      <c r="K54" s="310">
        <f t="shared" ref="K54:L54" si="181">E54+E55</f>
        <v>326.27690000000001</v>
      </c>
      <c r="L54" s="306">
        <f t="shared" si="181"/>
        <v>35.066193900000002</v>
      </c>
      <c r="M54" s="306">
        <f t="shared" ref="M54" si="182">K54+L54</f>
        <v>361.34309389999999</v>
      </c>
      <c r="N54" s="306">
        <f t="shared" ref="N54" si="183">H54+H55</f>
        <v>307.39699999999999</v>
      </c>
      <c r="O54" s="306">
        <f t="shared" ref="O54" si="184">M54-N54</f>
        <v>53.946093899999994</v>
      </c>
      <c r="P54" s="307">
        <f t="shared" ref="P54" si="185">N54/M54</f>
        <v>0.85070672496392219</v>
      </c>
    </row>
    <row r="55" spans="2:22" x14ac:dyDescent="0.2">
      <c r="B55" s="327"/>
      <c r="C55" s="309"/>
      <c r="D55" s="223" t="s">
        <v>64</v>
      </c>
      <c r="E55" s="91">
        <f>16.48143+0.5085+0.5085+0.7628+14.221</f>
        <v>32.482230000000001</v>
      </c>
      <c r="F55" s="91"/>
      <c r="G55" s="91">
        <f t="shared" ref="G55" si="186">E55+F55+I54</f>
        <v>156.46609390000003</v>
      </c>
      <c r="H55" s="247">
        <v>102.52</v>
      </c>
      <c r="I55" s="91">
        <f t="shared" si="165"/>
        <v>53.946093900000037</v>
      </c>
      <c r="J55" s="241">
        <f t="shared" si="166"/>
        <v>0.65522182758343894</v>
      </c>
      <c r="K55" s="310"/>
      <c r="L55" s="306"/>
      <c r="M55" s="306"/>
      <c r="N55" s="306"/>
      <c r="O55" s="306"/>
      <c r="P55" s="307"/>
    </row>
    <row r="56" spans="2:22" x14ac:dyDescent="0.2">
      <c r="B56" s="327"/>
      <c r="C56" s="309" t="s">
        <v>40</v>
      </c>
      <c r="D56" s="223" t="s">
        <v>63</v>
      </c>
      <c r="E56" s="91">
        <f>0.77345+4.599+4.184</f>
        <v>9.5564500000000017</v>
      </c>
      <c r="F56" s="91"/>
      <c r="G56" s="91">
        <f t="shared" ref="G56" si="187">E56+F56</f>
        <v>9.5564500000000017</v>
      </c>
      <c r="H56" s="91"/>
      <c r="I56" s="91">
        <f t="shared" si="165"/>
        <v>9.5564500000000017</v>
      </c>
      <c r="J56" s="241">
        <f t="shared" si="166"/>
        <v>0</v>
      </c>
      <c r="K56" s="310">
        <f t="shared" ref="K56:L56" si="188">E56+E57</f>
        <v>10.613470000000001</v>
      </c>
      <c r="L56" s="306">
        <f t="shared" si="188"/>
        <v>98.153999999999996</v>
      </c>
      <c r="M56" s="306">
        <f t="shared" ref="M56" si="189">K56+L56</f>
        <v>108.76747</v>
      </c>
      <c r="N56" s="306">
        <f t="shared" ref="N56" si="190">H56+H57</f>
        <v>0</v>
      </c>
      <c r="O56" s="306">
        <f t="shared" ref="O56" si="191">M56-N56</f>
        <v>108.76747</v>
      </c>
      <c r="P56" s="307">
        <f t="shared" ref="P56" si="192">N56/M56</f>
        <v>0</v>
      </c>
    </row>
    <row r="57" spans="2:22" x14ac:dyDescent="0.2">
      <c r="B57" s="327"/>
      <c r="C57" s="309"/>
      <c r="D57" s="223" t="s">
        <v>64</v>
      </c>
      <c r="E57" s="91">
        <f>0.08552+0.5085+0.463</f>
        <v>1.0570200000000001</v>
      </c>
      <c r="F57" s="91">
        <v>98.153999999999996</v>
      </c>
      <c r="G57" s="91">
        <f t="shared" ref="G57" si="193">E57+F57+I56</f>
        <v>108.76746999999999</v>
      </c>
      <c r="H57" s="91"/>
      <c r="I57" s="91">
        <f t="shared" si="165"/>
        <v>108.76746999999999</v>
      </c>
      <c r="J57" s="241">
        <f t="shared" si="166"/>
        <v>0</v>
      </c>
      <c r="K57" s="310"/>
      <c r="L57" s="306"/>
      <c r="M57" s="306"/>
      <c r="N57" s="306"/>
      <c r="O57" s="306"/>
      <c r="P57" s="307"/>
    </row>
    <row r="58" spans="2:22" x14ac:dyDescent="0.2">
      <c r="B58" s="327"/>
      <c r="C58" s="309" t="s">
        <v>41</v>
      </c>
      <c r="D58" s="223" t="s">
        <v>63</v>
      </c>
      <c r="E58" s="91">
        <f>4.79625+3.736</f>
        <v>8.5322499999999994</v>
      </c>
      <c r="F58" s="91"/>
      <c r="G58" s="91">
        <f t="shared" ref="G58" si="194">E58+F58</f>
        <v>8.5322499999999994</v>
      </c>
      <c r="H58" s="247">
        <f>2.155+3.6</f>
        <v>5.7549999999999999</v>
      </c>
      <c r="I58" s="91">
        <f t="shared" si="165"/>
        <v>2.7772499999999996</v>
      </c>
      <c r="J58" s="241">
        <f t="shared" si="166"/>
        <v>0.67449969234375462</v>
      </c>
      <c r="K58" s="310">
        <f t="shared" ref="K58:L58" si="195">E58+E59</f>
        <v>9.4755599999999998</v>
      </c>
      <c r="L58" s="306">
        <f t="shared" si="195"/>
        <v>0</v>
      </c>
      <c r="M58" s="306">
        <f t="shared" ref="M58" si="196">K58+L58</f>
        <v>9.4755599999999998</v>
      </c>
      <c r="N58" s="306">
        <f t="shared" ref="N58" si="197">H58+H59</f>
        <v>5.7549999999999999</v>
      </c>
      <c r="O58" s="306">
        <f t="shared" ref="O58" si="198">M58-N58</f>
        <v>3.7205599999999999</v>
      </c>
      <c r="P58" s="307">
        <f t="shared" ref="P58" si="199">N58/M58</f>
        <v>0.60735196653284873</v>
      </c>
    </row>
    <row r="59" spans="2:22" x14ac:dyDescent="0.2">
      <c r="B59" s="327"/>
      <c r="C59" s="309"/>
      <c r="D59" s="223" t="s">
        <v>64</v>
      </c>
      <c r="E59" s="91">
        <f>0.53031+0.413</f>
        <v>0.94330999999999987</v>
      </c>
      <c r="F59" s="91"/>
      <c r="G59" s="91">
        <f t="shared" ref="G59" si="200">E59+F59+I58</f>
        <v>3.7205599999999994</v>
      </c>
      <c r="H59" s="91"/>
      <c r="I59" s="91">
        <f t="shared" si="165"/>
        <v>3.7205599999999994</v>
      </c>
      <c r="J59" s="241">
        <f t="shared" si="166"/>
        <v>0</v>
      </c>
      <c r="K59" s="310"/>
      <c r="L59" s="306"/>
      <c r="M59" s="306"/>
      <c r="N59" s="306"/>
      <c r="O59" s="306"/>
      <c r="P59" s="307"/>
    </row>
    <row r="60" spans="2:22" x14ac:dyDescent="0.2">
      <c r="B60" s="327"/>
      <c r="C60" s="309" t="s">
        <v>42</v>
      </c>
      <c r="D60" s="223" t="s">
        <v>63</v>
      </c>
      <c r="E60" s="91">
        <f>2.90146+2.26</f>
        <v>5.1614599999999999</v>
      </c>
      <c r="F60" s="91"/>
      <c r="G60" s="91">
        <f t="shared" ref="G60" si="201">E60+F60</f>
        <v>5.1614599999999999</v>
      </c>
      <c r="H60" s="91"/>
      <c r="I60" s="91">
        <f t="shared" si="165"/>
        <v>5.1614599999999999</v>
      </c>
      <c r="J60" s="241">
        <f t="shared" si="166"/>
        <v>0</v>
      </c>
      <c r="K60" s="310">
        <f t="shared" ref="K60:L60" si="202">E60+E61</f>
        <v>5.7322699999999998</v>
      </c>
      <c r="L60" s="306">
        <f t="shared" si="202"/>
        <v>0</v>
      </c>
      <c r="M60" s="306">
        <f t="shared" ref="M60" si="203">K60+L60</f>
        <v>5.7322699999999998</v>
      </c>
      <c r="N60" s="306">
        <f t="shared" ref="N60" si="204">H60+H61</f>
        <v>0</v>
      </c>
      <c r="O60" s="306">
        <f t="shared" ref="O60" si="205">M60-N60</f>
        <v>5.7322699999999998</v>
      </c>
      <c r="P60" s="307">
        <f t="shared" ref="P60" si="206">N60/M60</f>
        <v>0</v>
      </c>
    </row>
    <row r="61" spans="2:22" x14ac:dyDescent="0.2">
      <c r="B61" s="327"/>
      <c r="C61" s="309"/>
      <c r="D61" s="223" t="s">
        <v>64</v>
      </c>
      <c r="E61" s="91">
        <f>0.32081+0.25</f>
        <v>0.57081000000000004</v>
      </c>
      <c r="F61" s="91"/>
      <c r="G61" s="91">
        <f t="shared" ref="G61" si="207">E61+F61+I60</f>
        <v>5.7322699999999998</v>
      </c>
      <c r="H61" s="91"/>
      <c r="I61" s="91">
        <f t="shared" si="165"/>
        <v>5.7322699999999998</v>
      </c>
      <c r="J61" s="241">
        <f t="shared" si="166"/>
        <v>0</v>
      </c>
      <c r="K61" s="310"/>
      <c r="L61" s="306"/>
      <c r="M61" s="306"/>
      <c r="N61" s="306"/>
      <c r="O61" s="306"/>
      <c r="P61" s="307"/>
    </row>
    <row r="62" spans="2:22" x14ac:dyDescent="0.2">
      <c r="B62" s="327"/>
      <c r="C62" s="309" t="s">
        <v>43</v>
      </c>
      <c r="D62" s="223" t="s">
        <v>63</v>
      </c>
      <c r="E62" s="91">
        <f>155.10996+37.72335+31.84358+1.533+1.533+1.533+3.066+3.066+3.066+3.066+3.066+3.066+2.4017+2.1973+4.599+4.599+4.599+4.599+2.6061+2.228+7.665+12.264+10.4244+238.219</f>
        <v>544.07339000000002</v>
      </c>
      <c r="F62" s="91">
        <f>-Hoja1!H12-Hoja1!H20+39.28019-Hoja1!I12-Hoja1!I20+30.59356</f>
        <v>2.5641260999999993</v>
      </c>
      <c r="G62" s="91">
        <f t="shared" ref="G62" si="208">E62+F62</f>
        <v>546.63751609999997</v>
      </c>
      <c r="H62" s="247">
        <f>157.399+243.154+19.879</f>
        <v>420.43200000000002</v>
      </c>
      <c r="I62" s="91">
        <f t="shared" si="165"/>
        <v>126.20551609999995</v>
      </c>
      <c r="J62" s="241">
        <f t="shared" si="166"/>
        <v>0.76912393975368432</v>
      </c>
      <c r="K62" s="333">
        <f t="shared" ref="K62:L62" si="209">E62+E63</f>
        <v>604.22706000000005</v>
      </c>
      <c r="L62" s="306">
        <f t="shared" si="209"/>
        <v>2.5641260999999993</v>
      </c>
      <c r="M62" s="306">
        <f t="shared" ref="M62" si="210">K62+L62</f>
        <v>606.7911861</v>
      </c>
      <c r="N62" s="306">
        <f t="shared" ref="N62" si="211">H62+H63</f>
        <v>531.55200000000002</v>
      </c>
      <c r="O62" s="306">
        <f t="shared" ref="O62" si="212">M62-N62</f>
        <v>75.239186099999984</v>
      </c>
      <c r="P62" s="307">
        <f t="shared" ref="P62" si="213">N62/M62</f>
        <v>0.87600481380822093</v>
      </c>
    </row>
    <row r="63" spans="2:22" x14ac:dyDescent="0.2">
      <c r="B63" s="327"/>
      <c r="C63" s="309"/>
      <c r="D63" s="223" t="s">
        <v>64</v>
      </c>
      <c r="E63" s="91">
        <f>17.15012+4.17098+3.52087+0.1695+0.1695+0.1695+0.339+0.339+0.339+0.339+0.339+0.339+0.2656+0.243+0.5085+0.5085+0.5085+0.5085+0.2882+0.2463+0.8475+1.356+1.1526+26.336</f>
        <v>60.153669999999991</v>
      </c>
      <c r="F63" s="91">
        <f>-92.1674+28+92.1674-28</f>
        <v>0</v>
      </c>
      <c r="G63" s="91">
        <f t="shared" ref="G63" si="214">E63+F63+I62</f>
        <v>186.35918609999993</v>
      </c>
      <c r="H63" s="247">
        <f>54.366+38.823+17.931</f>
        <v>111.11999999999999</v>
      </c>
      <c r="I63" s="91">
        <f t="shared" si="165"/>
        <v>75.239186099999941</v>
      </c>
      <c r="J63" s="241">
        <f t="shared" si="166"/>
        <v>0.59626789709401951</v>
      </c>
      <c r="K63" s="334"/>
      <c r="L63" s="306"/>
      <c r="M63" s="306"/>
      <c r="N63" s="306"/>
      <c r="O63" s="306"/>
      <c r="P63" s="307"/>
    </row>
    <row r="64" spans="2:22" x14ac:dyDescent="0.2">
      <c r="B64" s="327"/>
      <c r="C64" s="309" t="s">
        <v>44</v>
      </c>
      <c r="D64" s="223" t="s">
        <v>63</v>
      </c>
      <c r="E64" s="91">
        <f>1.58379+1.234</f>
        <v>2.81779</v>
      </c>
      <c r="F64" s="91"/>
      <c r="G64" s="91">
        <f t="shared" ref="G64" si="215">E64+F64</f>
        <v>2.81779</v>
      </c>
      <c r="H64" s="91"/>
      <c r="I64" s="91">
        <f t="shared" si="165"/>
        <v>2.81779</v>
      </c>
      <c r="J64" s="241">
        <f t="shared" si="166"/>
        <v>0</v>
      </c>
      <c r="K64" s="310">
        <f t="shared" ref="K64:L64" si="216">E64+E65</f>
        <v>3.1289099999999999</v>
      </c>
      <c r="L64" s="306">
        <f t="shared" si="216"/>
        <v>0</v>
      </c>
      <c r="M64" s="306">
        <f t="shared" ref="M64" si="217">K64+L64</f>
        <v>3.1289099999999999</v>
      </c>
      <c r="N64" s="306">
        <f t="shared" ref="N64" si="218">H64+H65</f>
        <v>0</v>
      </c>
      <c r="O64" s="306">
        <f t="shared" ref="O64" si="219">M64-N64</f>
        <v>3.1289099999999999</v>
      </c>
      <c r="P64" s="307">
        <f t="shared" ref="P64" si="220">N64/M64</f>
        <v>0</v>
      </c>
      <c r="V64" s="210" t="e">
        <f>K70+#REF!+K112+#REF!+K28+#REF!</f>
        <v>#REF!</v>
      </c>
    </row>
    <row r="65" spans="2:16" x14ac:dyDescent="0.2">
      <c r="B65" s="327"/>
      <c r="C65" s="309"/>
      <c r="D65" s="223" t="s">
        <v>64</v>
      </c>
      <c r="E65" s="91">
        <f>0.17512+0.136</f>
        <v>0.31112000000000001</v>
      </c>
      <c r="F65" s="91"/>
      <c r="G65" s="91">
        <f t="shared" ref="G65" si="221">E65+F65+I64</f>
        <v>3.1289099999999999</v>
      </c>
      <c r="H65" s="91"/>
      <c r="I65" s="91">
        <f t="shared" si="165"/>
        <v>3.1289099999999999</v>
      </c>
      <c r="J65" s="241">
        <f t="shared" si="166"/>
        <v>0</v>
      </c>
      <c r="K65" s="310"/>
      <c r="L65" s="306"/>
      <c r="M65" s="306"/>
      <c r="N65" s="306"/>
      <c r="O65" s="306"/>
      <c r="P65" s="307"/>
    </row>
    <row r="66" spans="2:16" x14ac:dyDescent="0.2">
      <c r="B66" s="327"/>
      <c r="C66" s="309" t="s">
        <v>45</v>
      </c>
      <c r="D66" s="251" t="s">
        <v>63</v>
      </c>
      <c r="E66" s="91">
        <f>33.20039+25.859</f>
        <v>59.05939</v>
      </c>
      <c r="F66" s="91"/>
      <c r="G66" s="91">
        <f t="shared" ref="G66" si="222">E66+F66</f>
        <v>59.05939</v>
      </c>
      <c r="H66" s="91">
        <v>32.557000000000002</v>
      </c>
      <c r="I66" s="91">
        <f t="shared" si="165"/>
        <v>26.502389999999998</v>
      </c>
      <c r="J66" s="241">
        <f t="shared" si="166"/>
        <v>0.55125865675212704</v>
      </c>
      <c r="K66" s="310">
        <f t="shared" ref="K66:L66" si="223">E66+E67</f>
        <v>65.589269999999999</v>
      </c>
      <c r="L66" s="306">
        <f t="shared" si="223"/>
        <v>-33.031999999999996</v>
      </c>
      <c r="M66" s="306">
        <f t="shared" ref="M66" si="224">K66+L66</f>
        <v>32.557270000000003</v>
      </c>
      <c r="N66" s="306">
        <f t="shared" ref="N66" si="225">H66+H67</f>
        <v>32.557000000000002</v>
      </c>
      <c r="O66" s="306">
        <f t="shared" ref="O66" si="226">M66-N66</f>
        <v>2.7000000000043656E-4</v>
      </c>
      <c r="P66" s="307">
        <f t="shared" ref="P66" si="227">N66/M66</f>
        <v>0.99999170692137274</v>
      </c>
    </row>
    <row r="67" spans="2:16" x14ac:dyDescent="0.2">
      <c r="B67" s="327"/>
      <c r="C67" s="309"/>
      <c r="D67" s="251" t="s">
        <v>64</v>
      </c>
      <c r="E67" s="91">
        <f>3.67088+2.859</f>
        <v>6.5298800000000004</v>
      </c>
      <c r="F67" s="91">
        <v>-33.031999999999996</v>
      </c>
      <c r="G67" s="91">
        <f t="shared" ref="G67" si="228">E67+F67+I66</f>
        <v>2.7000000000043656E-4</v>
      </c>
      <c r="H67" s="91"/>
      <c r="I67" s="91">
        <f t="shared" si="165"/>
        <v>2.7000000000043656E-4</v>
      </c>
      <c r="J67" s="241">
        <f t="shared" si="166"/>
        <v>0</v>
      </c>
      <c r="K67" s="310"/>
      <c r="L67" s="306"/>
      <c r="M67" s="306"/>
      <c r="N67" s="306"/>
      <c r="O67" s="306"/>
      <c r="P67" s="307"/>
    </row>
    <row r="68" spans="2:16" x14ac:dyDescent="0.2">
      <c r="B68" s="327"/>
      <c r="C68" s="309" t="s">
        <v>46</v>
      </c>
      <c r="D68" s="223" t="s">
        <v>63</v>
      </c>
      <c r="E68" s="91">
        <f>0.03066+0.024</f>
        <v>5.466E-2</v>
      </c>
      <c r="F68" s="91"/>
      <c r="G68" s="91">
        <f t="shared" ref="G68" si="229">E68+F68</f>
        <v>5.466E-2</v>
      </c>
      <c r="H68" s="91"/>
      <c r="I68" s="91">
        <f t="shared" si="165"/>
        <v>5.466E-2</v>
      </c>
      <c r="J68" s="241">
        <f t="shared" si="166"/>
        <v>0</v>
      </c>
      <c r="K68" s="333">
        <f t="shared" ref="K68:L68" si="230">E68+E69</f>
        <v>6.105E-2</v>
      </c>
      <c r="L68" s="306">
        <f t="shared" si="230"/>
        <v>0</v>
      </c>
      <c r="M68" s="306">
        <f t="shared" ref="M68" si="231">K68+L68</f>
        <v>6.105E-2</v>
      </c>
      <c r="N68" s="306">
        <f t="shared" ref="N68" si="232">H68+H69</f>
        <v>0</v>
      </c>
      <c r="O68" s="306">
        <f t="shared" ref="O68" si="233">M68-N68</f>
        <v>6.105E-2</v>
      </c>
      <c r="P68" s="307">
        <f t="shared" ref="P68" si="234">N68/M68</f>
        <v>0</v>
      </c>
    </row>
    <row r="69" spans="2:16" x14ac:dyDescent="0.2">
      <c r="B69" s="327"/>
      <c r="C69" s="309"/>
      <c r="D69" s="223" t="s">
        <v>64</v>
      </c>
      <c r="E69" s="91">
        <f>0.00339+0.003</f>
        <v>6.3899999999999998E-3</v>
      </c>
      <c r="F69" s="91"/>
      <c r="G69" s="91">
        <f t="shared" ref="G69" si="235">E69+F69+I68</f>
        <v>6.105E-2</v>
      </c>
      <c r="H69" s="91"/>
      <c r="I69" s="91">
        <f t="shared" si="165"/>
        <v>6.105E-2</v>
      </c>
      <c r="J69" s="241">
        <f t="shared" si="166"/>
        <v>0</v>
      </c>
      <c r="K69" s="334"/>
      <c r="L69" s="306"/>
      <c r="M69" s="306"/>
      <c r="N69" s="306"/>
      <c r="O69" s="306"/>
      <c r="P69" s="307"/>
    </row>
    <row r="70" spans="2:16" x14ac:dyDescent="0.2">
      <c r="B70" s="327"/>
      <c r="C70" s="309" t="s">
        <v>47</v>
      </c>
      <c r="D70" s="223" t="s">
        <v>63</v>
      </c>
      <c r="E70" s="91">
        <f>0.02044+0.016</f>
        <v>3.644E-2</v>
      </c>
      <c r="F70" s="91">
        <f>Hoja1!H14+Hoja1!I14</f>
        <v>35.373485699999996</v>
      </c>
      <c r="G70" s="91">
        <f t="shared" ref="G70" si="236">E70+F70</f>
        <v>35.409925699999995</v>
      </c>
      <c r="H70" s="91"/>
      <c r="I70" s="91">
        <f t="shared" si="165"/>
        <v>35.409925699999995</v>
      </c>
      <c r="J70" s="241">
        <f t="shared" si="166"/>
        <v>0</v>
      </c>
      <c r="K70" s="310">
        <f t="shared" ref="K70:L70" si="237">E70+E71</f>
        <v>4.07E-2</v>
      </c>
      <c r="L70" s="306">
        <f t="shared" si="237"/>
        <v>35.373485699999996</v>
      </c>
      <c r="M70" s="306">
        <f t="shared" ref="M70" si="238">K70+L70</f>
        <v>35.414185699999997</v>
      </c>
      <c r="N70" s="306">
        <f t="shared" ref="N70" si="239">H70+H71</f>
        <v>0</v>
      </c>
      <c r="O70" s="306">
        <f t="shared" ref="O70" si="240">M70-N70</f>
        <v>35.414185699999997</v>
      </c>
      <c r="P70" s="307">
        <f t="shared" ref="P70" si="241">N70/M70</f>
        <v>0</v>
      </c>
    </row>
    <row r="71" spans="2:16" x14ac:dyDescent="0.2">
      <c r="B71" s="327"/>
      <c r="C71" s="309"/>
      <c r="D71" s="223" t="s">
        <v>64</v>
      </c>
      <c r="E71" s="91">
        <f>0.00226+0.002</f>
        <v>4.2599999999999999E-3</v>
      </c>
      <c r="F71" s="91"/>
      <c r="G71" s="91">
        <f t="shared" ref="G71" si="242">E71+F71+I70</f>
        <v>35.414185699999997</v>
      </c>
      <c r="H71" s="91"/>
      <c r="I71" s="91">
        <f t="shared" si="165"/>
        <v>35.414185699999997</v>
      </c>
      <c r="J71" s="241">
        <f t="shared" si="166"/>
        <v>0</v>
      </c>
      <c r="K71" s="310"/>
      <c r="L71" s="306"/>
      <c r="M71" s="306"/>
      <c r="N71" s="306"/>
      <c r="O71" s="306"/>
      <c r="P71" s="307"/>
    </row>
    <row r="72" spans="2:16" x14ac:dyDescent="0.2">
      <c r="B72" s="327"/>
      <c r="C72" s="309" t="s">
        <v>48</v>
      </c>
      <c r="D72" s="223" t="s">
        <v>63</v>
      </c>
      <c r="E72" s="91">
        <f>18.58252+14.473</f>
        <v>33.055520000000001</v>
      </c>
      <c r="F72" s="91">
        <f>-Hoja1!H13-Hoja1!I13</f>
        <v>-35.066193900000002</v>
      </c>
      <c r="G72" s="91">
        <f t="shared" ref="G72" si="243">E72+F72</f>
        <v>-2.0106739000000005</v>
      </c>
      <c r="H72" s="91"/>
      <c r="I72" s="91">
        <f t="shared" si="165"/>
        <v>-2.0106739000000005</v>
      </c>
      <c r="J72" s="241">
        <f t="shared" si="166"/>
        <v>0</v>
      </c>
      <c r="K72" s="310">
        <f t="shared" ref="K72:L72" si="244">E72+E73</f>
        <v>36.710140000000003</v>
      </c>
      <c r="L72" s="306">
        <f t="shared" si="244"/>
        <v>-35.066193900000002</v>
      </c>
      <c r="M72" s="306">
        <f t="shared" ref="M72" si="245">K72+L72</f>
        <v>1.6439461000000009</v>
      </c>
      <c r="N72" s="306">
        <f t="shared" ref="N72" si="246">H72+H73</f>
        <v>0</v>
      </c>
      <c r="O72" s="306">
        <f t="shared" ref="O72" si="247">M72-N72</f>
        <v>1.6439461000000009</v>
      </c>
      <c r="P72" s="307">
        <f t="shared" ref="P72" si="248">N72/M72</f>
        <v>0</v>
      </c>
    </row>
    <row r="73" spans="2:16" x14ac:dyDescent="0.2">
      <c r="B73" s="327"/>
      <c r="C73" s="309"/>
      <c r="D73" s="223" t="s">
        <v>64</v>
      </c>
      <c r="E73" s="91">
        <f>2.05462+1.6</f>
        <v>3.65462</v>
      </c>
      <c r="F73" s="91"/>
      <c r="G73" s="91">
        <f t="shared" ref="G73" si="249">E73+F73+I72</f>
        <v>1.6439460999999995</v>
      </c>
      <c r="H73" s="91"/>
      <c r="I73" s="91">
        <f t="shared" si="165"/>
        <v>1.6439460999999995</v>
      </c>
      <c r="J73" s="241">
        <f t="shared" si="166"/>
        <v>0</v>
      </c>
      <c r="K73" s="310"/>
      <c r="L73" s="306"/>
      <c r="M73" s="306"/>
      <c r="N73" s="306"/>
      <c r="O73" s="306"/>
      <c r="P73" s="307"/>
    </row>
    <row r="74" spans="2:16" x14ac:dyDescent="0.2">
      <c r="B74" s="327"/>
      <c r="C74" s="309" t="s">
        <v>49</v>
      </c>
      <c r="D74" s="223" t="s">
        <v>63</v>
      </c>
      <c r="E74" s="91">
        <f>0.01022+0.008</f>
        <v>1.822E-2</v>
      </c>
      <c r="F74" s="91"/>
      <c r="G74" s="91">
        <f t="shared" ref="G74" si="250">E74+F74</f>
        <v>1.822E-2</v>
      </c>
      <c r="H74" s="91"/>
      <c r="I74" s="91">
        <f t="shared" si="165"/>
        <v>1.822E-2</v>
      </c>
      <c r="J74" s="241">
        <f t="shared" si="166"/>
        <v>0</v>
      </c>
      <c r="K74" s="310">
        <f t="shared" ref="K74:L74" si="251">E74+E75</f>
        <v>2.035E-2</v>
      </c>
      <c r="L74" s="306">
        <f t="shared" si="251"/>
        <v>0</v>
      </c>
      <c r="M74" s="306">
        <f t="shared" ref="M74" si="252">K74+L74</f>
        <v>2.035E-2</v>
      </c>
      <c r="N74" s="306">
        <f t="shared" ref="N74" si="253">H74+H75</f>
        <v>0</v>
      </c>
      <c r="O74" s="306">
        <f t="shared" ref="O74" si="254">M74-N74</f>
        <v>2.035E-2</v>
      </c>
      <c r="P74" s="307">
        <f t="shared" ref="P74" si="255">N74/M74</f>
        <v>0</v>
      </c>
    </row>
    <row r="75" spans="2:16" x14ac:dyDescent="0.2">
      <c r="B75" s="327"/>
      <c r="C75" s="309"/>
      <c r="D75" s="223" t="s">
        <v>64</v>
      </c>
      <c r="E75" s="91">
        <f>0.00113+0.001</f>
        <v>2.1299999999999999E-3</v>
      </c>
      <c r="F75" s="91"/>
      <c r="G75" s="91">
        <f t="shared" ref="G75" si="256">E75+F75+I74</f>
        <v>2.035E-2</v>
      </c>
      <c r="H75" s="91"/>
      <c r="I75" s="91">
        <f t="shared" si="165"/>
        <v>2.035E-2</v>
      </c>
      <c r="J75" s="241">
        <f t="shared" si="166"/>
        <v>0</v>
      </c>
      <c r="K75" s="310"/>
      <c r="L75" s="306"/>
      <c r="M75" s="306"/>
      <c r="N75" s="306"/>
      <c r="O75" s="306"/>
      <c r="P75" s="307"/>
    </row>
    <row r="76" spans="2:16" x14ac:dyDescent="0.2">
      <c r="B76" s="327"/>
      <c r="C76" s="309" t="s">
        <v>50</v>
      </c>
      <c r="D76" s="223" t="s">
        <v>63</v>
      </c>
      <c r="E76" s="91">
        <f>0.27594+0.215</f>
        <v>0.49094000000000004</v>
      </c>
      <c r="F76" s="91">
        <f>-Hoja1!H17-Hoja1!I17</f>
        <v>-0.26246999999999998</v>
      </c>
      <c r="G76" s="91">
        <f t="shared" ref="G76" si="257">E76+F76</f>
        <v>0.22847000000000006</v>
      </c>
      <c r="H76" s="91"/>
      <c r="I76" s="91">
        <f t="shared" si="165"/>
        <v>0.22847000000000006</v>
      </c>
      <c r="J76" s="241">
        <f t="shared" si="166"/>
        <v>0</v>
      </c>
      <c r="K76" s="310">
        <f t="shared" ref="K76:L76" si="258">E76+E77</f>
        <v>0.54544999999999999</v>
      </c>
      <c r="L76" s="306">
        <f t="shared" si="258"/>
        <v>-0.26246999999999998</v>
      </c>
      <c r="M76" s="306">
        <f t="shared" ref="M76" si="259">K76+L76</f>
        <v>0.28298000000000001</v>
      </c>
      <c r="N76" s="306">
        <f t="shared" ref="N76" si="260">H76+H77</f>
        <v>0</v>
      </c>
      <c r="O76" s="306">
        <f t="shared" ref="O76" si="261">M76-N76</f>
        <v>0.28298000000000001</v>
      </c>
      <c r="P76" s="307">
        <f t="shared" ref="P76" si="262">N76/M76</f>
        <v>0</v>
      </c>
    </row>
    <row r="77" spans="2:16" x14ac:dyDescent="0.2">
      <c r="B77" s="327"/>
      <c r="C77" s="309"/>
      <c r="D77" s="223" t="s">
        <v>64</v>
      </c>
      <c r="E77" s="91">
        <f>0.03051+0.024</f>
        <v>5.4510000000000003E-2</v>
      </c>
      <c r="F77" s="91"/>
      <c r="G77" s="91">
        <f t="shared" ref="G77" si="263">E77+F77+I76</f>
        <v>0.28298000000000006</v>
      </c>
      <c r="H77" s="91"/>
      <c r="I77" s="91">
        <f t="shared" si="165"/>
        <v>0.28298000000000006</v>
      </c>
      <c r="J77" s="241">
        <f t="shared" si="166"/>
        <v>0</v>
      </c>
      <c r="K77" s="310"/>
      <c r="L77" s="306"/>
      <c r="M77" s="306"/>
      <c r="N77" s="306"/>
      <c r="O77" s="306"/>
      <c r="P77" s="307"/>
    </row>
    <row r="78" spans="2:16" x14ac:dyDescent="0.2">
      <c r="B78" s="327"/>
      <c r="C78" s="309" t="s">
        <v>148</v>
      </c>
      <c r="D78" s="223" t="s">
        <v>63</v>
      </c>
      <c r="E78" s="91">
        <v>0</v>
      </c>
      <c r="F78" s="91">
        <f>Hoja1!H10+Hoja1!I10</f>
        <v>0.44418000000000002</v>
      </c>
      <c r="G78" s="91">
        <f t="shared" ref="G78" si="264">E78+F78</f>
        <v>0.44418000000000002</v>
      </c>
      <c r="H78" s="91"/>
      <c r="I78" s="91">
        <f t="shared" si="165"/>
        <v>0.44418000000000002</v>
      </c>
      <c r="J78" s="241">
        <f t="shared" si="166"/>
        <v>0</v>
      </c>
      <c r="K78" s="310">
        <f t="shared" ref="K78:L78" si="265">E78+E79</f>
        <v>0</v>
      </c>
      <c r="L78" s="306">
        <f t="shared" si="265"/>
        <v>0.44418000000000002</v>
      </c>
      <c r="M78" s="306">
        <f t="shared" ref="M78" si="266">K78+L78</f>
        <v>0.44418000000000002</v>
      </c>
      <c r="N78" s="306">
        <f t="shared" ref="N78" si="267">H78+H79</f>
        <v>0</v>
      </c>
      <c r="O78" s="306">
        <f t="shared" ref="O78" si="268">M78-N78</f>
        <v>0.44418000000000002</v>
      </c>
      <c r="P78" s="307">
        <f t="shared" ref="P78" si="269">N78/M78</f>
        <v>0</v>
      </c>
    </row>
    <row r="79" spans="2:16" x14ac:dyDescent="0.2">
      <c r="B79" s="327"/>
      <c r="C79" s="309"/>
      <c r="D79" s="223" t="s">
        <v>64</v>
      </c>
      <c r="E79" s="91">
        <v>0</v>
      </c>
      <c r="F79" s="91"/>
      <c r="G79" s="91">
        <f t="shared" ref="G79" si="270">E79+F79+I78</f>
        <v>0.44418000000000002</v>
      </c>
      <c r="H79" s="91"/>
      <c r="I79" s="91">
        <f t="shared" si="165"/>
        <v>0.44418000000000002</v>
      </c>
      <c r="J79" s="241">
        <f t="shared" si="166"/>
        <v>0</v>
      </c>
      <c r="K79" s="310"/>
      <c r="L79" s="306"/>
      <c r="M79" s="306"/>
      <c r="N79" s="306"/>
      <c r="O79" s="306"/>
      <c r="P79" s="307"/>
    </row>
    <row r="80" spans="2:16" x14ac:dyDescent="0.2">
      <c r="B80" s="327"/>
      <c r="C80" s="309" t="s">
        <v>192</v>
      </c>
      <c r="D80" s="223" t="s">
        <v>63</v>
      </c>
      <c r="E80" s="91">
        <v>0</v>
      </c>
      <c r="F80" s="91">
        <f>Hoja1!H17+Hoja1!I17</f>
        <v>0.26246999999999998</v>
      </c>
      <c r="G80" s="91">
        <f t="shared" ref="G80" si="271">E80+F80</f>
        <v>0.26246999999999998</v>
      </c>
      <c r="H80" s="91"/>
      <c r="I80" s="91">
        <f t="shared" si="165"/>
        <v>0.26246999999999998</v>
      </c>
      <c r="J80" s="241">
        <f t="shared" si="166"/>
        <v>0</v>
      </c>
      <c r="K80" s="310">
        <f t="shared" ref="K80:L80" si="272">E80+E81</f>
        <v>0</v>
      </c>
      <c r="L80" s="306">
        <f t="shared" si="272"/>
        <v>0.26246999999999998</v>
      </c>
      <c r="M80" s="306">
        <f t="shared" ref="M80" si="273">K80+L80</f>
        <v>0.26246999999999998</v>
      </c>
      <c r="N80" s="306">
        <f t="shared" ref="N80" si="274">H80+H81</f>
        <v>0</v>
      </c>
      <c r="O80" s="306">
        <f t="shared" ref="O80" si="275">M80-N80</f>
        <v>0.26246999999999998</v>
      </c>
      <c r="P80" s="307">
        <f t="shared" ref="P80" si="276">N80/M80</f>
        <v>0</v>
      </c>
    </row>
    <row r="81" spans="2:16" x14ac:dyDescent="0.2">
      <c r="B81" s="327"/>
      <c r="C81" s="309"/>
      <c r="D81" s="223" t="s">
        <v>64</v>
      </c>
      <c r="E81" s="91">
        <v>0</v>
      </c>
      <c r="F81" s="91"/>
      <c r="G81" s="91">
        <f t="shared" ref="G81" si="277">E81+F81+I80</f>
        <v>0.26246999999999998</v>
      </c>
      <c r="H81" s="91"/>
      <c r="I81" s="91">
        <f t="shared" si="165"/>
        <v>0.26246999999999998</v>
      </c>
      <c r="J81" s="241">
        <f t="shared" si="166"/>
        <v>0</v>
      </c>
      <c r="K81" s="310"/>
      <c r="L81" s="306"/>
      <c r="M81" s="306"/>
      <c r="N81" s="306"/>
      <c r="O81" s="306"/>
      <c r="P81" s="307"/>
    </row>
    <row r="82" spans="2:16" x14ac:dyDescent="0.2">
      <c r="B82" s="327"/>
      <c r="C82" s="309" t="s">
        <v>196</v>
      </c>
      <c r="D82" s="249" t="s">
        <v>63</v>
      </c>
      <c r="E82" s="91">
        <v>0</v>
      </c>
      <c r="F82" s="91">
        <v>92.167400000000001</v>
      </c>
      <c r="G82" s="91">
        <f t="shared" ref="G82" si="278">E82+F82</f>
        <v>92.167400000000001</v>
      </c>
      <c r="H82" s="91"/>
      <c r="I82" s="91">
        <f t="shared" ref="I82:I83" si="279">G82-H82</f>
        <v>92.167400000000001</v>
      </c>
      <c r="J82" s="241">
        <f t="shared" ref="J82:J83" si="280">H82/G82</f>
        <v>0</v>
      </c>
      <c r="K82" s="310">
        <f t="shared" ref="K82" si="281">E82+E83</f>
        <v>0</v>
      </c>
      <c r="L82" s="306">
        <f t="shared" ref="L82" si="282">F82+F83</f>
        <v>0</v>
      </c>
      <c r="M82" s="306">
        <f t="shared" ref="M82" si="283">K82+L82</f>
        <v>0</v>
      </c>
      <c r="N82" s="306">
        <f t="shared" ref="N82" si="284">H82+H83</f>
        <v>0</v>
      </c>
      <c r="O82" s="306">
        <f t="shared" ref="O82" si="285">M82-N82</f>
        <v>0</v>
      </c>
      <c r="P82" s="307" t="e">
        <f t="shared" ref="P82" si="286">N82/M82</f>
        <v>#DIV/0!</v>
      </c>
    </row>
    <row r="83" spans="2:16" x14ac:dyDescent="0.2">
      <c r="B83" s="327"/>
      <c r="C83" s="309"/>
      <c r="D83" s="249" t="s">
        <v>64</v>
      </c>
      <c r="E83" s="91">
        <v>0</v>
      </c>
      <c r="F83" s="91">
        <v>-92.167400000000001</v>
      </c>
      <c r="G83" s="91">
        <f t="shared" ref="G83" si="287">E83+F83+I82</f>
        <v>0</v>
      </c>
      <c r="H83" s="91"/>
      <c r="I83" s="91">
        <f t="shared" si="279"/>
        <v>0</v>
      </c>
      <c r="J83" s="241" t="e">
        <f t="shared" si="280"/>
        <v>#DIV/0!</v>
      </c>
      <c r="K83" s="310"/>
      <c r="L83" s="306"/>
      <c r="M83" s="306"/>
      <c r="N83" s="306"/>
      <c r="O83" s="306"/>
      <c r="P83" s="307"/>
    </row>
    <row r="84" spans="2:16" x14ac:dyDescent="0.2">
      <c r="B84" s="327"/>
      <c r="C84" s="309" t="s">
        <v>200</v>
      </c>
      <c r="D84" s="249" t="s">
        <v>63</v>
      </c>
      <c r="E84" s="91">
        <v>0</v>
      </c>
      <c r="F84" s="91">
        <v>35.413899999999998</v>
      </c>
      <c r="G84" s="91">
        <f t="shared" ref="G84" si="288">E84+F84</f>
        <v>35.413899999999998</v>
      </c>
      <c r="H84" s="91"/>
      <c r="I84" s="91">
        <f t="shared" ref="I84:I85" si="289">G84-H84</f>
        <v>35.413899999999998</v>
      </c>
      <c r="J84" s="241">
        <f t="shared" ref="J84:J85" si="290">H84/G84</f>
        <v>0</v>
      </c>
      <c r="K84" s="310">
        <f t="shared" ref="K84" si="291">E84+E85</f>
        <v>0</v>
      </c>
      <c r="L84" s="306">
        <f t="shared" ref="L84" si="292">F84+F85</f>
        <v>35.413899999999998</v>
      </c>
      <c r="M84" s="306">
        <f t="shared" ref="M84" si="293">K84+L84</f>
        <v>35.413899999999998</v>
      </c>
      <c r="N84" s="306">
        <f t="shared" ref="N84" si="294">H84+H85</f>
        <v>0</v>
      </c>
      <c r="O84" s="306">
        <f t="shared" ref="O84" si="295">M84-N84</f>
        <v>35.413899999999998</v>
      </c>
      <c r="P84" s="307">
        <f t="shared" ref="P84" si="296">N84/M84</f>
        <v>0</v>
      </c>
    </row>
    <row r="85" spans="2:16" x14ac:dyDescent="0.2">
      <c r="B85" s="327"/>
      <c r="C85" s="309"/>
      <c r="D85" s="249" t="s">
        <v>64</v>
      </c>
      <c r="E85" s="91">
        <v>0</v>
      </c>
      <c r="F85" s="91"/>
      <c r="G85" s="91">
        <f t="shared" ref="G85" si="297">E85+F85+I84</f>
        <v>35.413899999999998</v>
      </c>
      <c r="H85" s="91"/>
      <c r="I85" s="91">
        <f t="shared" si="289"/>
        <v>35.413899999999998</v>
      </c>
      <c r="J85" s="241">
        <f t="shared" si="290"/>
        <v>0</v>
      </c>
      <c r="K85" s="310"/>
      <c r="L85" s="306"/>
      <c r="M85" s="306"/>
      <c r="N85" s="306"/>
      <c r="O85" s="306"/>
      <c r="P85" s="307"/>
    </row>
    <row r="86" spans="2:16" x14ac:dyDescent="0.2">
      <c r="B86" s="327"/>
      <c r="C86" s="309" t="s">
        <v>202</v>
      </c>
      <c r="D86" s="249" t="s">
        <v>63</v>
      </c>
      <c r="E86" s="91">
        <v>0</v>
      </c>
      <c r="F86" s="91">
        <v>33.031999999999996</v>
      </c>
      <c r="G86" s="91">
        <f t="shared" ref="G86" si="298">E86+F86</f>
        <v>33.031999999999996</v>
      </c>
      <c r="H86" s="91"/>
      <c r="I86" s="91">
        <f t="shared" ref="I86:I87" si="299">G86-H86</f>
        <v>33.031999999999996</v>
      </c>
      <c r="J86" s="241">
        <f t="shared" ref="J86:J87" si="300">H86/G86</f>
        <v>0</v>
      </c>
      <c r="K86" s="310">
        <f t="shared" ref="K86" si="301">E86+E87</f>
        <v>0</v>
      </c>
      <c r="L86" s="306">
        <f t="shared" ref="L86" si="302">F86+F87</f>
        <v>0</v>
      </c>
      <c r="M86" s="306">
        <f t="shared" ref="M86" si="303">K86+L86</f>
        <v>0</v>
      </c>
      <c r="N86" s="306">
        <f t="shared" ref="N86" si="304">H86+H87</f>
        <v>0</v>
      </c>
      <c r="O86" s="306">
        <f t="shared" ref="O86" si="305">M86-N86</f>
        <v>0</v>
      </c>
      <c r="P86" s="307" t="e">
        <f t="shared" ref="P86" si="306">N86/M86</f>
        <v>#DIV/0!</v>
      </c>
    </row>
    <row r="87" spans="2:16" x14ac:dyDescent="0.2">
      <c r="B87" s="327"/>
      <c r="C87" s="309"/>
      <c r="D87" s="249" t="s">
        <v>64</v>
      </c>
      <c r="E87" s="91">
        <v>0</v>
      </c>
      <c r="F87" s="91">
        <v>-33.031999999999996</v>
      </c>
      <c r="G87" s="91">
        <f t="shared" ref="G87" si="307">E87+F87+I86</f>
        <v>0</v>
      </c>
      <c r="H87" s="91"/>
      <c r="I87" s="91">
        <f t="shared" si="299"/>
        <v>0</v>
      </c>
      <c r="J87" s="241" t="e">
        <f t="shared" si="300"/>
        <v>#DIV/0!</v>
      </c>
      <c r="K87" s="310"/>
      <c r="L87" s="306"/>
      <c r="M87" s="306"/>
      <c r="N87" s="306"/>
      <c r="O87" s="306"/>
      <c r="P87" s="307"/>
    </row>
    <row r="88" spans="2:16" x14ac:dyDescent="0.2">
      <c r="B88" s="327"/>
      <c r="C88" s="309" t="s">
        <v>51</v>
      </c>
      <c r="D88" s="223" t="s">
        <v>63</v>
      </c>
      <c r="E88" s="91">
        <f>0.01022+1.2979+1.019</f>
        <v>2.3271199999999999</v>
      </c>
      <c r="F88" s="91">
        <f>Hoja1!H20-39.28019+Hoja1!I20-30.59356</f>
        <v>-2.5641260999999993</v>
      </c>
      <c r="G88" s="91">
        <f t="shared" ref="G88" si="308">E88+F88</f>
        <v>-0.23700609999999944</v>
      </c>
      <c r="H88" s="91"/>
      <c r="I88" s="91">
        <f t="shared" si="165"/>
        <v>-0.23700609999999944</v>
      </c>
      <c r="J88" s="241">
        <f t="shared" si="166"/>
        <v>0</v>
      </c>
      <c r="K88" s="310">
        <f t="shared" ref="K88:L88" si="309">E88+E89</f>
        <v>2.5847499999999997</v>
      </c>
      <c r="L88" s="306">
        <f t="shared" si="309"/>
        <v>-2.5641260999999993</v>
      </c>
      <c r="M88" s="306">
        <f t="shared" ref="M88" si="310">K88+L88</f>
        <v>2.0623900000000361E-2</v>
      </c>
      <c r="N88" s="306">
        <f t="shared" ref="N88" si="311">H88+H89</f>
        <v>0</v>
      </c>
      <c r="O88" s="306">
        <f t="shared" ref="O88" si="312">M88-N88</f>
        <v>2.0623900000000361E-2</v>
      </c>
      <c r="P88" s="307">
        <f t="shared" ref="P88" si="313">N88/M88</f>
        <v>0</v>
      </c>
    </row>
    <row r="89" spans="2:16" ht="13.5" thickBot="1" x14ac:dyDescent="0.25">
      <c r="B89" s="328"/>
      <c r="C89" s="335"/>
      <c r="D89" s="230" t="s">
        <v>64</v>
      </c>
      <c r="E89" s="98">
        <f>0.00113+0.1435+0.113</f>
        <v>0.25762999999999997</v>
      </c>
      <c r="F89" s="98"/>
      <c r="G89" s="98">
        <f t="shared" ref="G89" si="314">E89+F89+I88</f>
        <v>2.0623900000000528E-2</v>
      </c>
      <c r="H89" s="98"/>
      <c r="I89" s="98">
        <f t="shared" si="165"/>
        <v>2.0623900000000528E-2</v>
      </c>
      <c r="J89" s="242">
        <f t="shared" si="166"/>
        <v>0</v>
      </c>
      <c r="K89" s="336"/>
      <c r="L89" s="324"/>
      <c r="M89" s="324"/>
      <c r="N89" s="324"/>
      <c r="O89" s="324"/>
      <c r="P89" s="325"/>
    </row>
    <row r="90" spans="2:16" ht="13.5" thickBot="1" x14ac:dyDescent="0.25">
      <c r="B90" s="342" t="s">
        <v>191</v>
      </c>
      <c r="C90" s="338" t="s">
        <v>36</v>
      </c>
      <c r="D90" s="225" t="s">
        <v>63</v>
      </c>
      <c r="E90" s="95">
        <f>218.6395+5.7408+17.664+93.562</f>
        <v>335.60630000000003</v>
      </c>
      <c r="F90" s="95"/>
      <c r="G90" s="95">
        <f t="shared" ref="G90" si="315">E90+F90</f>
        <v>335.60630000000003</v>
      </c>
      <c r="H90" s="246">
        <v>202.71299999999999</v>
      </c>
      <c r="I90" s="96">
        <f t="shared" si="165"/>
        <v>132.89330000000004</v>
      </c>
      <c r="J90" s="97">
        <f t="shared" si="166"/>
        <v>0.60402024634221696</v>
      </c>
      <c r="K90" s="321">
        <f t="shared" ref="K90:L90" si="316">E90+E91</f>
        <v>372.76773000000003</v>
      </c>
      <c r="L90" s="321">
        <f t="shared" si="316"/>
        <v>0</v>
      </c>
      <c r="M90" s="321">
        <f t="shared" ref="M90" si="317">K90+L90</f>
        <v>372.76773000000003</v>
      </c>
      <c r="N90" s="321">
        <f t="shared" ref="N90" si="318">H90+H91</f>
        <v>233.72399999999999</v>
      </c>
      <c r="O90" s="321">
        <f t="shared" ref="O90" si="319">M90-N90</f>
        <v>139.04373000000004</v>
      </c>
      <c r="P90" s="322">
        <f t="shared" ref="P90" si="320">N90/M90</f>
        <v>0.62699633361503682</v>
      </c>
    </row>
    <row r="91" spans="2:16" x14ac:dyDescent="0.2">
      <c r="B91" s="343"/>
      <c r="C91" s="337"/>
      <c r="D91" s="222" t="s">
        <v>64</v>
      </c>
      <c r="E91" s="91">
        <f>24.21073+0.6357+1.956+10.359</f>
        <v>37.161430000000003</v>
      </c>
      <c r="F91" s="91"/>
      <c r="G91" s="91">
        <f t="shared" ref="G91" si="321">E91+F91+I90</f>
        <v>170.05473000000003</v>
      </c>
      <c r="H91" s="246">
        <v>31.010999999999999</v>
      </c>
      <c r="I91" s="92">
        <f t="shared" si="165"/>
        <v>139.04373000000004</v>
      </c>
      <c r="J91" s="93">
        <f t="shared" si="166"/>
        <v>0.18235893820771698</v>
      </c>
      <c r="K91" s="306"/>
      <c r="L91" s="306"/>
      <c r="M91" s="306"/>
      <c r="N91" s="306"/>
      <c r="O91" s="306"/>
      <c r="P91" s="307"/>
    </row>
    <row r="92" spans="2:16" x14ac:dyDescent="0.2">
      <c r="B92" s="343"/>
      <c r="C92" s="337" t="s">
        <v>37</v>
      </c>
      <c r="D92" s="222" t="s">
        <v>63</v>
      </c>
      <c r="E92" s="91">
        <f>83.32712+107.80472+25.78988+187.72681+0.8832+8.832+19.872+12.144+7.0656+175.279</f>
        <v>628.72433000000001</v>
      </c>
      <c r="F92" s="91">
        <f>-Hoja1!J10-Hoja1!J14-Hoja1!K10-Hoja1!K14</f>
        <v>-40.217260099999997</v>
      </c>
      <c r="G92" s="91">
        <f t="shared" ref="G92" si="322">E92+F92</f>
        <v>588.50706990000003</v>
      </c>
      <c r="H92" s="247">
        <f>211.588+31.604</f>
        <v>243.19200000000001</v>
      </c>
      <c r="I92" s="92">
        <f t="shared" ref="I92:I135" si="323">G92-H92</f>
        <v>345.31506990000003</v>
      </c>
      <c r="J92" s="93">
        <f t="shared" ref="J92:J135" si="324">H92/G92</f>
        <v>0.4132354774282041</v>
      </c>
      <c r="K92" s="306">
        <f t="shared" ref="K92:L92" si="325">E92+E93</f>
        <v>698.34304999999995</v>
      </c>
      <c r="L92" s="306">
        <f t="shared" si="325"/>
        <v>-223.51218009999999</v>
      </c>
      <c r="M92" s="306">
        <f t="shared" ref="M92" si="326">K92+L92</f>
        <v>474.83086989999993</v>
      </c>
      <c r="N92" s="306">
        <f t="shared" ref="N92" si="327">H92+H93</f>
        <v>372.24099999999999</v>
      </c>
      <c r="O92" s="306">
        <f t="shared" ref="O92" si="328">M92-N92</f>
        <v>102.58986989999994</v>
      </c>
      <c r="P92" s="307">
        <f t="shared" ref="P92" si="329">N92/M92</f>
        <v>0.78394439704055985</v>
      </c>
    </row>
    <row r="93" spans="2:16" x14ac:dyDescent="0.2">
      <c r="B93" s="343"/>
      <c r="C93" s="337"/>
      <c r="D93" s="222" t="s">
        <v>64</v>
      </c>
      <c r="E93" s="91">
        <f>9.22712+11.93761+2.85581+20.78768+0.0978+0.978+2.2005+1.3448+0.7824+19.407</f>
        <v>69.618719999999996</v>
      </c>
      <c r="F93" s="91">
        <f>-39.7639-217.1761+73.64508</f>
        <v>-183.29491999999999</v>
      </c>
      <c r="G93" s="91">
        <f t="shared" ref="G93" si="330">E93+F93+I92</f>
        <v>231.63886990000003</v>
      </c>
      <c r="H93" s="247">
        <v>129.04900000000001</v>
      </c>
      <c r="I93" s="92">
        <f t="shared" si="323"/>
        <v>102.58986990000002</v>
      </c>
      <c r="J93" s="93">
        <f t="shared" si="324"/>
        <v>0.5571128889366076</v>
      </c>
      <c r="K93" s="306"/>
      <c r="L93" s="306"/>
      <c r="M93" s="306"/>
      <c r="N93" s="306"/>
      <c r="O93" s="306"/>
      <c r="P93" s="307"/>
    </row>
    <row r="94" spans="2:16" x14ac:dyDescent="0.2">
      <c r="B94" s="343"/>
      <c r="C94" s="337" t="s">
        <v>38</v>
      </c>
      <c r="D94" s="222" t="s">
        <v>63</v>
      </c>
      <c r="E94" s="91">
        <f>0.04416+0.017</f>
        <v>6.1159999999999999E-2</v>
      </c>
      <c r="F94" s="91"/>
      <c r="G94" s="91">
        <f t="shared" ref="G94" si="331">E94+F94</f>
        <v>6.1159999999999999E-2</v>
      </c>
      <c r="H94" s="91"/>
      <c r="I94" s="92">
        <f t="shared" si="323"/>
        <v>6.1159999999999999E-2</v>
      </c>
      <c r="J94" s="93">
        <f t="shared" si="324"/>
        <v>0</v>
      </c>
      <c r="K94" s="306">
        <f t="shared" ref="K94:L94" si="332">E94+E95</f>
        <v>6.8049999999999999E-2</v>
      </c>
      <c r="L94" s="306">
        <f t="shared" si="332"/>
        <v>0</v>
      </c>
      <c r="M94" s="306">
        <f t="shared" ref="M94" si="333">K94+L94</f>
        <v>6.8049999999999999E-2</v>
      </c>
      <c r="N94" s="306">
        <f t="shared" ref="N94" si="334">H94+H95</f>
        <v>0</v>
      </c>
      <c r="O94" s="306">
        <f t="shared" ref="O94" si="335">M94-N94</f>
        <v>6.8049999999999999E-2</v>
      </c>
      <c r="P94" s="307">
        <f t="shared" ref="P94" si="336">N94/M94</f>
        <v>0</v>
      </c>
    </row>
    <row r="95" spans="2:16" x14ac:dyDescent="0.2">
      <c r="B95" s="343"/>
      <c r="C95" s="337"/>
      <c r="D95" s="222" t="s">
        <v>64</v>
      </c>
      <c r="E95" s="91">
        <f>0.00489+0.002</f>
        <v>6.8900000000000003E-3</v>
      </c>
      <c r="F95" s="91"/>
      <c r="G95" s="91">
        <f t="shared" ref="G95" si="337">E95+F95+I94</f>
        <v>6.8049999999999999E-2</v>
      </c>
      <c r="H95" s="91"/>
      <c r="I95" s="92">
        <f t="shared" si="323"/>
        <v>6.8049999999999999E-2</v>
      </c>
      <c r="J95" s="93">
        <f t="shared" si="324"/>
        <v>0</v>
      </c>
      <c r="K95" s="306"/>
      <c r="L95" s="306"/>
      <c r="M95" s="306"/>
      <c r="N95" s="306"/>
      <c r="O95" s="306"/>
      <c r="P95" s="307"/>
    </row>
    <row r="96" spans="2:16" x14ac:dyDescent="0.2">
      <c r="B96" s="343"/>
      <c r="C96" s="337" t="s">
        <v>39</v>
      </c>
      <c r="D96" s="222" t="s">
        <v>63</v>
      </c>
      <c r="E96" s="91">
        <f>214.6962+6.624+6.624+9.936+91.952</f>
        <v>329.8322</v>
      </c>
      <c r="F96" s="91">
        <f>Hoja1!J13+Hoja1!K13</f>
        <v>39.373482700000004</v>
      </c>
      <c r="G96" s="91">
        <f t="shared" ref="G96" si="338">E96+F96</f>
        <v>369.20568270000001</v>
      </c>
      <c r="H96" s="247">
        <f>193.562+20.951</f>
        <v>214.51300000000001</v>
      </c>
      <c r="I96" s="92">
        <f t="shared" si="323"/>
        <v>154.69268270000001</v>
      </c>
      <c r="J96" s="93">
        <f t="shared" si="324"/>
        <v>0.58101218386257525</v>
      </c>
      <c r="K96" s="306">
        <f t="shared" ref="K96:L96" si="339">E96+E97</f>
        <v>366.3546</v>
      </c>
      <c r="L96" s="306">
        <f t="shared" si="339"/>
        <v>39.373482700000004</v>
      </c>
      <c r="M96" s="306">
        <f t="shared" ref="M96" si="340">K96+L96</f>
        <v>405.72808270000002</v>
      </c>
      <c r="N96" s="306">
        <f t="shared" ref="N96" si="341">H96+H97</f>
        <v>214.51300000000001</v>
      </c>
      <c r="O96" s="306">
        <f t="shared" ref="O96" si="342">M96-N96</f>
        <v>191.21508270000001</v>
      </c>
      <c r="P96" s="307">
        <f t="shared" ref="P96" si="343">N96/M96</f>
        <v>0.5287112456512244</v>
      </c>
    </row>
    <row r="97" spans="2:16" x14ac:dyDescent="0.2">
      <c r="B97" s="343"/>
      <c r="C97" s="337"/>
      <c r="D97" s="222" t="s">
        <v>64</v>
      </c>
      <c r="E97" s="91">
        <f>23.7741+0.7335+0.7335+1.1003+10.181</f>
        <v>36.522399999999998</v>
      </c>
      <c r="F97" s="91"/>
      <c r="G97" s="91">
        <f t="shared" ref="G97" si="344">E97+F97+I96</f>
        <v>191.21508270000001</v>
      </c>
      <c r="H97" s="91"/>
      <c r="I97" s="92">
        <f t="shared" si="323"/>
        <v>191.21508270000001</v>
      </c>
      <c r="J97" s="93">
        <f t="shared" si="324"/>
        <v>0</v>
      </c>
      <c r="K97" s="306"/>
      <c r="L97" s="306"/>
      <c r="M97" s="306"/>
      <c r="N97" s="306"/>
      <c r="O97" s="306"/>
      <c r="P97" s="307"/>
    </row>
    <row r="98" spans="2:16" x14ac:dyDescent="0.2">
      <c r="B98" s="343"/>
      <c r="C98" s="337" t="s">
        <v>40</v>
      </c>
      <c r="D98" s="222" t="s">
        <v>63</v>
      </c>
      <c r="E98" s="91">
        <f>1.11404+6.624+2.991</f>
        <v>10.729039999999999</v>
      </c>
      <c r="F98" s="91">
        <f>-1.08054-0.9396-0.18792-0.09396</f>
        <v>-2.3020200000000002</v>
      </c>
      <c r="G98" s="91">
        <f t="shared" ref="G98" si="345">E98+F98</f>
        <v>8.4270199999999988</v>
      </c>
      <c r="H98" s="247">
        <f>0.63+0.25+2.069</f>
        <v>2.9489999999999998</v>
      </c>
      <c r="I98" s="92">
        <f t="shared" si="323"/>
        <v>5.478019999999999</v>
      </c>
      <c r="J98" s="93">
        <f t="shared" si="324"/>
        <v>0.34994576967896129</v>
      </c>
      <c r="K98" s="306">
        <f t="shared" ref="K98:L98" si="346">E98+E99</f>
        <v>11.9169</v>
      </c>
      <c r="L98" s="306">
        <f t="shared" si="346"/>
        <v>214.87407999999999</v>
      </c>
      <c r="M98" s="306">
        <f t="shared" ref="M98" si="347">K98+L98</f>
        <v>226.79097999999999</v>
      </c>
      <c r="N98" s="306">
        <f t="shared" ref="N98" si="348">H98+H99</f>
        <v>5.9469999999999992</v>
      </c>
      <c r="O98" s="306">
        <f t="shared" ref="O98" si="349">M98-N98</f>
        <v>220.84397999999999</v>
      </c>
      <c r="P98" s="307">
        <f t="shared" ref="P98" si="350">N98/M98</f>
        <v>2.6222383271151256E-2</v>
      </c>
    </row>
    <row r="99" spans="2:16" x14ac:dyDescent="0.2">
      <c r="B99" s="343"/>
      <c r="C99" s="337"/>
      <c r="D99" s="222" t="s">
        <v>64</v>
      </c>
      <c r="E99" s="91">
        <f>0.12336+0.7335+0.331</f>
        <v>1.1878600000000001</v>
      </c>
      <c r="F99" s="91">
        <v>217.17609999999999</v>
      </c>
      <c r="G99" s="91">
        <f t="shared" ref="G99" si="351">E99+F99+I98</f>
        <v>223.84197999999998</v>
      </c>
      <c r="H99" s="247">
        <f>2.848+0.15</f>
        <v>2.9979999999999998</v>
      </c>
      <c r="I99" s="92">
        <f t="shared" si="323"/>
        <v>220.84397999999999</v>
      </c>
      <c r="J99" s="93">
        <f t="shared" si="324"/>
        <v>1.3393376881316007E-2</v>
      </c>
      <c r="K99" s="306"/>
      <c r="L99" s="306"/>
      <c r="M99" s="306"/>
      <c r="N99" s="306"/>
      <c r="O99" s="306"/>
      <c r="P99" s="307"/>
    </row>
    <row r="100" spans="2:16" x14ac:dyDescent="0.2">
      <c r="B100" s="343"/>
      <c r="C100" s="337" t="s">
        <v>41</v>
      </c>
      <c r="D100" s="222" t="s">
        <v>63</v>
      </c>
      <c r="E100" s="91">
        <f>6.9081+2.67</f>
        <v>9.5780999999999992</v>
      </c>
      <c r="F100" s="91"/>
      <c r="G100" s="91">
        <f t="shared" ref="G100" si="352">E100+F100</f>
        <v>9.5780999999999992</v>
      </c>
      <c r="H100" s="247">
        <v>3.1819999999999999</v>
      </c>
      <c r="I100" s="92">
        <f t="shared" si="323"/>
        <v>6.3960999999999988</v>
      </c>
      <c r="J100" s="93">
        <f t="shared" si="324"/>
        <v>0.33221620154310355</v>
      </c>
      <c r="K100" s="306">
        <f t="shared" ref="K100:L100" si="353">E100+E101</f>
        <v>10.639059999999999</v>
      </c>
      <c r="L100" s="306">
        <f t="shared" si="353"/>
        <v>0</v>
      </c>
      <c r="M100" s="306">
        <f t="shared" ref="M100" si="354">K100+L100</f>
        <v>10.639059999999999</v>
      </c>
      <c r="N100" s="306">
        <f t="shared" ref="N100" si="355">H100+H101</f>
        <v>3.1819999999999999</v>
      </c>
      <c r="O100" s="306">
        <f t="shared" ref="O100" si="356">M100-N100</f>
        <v>7.4570599999999985</v>
      </c>
      <c r="P100" s="307">
        <f t="shared" ref="P100" si="357">N100/M100</f>
        <v>0.29908657343787892</v>
      </c>
    </row>
    <row r="101" spans="2:16" x14ac:dyDescent="0.2">
      <c r="B101" s="343"/>
      <c r="C101" s="337"/>
      <c r="D101" s="222" t="s">
        <v>64</v>
      </c>
      <c r="E101" s="91">
        <f>0.76496+0.296</f>
        <v>1.0609599999999999</v>
      </c>
      <c r="F101" s="91"/>
      <c r="G101" s="91">
        <f t="shared" ref="G101" si="358">E101+F101+I100</f>
        <v>7.4570599999999985</v>
      </c>
      <c r="H101" s="91"/>
      <c r="I101" s="92">
        <f t="shared" si="323"/>
        <v>7.4570599999999985</v>
      </c>
      <c r="J101" s="93">
        <f t="shared" si="324"/>
        <v>0</v>
      </c>
      <c r="K101" s="306"/>
      <c r="L101" s="306"/>
      <c r="M101" s="306"/>
      <c r="N101" s="306"/>
      <c r="O101" s="306"/>
      <c r="P101" s="307"/>
    </row>
    <row r="102" spans="2:16" x14ac:dyDescent="0.2">
      <c r="B102" s="343"/>
      <c r="C102" s="337" t="s">
        <v>42</v>
      </c>
      <c r="D102" s="222" t="s">
        <v>63</v>
      </c>
      <c r="E102" s="91">
        <f>4.17901+1.615</f>
        <v>5.7940100000000001</v>
      </c>
      <c r="F102" s="91"/>
      <c r="G102" s="91">
        <f t="shared" ref="G102" si="359">E102+F102</f>
        <v>5.7940100000000001</v>
      </c>
      <c r="H102" s="91"/>
      <c r="I102" s="92">
        <f t="shared" si="323"/>
        <v>5.7940100000000001</v>
      </c>
      <c r="J102" s="93">
        <f t="shared" si="324"/>
        <v>0</v>
      </c>
      <c r="K102" s="306">
        <f t="shared" ref="K102:L102" si="360">E102+E103</f>
        <v>6.4357699999999998</v>
      </c>
      <c r="L102" s="306">
        <f t="shared" si="360"/>
        <v>0</v>
      </c>
      <c r="M102" s="306">
        <f t="shared" ref="M102" si="361">K102+L102</f>
        <v>6.4357699999999998</v>
      </c>
      <c r="N102" s="306">
        <f t="shared" ref="N102" si="362">H102+H103</f>
        <v>0</v>
      </c>
      <c r="O102" s="306">
        <f t="shared" ref="O102" si="363">M102-N102</f>
        <v>6.4357699999999998</v>
      </c>
      <c r="P102" s="307">
        <f t="shared" ref="P102" si="364">N102/M102</f>
        <v>0</v>
      </c>
    </row>
    <row r="103" spans="2:16" x14ac:dyDescent="0.2">
      <c r="B103" s="343"/>
      <c r="C103" s="337"/>
      <c r="D103" s="222" t="s">
        <v>64</v>
      </c>
      <c r="E103" s="91">
        <f>0.46276+0.179</f>
        <v>0.64176</v>
      </c>
      <c r="F103" s="91"/>
      <c r="G103" s="91">
        <f t="shared" ref="G103" si="365">E103+F103+I102</f>
        <v>6.4357699999999998</v>
      </c>
      <c r="H103" s="91"/>
      <c r="I103" s="92">
        <f t="shared" si="323"/>
        <v>6.4357699999999998</v>
      </c>
      <c r="J103" s="93">
        <f t="shared" si="324"/>
        <v>0</v>
      </c>
      <c r="K103" s="306"/>
      <c r="L103" s="306"/>
      <c r="M103" s="306"/>
      <c r="N103" s="306"/>
      <c r="O103" s="306"/>
      <c r="P103" s="307"/>
    </row>
    <row r="104" spans="2:16" x14ac:dyDescent="0.2">
      <c r="B104" s="343"/>
      <c r="C104" s="337" t="s">
        <v>43</v>
      </c>
      <c r="D104" s="222" t="s">
        <v>63</v>
      </c>
      <c r="E104" s="91">
        <f>223.40691+54.33343+45.86472+2.208+2.208+2.208+4.416+4.416+4.416+4.416+4.416+4.416+3.4592+3.1648+6.624+6.624+6.624+6.624+3.7536+3.209+11.04+17.664+15.0144+170.285</f>
        <v>610.81106000000023</v>
      </c>
      <c r="F104" s="91">
        <f>-Hoja1!J12-Hoja1!J20+56.58424-Hoja1!K12-Hoja1!K20+21.87232</f>
        <v>2.8790872999999948</v>
      </c>
      <c r="G104" s="91">
        <f t="shared" ref="G104" si="366">E104+F104</f>
        <v>613.69014730000026</v>
      </c>
      <c r="H104" s="247">
        <f>247.914+50.465+132.592+95.392</f>
        <v>526.36300000000006</v>
      </c>
      <c r="I104" s="92">
        <f t="shared" si="323"/>
        <v>87.327147300000206</v>
      </c>
      <c r="J104" s="93">
        <f t="shared" si="324"/>
        <v>0.85770156538408515</v>
      </c>
      <c r="K104" s="306">
        <f t="shared" ref="K104:L104" si="367">E104+E105</f>
        <v>678.44624000000022</v>
      </c>
      <c r="L104" s="306">
        <f t="shared" si="367"/>
        <v>2.8790872999999948</v>
      </c>
      <c r="M104" s="306">
        <f t="shared" ref="M104" si="368">K104+L104</f>
        <v>681.32532730000025</v>
      </c>
      <c r="N104" s="306">
        <f t="shared" ref="N104" si="369">H104+H105</f>
        <v>678.75</v>
      </c>
      <c r="O104" s="306">
        <f t="shared" ref="O104" si="370">M104-N104</f>
        <v>2.5753273000002537</v>
      </c>
      <c r="P104" s="307">
        <f t="shared" ref="P104" si="371">N104/M104</f>
        <v>0.99622012099534607</v>
      </c>
    </row>
    <row r="105" spans="2:16" x14ac:dyDescent="0.2">
      <c r="B105" s="343"/>
      <c r="C105" s="337"/>
      <c r="D105" s="222" t="s">
        <v>64</v>
      </c>
      <c r="E105" s="91">
        <f>24.73867+6.01654+5.07877+0.2445+0.2445+0.2445+0.489+0.489+0.489+0.489+0.489+0.489+0.3831+0.3505+0.7335+0.7335+0.7335+0.7335+0.4157+0.3553+1.2225+1.956+1.6626+18.854</f>
        <v>67.635179999999977</v>
      </c>
      <c r="F105" s="91">
        <f>-103.4886+103.4886</f>
        <v>0</v>
      </c>
      <c r="G105" s="91">
        <f t="shared" ref="G105" si="372">E105+F105+I104</f>
        <v>154.9623273000002</v>
      </c>
      <c r="H105" s="247">
        <f>43.369+109.018</f>
        <v>152.387</v>
      </c>
      <c r="I105" s="92">
        <f t="shared" si="323"/>
        <v>2.5753273000001968</v>
      </c>
      <c r="J105" s="93">
        <f t="shared" si="324"/>
        <v>0.98338094590555236</v>
      </c>
      <c r="K105" s="306"/>
      <c r="L105" s="306"/>
      <c r="M105" s="306"/>
      <c r="N105" s="306"/>
      <c r="O105" s="306"/>
      <c r="P105" s="307"/>
    </row>
    <row r="106" spans="2:16" x14ac:dyDescent="0.2">
      <c r="B106" s="343"/>
      <c r="C106" s="337" t="s">
        <v>44</v>
      </c>
      <c r="D106" s="222" t="s">
        <v>63</v>
      </c>
      <c r="E106" s="91">
        <f>2.28116+0.882</f>
        <v>3.16316</v>
      </c>
      <c r="F106" s="91"/>
      <c r="G106" s="91">
        <f t="shared" ref="G106" si="373">E106+F106</f>
        <v>3.16316</v>
      </c>
      <c r="H106" s="91"/>
      <c r="I106" s="92">
        <f t="shared" si="323"/>
        <v>3.16316</v>
      </c>
      <c r="J106" s="93">
        <f t="shared" si="324"/>
        <v>0</v>
      </c>
      <c r="K106" s="306">
        <f t="shared" ref="K106:L106" si="374">E106+E107</f>
        <v>3.51376</v>
      </c>
      <c r="L106" s="306">
        <f t="shared" si="374"/>
        <v>0</v>
      </c>
      <c r="M106" s="306">
        <f t="shared" ref="M106" si="375">K106+L106</f>
        <v>3.51376</v>
      </c>
      <c r="N106" s="306">
        <f t="shared" ref="N106" si="376">H106+H107</f>
        <v>0</v>
      </c>
      <c r="O106" s="306">
        <f t="shared" ref="O106" si="377">M106-N106</f>
        <v>3.51376</v>
      </c>
      <c r="P106" s="307">
        <f t="shared" ref="P106" si="378">N106/M106</f>
        <v>0</v>
      </c>
    </row>
    <row r="107" spans="2:16" x14ac:dyDescent="0.2">
      <c r="B107" s="343"/>
      <c r="C107" s="337"/>
      <c r="D107" s="222" t="s">
        <v>64</v>
      </c>
      <c r="E107" s="91">
        <f>0.2526+0.098</f>
        <v>0.35060000000000002</v>
      </c>
      <c r="F107" s="91"/>
      <c r="G107" s="91">
        <f t="shared" ref="G107" si="379">E107+F107+I106</f>
        <v>3.51376</v>
      </c>
      <c r="H107" s="91"/>
      <c r="I107" s="92">
        <f t="shared" si="323"/>
        <v>3.51376</v>
      </c>
      <c r="J107" s="93">
        <f t="shared" si="324"/>
        <v>0</v>
      </c>
      <c r="K107" s="306"/>
      <c r="L107" s="306"/>
      <c r="M107" s="306"/>
      <c r="N107" s="306"/>
      <c r="O107" s="306"/>
      <c r="P107" s="307"/>
    </row>
    <row r="108" spans="2:16" x14ac:dyDescent="0.2">
      <c r="B108" s="343"/>
      <c r="C108" s="337" t="s">
        <v>45</v>
      </c>
      <c r="D108" s="222" t="s">
        <v>63</v>
      </c>
      <c r="E108" s="91">
        <f>47.81895+18.484</f>
        <v>66.30295000000001</v>
      </c>
      <c r="F108" s="91"/>
      <c r="G108" s="91">
        <f t="shared" ref="G108" si="380">E108+F108</f>
        <v>66.30295000000001</v>
      </c>
      <c r="H108" s="91"/>
      <c r="I108" s="92">
        <f t="shared" si="323"/>
        <v>66.30295000000001</v>
      </c>
      <c r="J108" s="93">
        <f t="shared" si="324"/>
        <v>0</v>
      </c>
      <c r="K108" s="306">
        <f t="shared" ref="K108:L108" si="381">E108+E109</f>
        <v>73.645120000000006</v>
      </c>
      <c r="L108" s="306">
        <f t="shared" si="381"/>
        <v>-73.645099999999999</v>
      </c>
      <c r="M108" s="306">
        <f t="shared" ref="M108" si="382">K108+L108</f>
        <v>2.0000000006348273E-5</v>
      </c>
      <c r="N108" s="306">
        <f t="shared" ref="N108" si="383">H108+H109</f>
        <v>0</v>
      </c>
      <c r="O108" s="306">
        <f t="shared" ref="O108" si="384">M108-N108</f>
        <v>2.0000000006348273E-5</v>
      </c>
      <c r="P108" s="307">
        <f t="shared" ref="P108" si="385">N108/M108</f>
        <v>0</v>
      </c>
    </row>
    <row r="109" spans="2:16" x14ac:dyDescent="0.2">
      <c r="B109" s="343"/>
      <c r="C109" s="337"/>
      <c r="D109" s="222" t="s">
        <v>64</v>
      </c>
      <c r="E109" s="91">
        <f>5.29517+2.047</f>
        <v>7.3421699999999994</v>
      </c>
      <c r="F109" s="91">
        <v>-73.645099999999999</v>
      </c>
      <c r="G109" s="91">
        <f t="shared" ref="G109" si="386">E109+F109+I108</f>
        <v>2.0000000006348273E-5</v>
      </c>
      <c r="H109" s="91"/>
      <c r="I109" s="92">
        <f t="shared" si="323"/>
        <v>2.0000000006348273E-5</v>
      </c>
      <c r="J109" s="93">
        <f t="shared" si="324"/>
        <v>0</v>
      </c>
      <c r="K109" s="306"/>
      <c r="L109" s="306"/>
      <c r="M109" s="306"/>
      <c r="N109" s="306"/>
      <c r="O109" s="306"/>
      <c r="P109" s="307"/>
    </row>
    <row r="110" spans="2:16" x14ac:dyDescent="0.2">
      <c r="B110" s="343"/>
      <c r="C110" s="337" t="s">
        <v>46</v>
      </c>
      <c r="D110" s="222" t="s">
        <v>63</v>
      </c>
      <c r="E110" s="91">
        <f>0.04416+0.017</f>
        <v>6.1159999999999999E-2</v>
      </c>
      <c r="F110" s="91"/>
      <c r="G110" s="91">
        <f t="shared" ref="G110" si="387">E110+F110</f>
        <v>6.1159999999999999E-2</v>
      </c>
      <c r="H110" s="91"/>
      <c r="I110" s="92">
        <f t="shared" si="323"/>
        <v>6.1159999999999999E-2</v>
      </c>
      <c r="J110" s="93">
        <f t="shared" si="324"/>
        <v>0</v>
      </c>
      <c r="K110" s="306">
        <f t="shared" ref="K110:L110" si="388">E110+E111</f>
        <v>6.8049999999999999E-2</v>
      </c>
      <c r="L110" s="306">
        <f t="shared" si="388"/>
        <v>0</v>
      </c>
      <c r="M110" s="306">
        <f t="shared" ref="M110" si="389">K110+L110</f>
        <v>6.8049999999999999E-2</v>
      </c>
      <c r="N110" s="306">
        <f t="shared" ref="N110" si="390">H110+H111</f>
        <v>0</v>
      </c>
      <c r="O110" s="306">
        <f t="shared" ref="O110" si="391">M110-N110</f>
        <v>6.8049999999999999E-2</v>
      </c>
      <c r="P110" s="307">
        <f t="shared" ref="P110" si="392">N110/M110</f>
        <v>0</v>
      </c>
    </row>
    <row r="111" spans="2:16" x14ac:dyDescent="0.2">
      <c r="B111" s="343"/>
      <c r="C111" s="337"/>
      <c r="D111" s="222" t="s">
        <v>64</v>
      </c>
      <c r="E111" s="91">
        <f>0.00489+0.002</f>
        <v>6.8900000000000003E-3</v>
      </c>
      <c r="F111" s="91"/>
      <c r="G111" s="91">
        <f t="shared" ref="G111" si="393">E111+F111+I110</f>
        <v>6.8049999999999999E-2</v>
      </c>
      <c r="H111" s="91"/>
      <c r="I111" s="92">
        <f t="shared" si="323"/>
        <v>6.8049999999999999E-2</v>
      </c>
      <c r="J111" s="93">
        <f t="shared" si="324"/>
        <v>0</v>
      </c>
      <c r="K111" s="306"/>
      <c r="L111" s="306"/>
      <c r="M111" s="306"/>
      <c r="N111" s="306"/>
      <c r="O111" s="306"/>
      <c r="P111" s="307"/>
    </row>
    <row r="112" spans="2:16" x14ac:dyDescent="0.2">
      <c r="B112" s="343"/>
      <c r="C112" s="337" t="s">
        <v>47</v>
      </c>
      <c r="D112" s="222" t="s">
        <v>63</v>
      </c>
      <c r="E112" s="91">
        <f>0.02944+0.011</f>
        <v>4.0440000000000004E-2</v>
      </c>
      <c r="F112" s="91">
        <f>Hoja1!J14+Hoja1!K14</f>
        <v>39.718520099999992</v>
      </c>
      <c r="G112" s="91">
        <f t="shared" ref="G112" si="394">E112+F112</f>
        <v>39.758960099999989</v>
      </c>
      <c r="H112" s="91"/>
      <c r="I112" s="92">
        <f t="shared" si="323"/>
        <v>39.758960099999989</v>
      </c>
      <c r="J112" s="93">
        <f t="shared" si="324"/>
        <v>0</v>
      </c>
      <c r="K112" s="306">
        <f t="shared" ref="K112:L112" si="395">E112+E113</f>
        <v>4.4700000000000004E-2</v>
      </c>
      <c r="L112" s="306">
        <f t="shared" si="395"/>
        <v>39.718520099999992</v>
      </c>
      <c r="M112" s="306">
        <f t="shared" ref="M112" si="396">K112+L112</f>
        <v>39.763220099999991</v>
      </c>
      <c r="N112" s="306">
        <f t="shared" ref="N112" si="397">H112+H113</f>
        <v>0</v>
      </c>
      <c r="O112" s="306">
        <f t="shared" ref="O112" si="398">M112-N112</f>
        <v>39.763220099999991</v>
      </c>
      <c r="P112" s="307">
        <f t="shared" ref="P112" si="399">N112/M112</f>
        <v>0</v>
      </c>
    </row>
    <row r="113" spans="2:16" x14ac:dyDescent="0.2">
      <c r="B113" s="343"/>
      <c r="C113" s="337"/>
      <c r="D113" s="222" t="s">
        <v>64</v>
      </c>
      <c r="E113" s="91">
        <f>0.00326+0.001</f>
        <v>4.2599999999999999E-3</v>
      </c>
      <c r="F113" s="91"/>
      <c r="G113" s="91">
        <f t="shared" ref="G113" si="400">E113+F113+I112</f>
        <v>39.763220099999991</v>
      </c>
      <c r="H113" s="91"/>
      <c r="I113" s="92">
        <f t="shared" si="323"/>
        <v>39.763220099999991</v>
      </c>
      <c r="J113" s="93">
        <f t="shared" si="324"/>
        <v>0</v>
      </c>
      <c r="K113" s="306"/>
      <c r="L113" s="306"/>
      <c r="M113" s="306"/>
      <c r="N113" s="306"/>
      <c r="O113" s="306"/>
      <c r="P113" s="307"/>
    </row>
    <row r="114" spans="2:16" x14ac:dyDescent="0.2">
      <c r="B114" s="343"/>
      <c r="C114" s="337" t="s">
        <v>48</v>
      </c>
      <c r="D114" s="222" t="s">
        <v>63</v>
      </c>
      <c r="E114" s="91">
        <f>26.76464+10.346</f>
        <v>37.110640000000004</v>
      </c>
      <c r="F114" s="91">
        <f>-Hoja1!J13-Hoja1!K13</f>
        <v>-39.373482700000004</v>
      </c>
      <c r="G114" s="91">
        <f t="shared" ref="G114" si="401">E114+F114</f>
        <v>-2.2628427000000002</v>
      </c>
      <c r="H114" s="247">
        <f>0.712+0.439</f>
        <v>1.151</v>
      </c>
      <c r="I114" s="92">
        <f t="shared" si="323"/>
        <v>-3.4138427</v>
      </c>
      <c r="J114" s="93">
        <f t="shared" si="324"/>
        <v>-0.50865223641042301</v>
      </c>
      <c r="K114" s="306">
        <f t="shared" ref="K114:L114" si="402">E114+E115</f>
        <v>41.220390000000002</v>
      </c>
      <c r="L114" s="306">
        <f t="shared" si="402"/>
        <v>-39.373482700000004</v>
      </c>
      <c r="M114" s="306">
        <f t="shared" ref="M114" si="403">K114+L114</f>
        <v>1.846907299999998</v>
      </c>
      <c r="N114" s="306">
        <f t="shared" ref="N114" si="404">H114+H115</f>
        <v>1.2070000000000001</v>
      </c>
      <c r="O114" s="306">
        <f t="shared" ref="O114" si="405">M114-N114</f>
        <v>0.63990729999999796</v>
      </c>
      <c r="P114" s="307">
        <f t="shared" ref="P114" si="406">N114/M114</f>
        <v>0.65352494951966533</v>
      </c>
    </row>
    <row r="115" spans="2:16" x14ac:dyDescent="0.2">
      <c r="B115" s="343"/>
      <c r="C115" s="337"/>
      <c r="D115" s="222" t="s">
        <v>64</v>
      </c>
      <c r="E115" s="91">
        <f>2.96375+1.146</f>
        <v>4.10975</v>
      </c>
      <c r="F115" s="91"/>
      <c r="G115" s="91">
        <f t="shared" ref="G115" si="407">E115+F115+I114</f>
        <v>0.69590730000000001</v>
      </c>
      <c r="H115" s="247">
        <f>0.019+0.037</f>
        <v>5.5999999999999994E-2</v>
      </c>
      <c r="I115" s="92">
        <f t="shared" si="323"/>
        <v>0.63990729999999996</v>
      </c>
      <c r="J115" s="93">
        <f t="shared" si="324"/>
        <v>8.0470487951484329E-2</v>
      </c>
      <c r="K115" s="306"/>
      <c r="L115" s="306"/>
      <c r="M115" s="306"/>
      <c r="N115" s="306"/>
      <c r="O115" s="306"/>
      <c r="P115" s="307"/>
    </row>
    <row r="116" spans="2:16" x14ac:dyDescent="0.2">
      <c r="B116" s="343"/>
      <c r="C116" s="337" t="s">
        <v>49</v>
      </c>
      <c r="D116" s="222" t="s">
        <v>63</v>
      </c>
      <c r="E116" s="91">
        <f>0.01472+0.006</f>
        <v>2.0720000000000002E-2</v>
      </c>
      <c r="F116" s="91"/>
      <c r="G116" s="91">
        <f t="shared" ref="G116" si="408">E116+F116</f>
        <v>2.0720000000000002E-2</v>
      </c>
      <c r="H116" s="91"/>
      <c r="I116" s="92">
        <f t="shared" si="323"/>
        <v>2.0720000000000002E-2</v>
      </c>
      <c r="J116" s="93">
        <f t="shared" si="324"/>
        <v>0</v>
      </c>
      <c r="K116" s="306">
        <f t="shared" ref="K116:L116" si="409">E116+E117</f>
        <v>2.3350000000000003E-2</v>
      </c>
      <c r="L116" s="306">
        <f t="shared" si="409"/>
        <v>0</v>
      </c>
      <c r="M116" s="306">
        <f t="shared" ref="M116" si="410">K116+L116</f>
        <v>2.3350000000000003E-2</v>
      </c>
      <c r="N116" s="306">
        <f t="shared" ref="N116" si="411">H116+H117</f>
        <v>0</v>
      </c>
      <c r="O116" s="306">
        <f t="shared" ref="O116" si="412">M116-N116</f>
        <v>2.3350000000000003E-2</v>
      </c>
      <c r="P116" s="307">
        <f t="shared" ref="P116" si="413">N116/M116</f>
        <v>0</v>
      </c>
    </row>
    <row r="117" spans="2:16" x14ac:dyDescent="0.2">
      <c r="B117" s="343"/>
      <c r="C117" s="337"/>
      <c r="D117" s="222" t="s">
        <v>64</v>
      </c>
      <c r="E117" s="91">
        <f>0.00163+0.001</f>
        <v>2.63E-3</v>
      </c>
      <c r="F117" s="91"/>
      <c r="G117" s="91">
        <f t="shared" ref="G117" si="414">E117+F117+I116</f>
        <v>2.3350000000000003E-2</v>
      </c>
      <c r="H117" s="91"/>
      <c r="I117" s="92">
        <f t="shared" si="323"/>
        <v>2.3350000000000003E-2</v>
      </c>
      <c r="J117" s="93">
        <f t="shared" si="324"/>
        <v>0</v>
      </c>
      <c r="K117" s="306"/>
      <c r="L117" s="306"/>
      <c r="M117" s="306"/>
      <c r="N117" s="306"/>
      <c r="O117" s="306"/>
      <c r="P117" s="307"/>
    </row>
    <row r="118" spans="2:16" x14ac:dyDescent="0.2">
      <c r="B118" s="343"/>
      <c r="C118" s="337" t="s">
        <v>50</v>
      </c>
      <c r="D118" s="222" t="s">
        <v>63</v>
      </c>
      <c r="E118" s="91">
        <f>0.39744+0.154</f>
        <v>0.55144000000000004</v>
      </c>
      <c r="F118" s="91">
        <f>-Hoja1!J17-Hoja1!K17</f>
        <v>-0.29470999999999997</v>
      </c>
      <c r="G118" s="91">
        <f t="shared" ref="G118" si="415">E118+F118</f>
        <v>0.25673000000000007</v>
      </c>
      <c r="H118" s="91"/>
      <c r="I118" s="92">
        <f t="shared" si="323"/>
        <v>0.25673000000000007</v>
      </c>
      <c r="J118" s="93">
        <f t="shared" si="324"/>
        <v>0</v>
      </c>
      <c r="K118" s="306">
        <f t="shared" ref="K118:L118" si="416">E118+E119</f>
        <v>0.61245000000000005</v>
      </c>
      <c r="L118" s="306">
        <f t="shared" si="416"/>
        <v>-0.29470999999999997</v>
      </c>
      <c r="M118" s="306">
        <f t="shared" ref="M118" si="417">K118+L118</f>
        <v>0.31774000000000008</v>
      </c>
      <c r="N118" s="306">
        <f t="shared" ref="N118" si="418">H118+H119</f>
        <v>0</v>
      </c>
      <c r="O118" s="306">
        <f t="shared" ref="O118" si="419">M118-N118</f>
        <v>0.31774000000000008</v>
      </c>
      <c r="P118" s="307">
        <f t="shared" ref="P118" si="420">N118/M118</f>
        <v>0</v>
      </c>
    </row>
    <row r="119" spans="2:16" x14ac:dyDescent="0.2">
      <c r="B119" s="343"/>
      <c r="C119" s="337"/>
      <c r="D119" s="222" t="s">
        <v>64</v>
      </c>
      <c r="E119" s="91">
        <f>0.04401+0.017</f>
        <v>6.1010000000000002E-2</v>
      </c>
      <c r="F119" s="91"/>
      <c r="G119" s="91">
        <f t="shared" ref="G119" si="421">E119+F119+I118</f>
        <v>0.31774000000000008</v>
      </c>
      <c r="H119" s="91"/>
      <c r="I119" s="92">
        <f t="shared" si="323"/>
        <v>0.31774000000000008</v>
      </c>
      <c r="J119" s="93">
        <f t="shared" si="324"/>
        <v>0</v>
      </c>
      <c r="K119" s="306"/>
      <c r="L119" s="306"/>
      <c r="M119" s="306"/>
      <c r="N119" s="306"/>
      <c r="O119" s="306"/>
      <c r="P119" s="307"/>
    </row>
    <row r="120" spans="2:16" x14ac:dyDescent="0.2">
      <c r="B120" s="343"/>
      <c r="C120" s="337" t="s">
        <v>51</v>
      </c>
      <c r="D120" s="222" t="s">
        <v>63</v>
      </c>
      <c r="E120" s="91">
        <f>0.01472+1.8694+0.728</f>
        <v>2.61212</v>
      </c>
      <c r="F120" s="91">
        <f>Hoja1!J20-56.58424+Hoja1!K20-21.87232</f>
        <v>-2.8790872999999948</v>
      </c>
      <c r="G120" s="91">
        <f t="shared" ref="G120:G134" si="422">E120+F120</f>
        <v>-0.2669672999999948</v>
      </c>
      <c r="H120" s="91"/>
      <c r="I120" s="92">
        <f t="shared" si="323"/>
        <v>-0.2669672999999948</v>
      </c>
      <c r="J120" s="93">
        <f t="shared" si="324"/>
        <v>0</v>
      </c>
      <c r="K120" s="306">
        <f>E120+E121</f>
        <v>2.9017499999999998</v>
      </c>
      <c r="L120" s="306">
        <f>F120+F121</f>
        <v>-2.8790872999999948</v>
      </c>
      <c r="M120" s="306">
        <f t="shared" ref="M120" si="423">K120+L120</f>
        <v>2.2662700000005032E-2</v>
      </c>
      <c r="N120" s="306">
        <f>H120+H121</f>
        <v>0</v>
      </c>
      <c r="O120" s="306">
        <f t="shared" ref="O120" si="424">M120-N120</f>
        <v>2.2662700000005032E-2</v>
      </c>
      <c r="P120" s="307">
        <f t="shared" ref="P120" si="425">N120/M120</f>
        <v>0</v>
      </c>
    </row>
    <row r="121" spans="2:16" x14ac:dyDescent="0.2">
      <c r="B121" s="343"/>
      <c r="C121" s="337"/>
      <c r="D121" s="222" t="s">
        <v>64</v>
      </c>
      <c r="E121" s="91">
        <f>0.00163+0.207+0.081</f>
        <v>0.28963</v>
      </c>
      <c r="F121" s="91"/>
      <c r="G121" s="91">
        <f>E121+F121+I120</f>
        <v>2.2662700000005198E-2</v>
      </c>
      <c r="H121" s="91"/>
      <c r="I121" s="92">
        <f t="shared" si="323"/>
        <v>2.2662700000005198E-2</v>
      </c>
      <c r="J121" s="93">
        <f t="shared" si="324"/>
        <v>0</v>
      </c>
      <c r="K121" s="306"/>
      <c r="L121" s="306"/>
      <c r="M121" s="306"/>
      <c r="N121" s="306"/>
      <c r="O121" s="306"/>
      <c r="P121" s="307"/>
    </row>
    <row r="122" spans="2:16" x14ac:dyDescent="0.2">
      <c r="B122" s="343"/>
      <c r="C122" s="337" t="s">
        <v>107</v>
      </c>
      <c r="D122" s="222" t="s">
        <v>63</v>
      </c>
      <c r="E122" s="91">
        <v>0</v>
      </c>
      <c r="F122" s="91">
        <f>1.08054+0.188</f>
        <v>1.26854</v>
      </c>
      <c r="G122" s="91">
        <f t="shared" si="422"/>
        <v>1.26854</v>
      </c>
      <c r="H122" s="247">
        <v>0.13800000000000001</v>
      </c>
      <c r="I122" s="92">
        <f t="shared" si="323"/>
        <v>1.1305399999999999</v>
      </c>
      <c r="J122" s="93">
        <f t="shared" si="324"/>
        <v>0.10878647894429817</v>
      </c>
      <c r="K122" s="306">
        <f>E122+E123</f>
        <v>0</v>
      </c>
      <c r="L122" s="306">
        <f>F122+F123</f>
        <v>1.26854</v>
      </c>
      <c r="M122" s="306">
        <f t="shared" ref="M122" si="426">K122+L122</f>
        <v>1.26854</v>
      </c>
      <c r="N122" s="306">
        <f>H122+H123</f>
        <v>0.13800000000000001</v>
      </c>
      <c r="O122" s="306">
        <f t="shared" ref="O122" si="427">M122-N122</f>
        <v>1.1305399999999999</v>
      </c>
      <c r="P122" s="307">
        <f t="shared" ref="P122" si="428">N122/M122</f>
        <v>0.10878647894429817</v>
      </c>
    </row>
    <row r="123" spans="2:16" x14ac:dyDescent="0.2">
      <c r="B123" s="343"/>
      <c r="C123" s="337"/>
      <c r="D123" s="222" t="s">
        <v>64</v>
      </c>
      <c r="E123" s="91">
        <v>0</v>
      </c>
      <c r="F123" s="91"/>
      <c r="G123" s="91">
        <f>E123+F123+I122</f>
        <v>1.1305399999999999</v>
      </c>
      <c r="H123" s="91"/>
      <c r="I123" s="92">
        <f t="shared" si="323"/>
        <v>1.1305399999999999</v>
      </c>
      <c r="J123" s="93">
        <f t="shared" si="324"/>
        <v>0</v>
      </c>
      <c r="K123" s="306"/>
      <c r="L123" s="306"/>
      <c r="M123" s="306"/>
      <c r="N123" s="306"/>
      <c r="O123" s="306"/>
      <c r="P123" s="307"/>
    </row>
    <row r="124" spans="2:16" x14ac:dyDescent="0.2">
      <c r="B124" s="343"/>
      <c r="C124" s="337" t="s">
        <v>148</v>
      </c>
      <c r="D124" s="222" t="s">
        <v>63</v>
      </c>
      <c r="E124" s="91">
        <v>0</v>
      </c>
      <c r="F124" s="91">
        <f>Hoja1!J10+Hoja1!K10</f>
        <v>0.49874000000000002</v>
      </c>
      <c r="G124" s="91">
        <f t="shared" ref="G124" si="429">E124+F124</f>
        <v>0.49874000000000002</v>
      </c>
      <c r="H124" s="91"/>
      <c r="I124" s="92">
        <f t="shared" si="323"/>
        <v>0.49874000000000002</v>
      </c>
      <c r="J124" s="93">
        <f t="shared" si="324"/>
        <v>0</v>
      </c>
      <c r="K124" s="306">
        <f>E124+E125</f>
        <v>0</v>
      </c>
      <c r="L124" s="306">
        <f>F124+F125</f>
        <v>0.49874000000000002</v>
      </c>
      <c r="M124" s="306">
        <f t="shared" ref="M124" si="430">K124+L124</f>
        <v>0.49874000000000002</v>
      </c>
      <c r="N124" s="306">
        <f>H124+H125</f>
        <v>0</v>
      </c>
      <c r="O124" s="306">
        <f t="shared" ref="O124" si="431">M124-N124</f>
        <v>0.49874000000000002</v>
      </c>
      <c r="P124" s="307">
        <f t="shared" ref="P124" si="432">N124/M124</f>
        <v>0</v>
      </c>
    </row>
    <row r="125" spans="2:16" x14ac:dyDescent="0.2">
      <c r="B125" s="343"/>
      <c r="C125" s="337"/>
      <c r="D125" s="222" t="s">
        <v>64</v>
      </c>
      <c r="E125" s="91">
        <v>0</v>
      </c>
      <c r="F125" s="91"/>
      <c r="G125" s="91">
        <f>E125+F125+I124</f>
        <v>0.49874000000000002</v>
      </c>
      <c r="H125" s="91"/>
      <c r="I125" s="92">
        <f t="shared" si="323"/>
        <v>0.49874000000000002</v>
      </c>
      <c r="J125" s="93">
        <f t="shared" si="324"/>
        <v>0</v>
      </c>
      <c r="K125" s="306"/>
      <c r="L125" s="306"/>
      <c r="M125" s="306"/>
      <c r="N125" s="306"/>
      <c r="O125" s="306"/>
      <c r="P125" s="307"/>
    </row>
    <row r="126" spans="2:16" ht="12.75" customHeight="1" x14ac:dyDescent="0.2">
      <c r="B126" s="343"/>
      <c r="C126" s="304" t="s">
        <v>192</v>
      </c>
      <c r="D126" s="222" t="s">
        <v>63</v>
      </c>
      <c r="E126" s="91">
        <v>0</v>
      </c>
      <c r="F126" s="91">
        <f>Hoja1!J17+Hoja1!K17</f>
        <v>0.29470999999999997</v>
      </c>
      <c r="G126" s="91">
        <f t="shared" ref="G126" si="433">E126+F126</f>
        <v>0.29470999999999997</v>
      </c>
      <c r="H126" s="91"/>
      <c r="I126" s="92">
        <f t="shared" si="323"/>
        <v>0.29470999999999997</v>
      </c>
      <c r="J126" s="93">
        <f t="shared" si="324"/>
        <v>0</v>
      </c>
      <c r="K126" s="306">
        <f>E126+E127</f>
        <v>0</v>
      </c>
      <c r="L126" s="306">
        <f>F126+F127</f>
        <v>0.29470999999999997</v>
      </c>
      <c r="M126" s="306">
        <f t="shared" ref="M126" si="434">K126+L126</f>
        <v>0.29470999999999997</v>
      </c>
      <c r="N126" s="306">
        <f>H126+H127</f>
        <v>0</v>
      </c>
      <c r="O126" s="306">
        <f t="shared" ref="O126" si="435">M126-N126</f>
        <v>0.29470999999999997</v>
      </c>
      <c r="P126" s="307">
        <f t="shared" ref="P126" si="436">N126/M126</f>
        <v>0</v>
      </c>
    </row>
    <row r="127" spans="2:16" x14ac:dyDescent="0.2">
      <c r="B127" s="343"/>
      <c r="C127" s="305"/>
      <c r="D127" s="222" t="s">
        <v>64</v>
      </c>
      <c r="E127" s="91">
        <v>0</v>
      </c>
      <c r="F127" s="91"/>
      <c r="G127" s="91">
        <f>E127+F127+I126</f>
        <v>0.29470999999999997</v>
      </c>
      <c r="H127" s="91"/>
      <c r="I127" s="92">
        <f t="shared" si="323"/>
        <v>0.29470999999999997</v>
      </c>
      <c r="J127" s="93">
        <f t="shared" si="324"/>
        <v>0</v>
      </c>
      <c r="K127" s="306"/>
      <c r="L127" s="306"/>
      <c r="M127" s="306"/>
      <c r="N127" s="306"/>
      <c r="O127" s="306"/>
      <c r="P127" s="307"/>
    </row>
    <row r="128" spans="2:16" x14ac:dyDescent="0.2">
      <c r="B128" s="343"/>
      <c r="C128" s="304" t="s">
        <v>196</v>
      </c>
      <c r="D128" s="250" t="s">
        <v>63</v>
      </c>
      <c r="E128" s="91">
        <v>0</v>
      </c>
      <c r="F128" s="91">
        <f>103.4886-103.4886</f>
        <v>0</v>
      </c>
      <c r="G128" s="91">
        <f t="shared" ref="G128" si="437">E128+F128</f>
        <v>0</v>
      </c>
      <c r="H128" s="91"/>
      <c r="I128" s="92">
        <f t="shared" ref="I128:I129" si="438">G128-H128</f>
        <v>0</v>
      </c>
      <c r="J128" s="93" t="e">
        <f t="shared" ref="J128:J129" si="439">H128/G128</f>
        <v>#DIV/0!</v>
      </c>
      <c r="K128" s="306">
        <f>E128+E129</f>
        <v>0</v>
      </c>
      <c r="L128" s="306">
        <f>F128+F129</f>
        <v>0</v>
      </c>
      <c r="M128" s="306">
        <f t="shared" ref="M128" si="440">K128+L128</f>
        <v>0</v>
      </c>
      <c r="N128" s="306">
        <f>H128+H129</f>
        <v>0</v>
      </c>
      <c r="O128" s="306">
        <f t="shared" ref="O128" si="441">M128-N128</f>
        <v>0</v>
      </c>
      <c r="P128" s="307" t="e">
        <f t="shared" ref="P128" si="442">N128/M128</f>
        <v>#DIV/0!</v>
      </c>
    </row>
    <row r="129" spans="2:16" x14ac:dyDescent="0.2">
      <c r="B129" s="343"/>
      <c r="C129" s="305"/>
      <c r="D129" s="250" t="s">
        <v>64</v>
      </c>
      <c r="E129" s="91">
        <v>0</v>
      </c>
      <c r="F129" s="91"/>
      <c r="G129" s="91">
        <f>E129+F129+I128</f>
        <v>0</v>
      </c>
      <c r="H129" s="91"/>
      <c r="I129" s="92">
        <f t="shared" si="438"/>
        <v>0</v>
      </c>
      <c r="J129" s="93" t="e">
        <f t="shared" si="439"/>
        <v>#DIV/0!</v>
      </c>
      <c r="K129" s="306"/>
      <c r="L129" s="306"/>
      <c r="M129" s="306"/>
      <c r="N129" s="306"/>
      <c r="O129" s="306"/>
      <c r="P129" s="307"/>
    </row>
    <row r="130" spans="2:16" x14ac:dyDescent="0.2">
      <c r="B130" s="343"/>
      <c r="C130" s="304" t="s">
        <v>200</v>
      </c>
      <c r="D130" s="250" t="s">
        <v>63</v>
      </c>
      <c r="E130" s="91">
        <v>0</v>
      </c>
      <c r="F130" s="91">
        <v>39.7639</v>
      </c>
      <c r="G130" s="91">
        <f t="shared" ref="G130" si="443">E130+F130</f>
        <v>39.7639</v>
      </c>
      <c r="H130" s="91"/>
      <c r="I130" s="92">
        <f t="shared" ref="I130:I131" si="444">G130-H130</f>
        <v>39.7639</v>
      </c>
      <c r="J130" s="93">
        <f t="shared" ref="J130:J131" si="445">H130/G130</f>
        <v>0</v>
      </c>
      <c r="K130" s="306">
        <f>E130+E131</f>
        <v>0</v>
      </c>
      <c r="L130" s="306">
        <f>F130+F131</f>
        <v>39.7639</v>
      </c>
      <c r="M130" s="306">
        <f t="shared" ref="M130" si="446">K130+L130</f>
        <v>39.7639</v>
      </c>
      <c r="N130" s="306">
        <f>H130+H131</f>
        <v>0</v>
      </c>
      <c r="O130" s="306">
        <f t="shared" ref="O130" si="447">M130-N130</f>
        <v>39.7639</v>
      </c>
      <c r="P130" s="307">
        <f t="shared" ref="P130" si="448">N130/M130</f>
        <v>0</v>
      </c>
    </row>
    <row r="131" spans="2:16" x14ac:dyDescent="0.2">
      <c r="B131" s="343"/>
      <c r="C131" s="305"/>
      <c r="D131" s="250" t="s">
        <v>64</v>
      </c>
      <c r="E131" s="91">
        <v>0</v>
      </c>
      <c r="F131" s="91"/>
      <c r="G131" s="91">
        <f>E131+F131+I130</f>
        <v>39.7639</v>
      </c>
      <c r="H131" s="91"/>
      <c r="I131" s="92">
        <f t="shared" si="444"/>
        <v>39.7639</v>
      </c>
      <c r="J131" s="93">
        <f t="shared" si="445"/>
        <v>0</v>
      </c>
      <c r="K131" s="306"/>
      <c r="L131" s="306"/>
      <c r="M131" s="306"/>
      <c r="N131" s="306"/>
      <c r="O131" s="306"/>
      <c r="P131" s="307"/>
    </row>
    <row r="132" spans="2:16" x14ac:dyDescent="0.2">
      <c r="B132" s="343"/>
      <c r="C132" s="304" t="s">
        <v>202</v>
      </c>
      <c r="D132" s="250" t="s">
        <v>63</v>
      </c>
      <c r="E132" s="91">
        <v>0</v>
      </c>
      <c r="F132" s="91">
        <v>73.645099999999999</v>
      </c>
      <c r="G132" s="91">
        <f t="shared" ref="G132" si="449">E132+F132</f>
        <v>73.645099999999999</v>
      </c>
      <c r="H132" s="91"/>
      <c r="I132" s="92">
        <f t="shared" ref="I132:I133" si="450">G132-H132</f>
        <v>73.645099999999999</v>
      </c>
      <c r="J132" s="93">
        <f t="shared" ref="J132:J133" si="451">H132/G132</f>
        <v>0</v>
      </c>
      <c r="K132" s="306">
        <f>E132+E133</f>
        <v>0</v>
      </c>
      <c r="L132" s="306">
        <f>F132+F133</f>
        <v>2.0000000006348273E-5</v>
      </c>
      <c r="M132" s="306">
        <f t="shared" ref="M132" si="452">K132+L132</f>
        <v>2.0000000006348273E-5</v>
      </c>
      <c r="N132" s="306">
        <f>H132+H133</f>
        <v>0</v>
      </c>
      <c r="O132" s="306">
        <f t="shared" ref="O132" si="453">M132-N132</f>
        <v>2.0000000006348273E-5</v>
      </c>
      <c r="P132" s="307">
        <f t="shared" ref="P132" si="454">N132/M132</f>
        <v>0</v>
      </c>
    </row>
    <row r="133" spans="2:16" x14ac:dyDescent="0.2">
      <c r="B133" s="343"/>
      <c r="C133" s="305"/>
      <c r="D133" s="250" t="s">
        <v>64</v>
      </c>
      <c r="E133" s="91">
        <v>0</v>
      </c>
      <c r="F133" s="91">
        <v>-73.645079999999993</v>
      </c>
      <c r="G133" s="91">
        <f>E133+F133+I132</f>
        <v>2.0000000006348273E-5</v>
      </c>
      <c r="H133" s="91"/>
      <c r="I133" s="92">
        <f t="shared" si="450"/>
        <v>2.0000000006348273E-5</v>
      </c>
      <c r="J133" s="93">
        <f t="shared" si="451"/>
        <v>0</v>
      </c>
      <c r="K133" s="306"/>
      <c r="L133" s="306"/>
      <c r="M133" s="306"/>
      <c r="N133" s="306"/>
      <c r="O133" s="306"/>
      <c r="P133" s="307"/>
    </row>
    <row r="134" spans="2:16" x14ac:dyDescent="0.2">
      <c r="B134" s="343"/>
      <c r="C134" s="304" t="s">
        <v>125</v>
      </c>
      <c r="D134" s="222" t="s">
        <v>63</v>
      </c>
      <c r="E134" s="91">
        <v>0</v>
      </c>
      <c r="F134" s="91">
        <f>0.9396+0.094</f>
        <v>1.0336000000000001</v>
      </c>
      <c r="G134" s="91">
        <f t="shared" si="422"/>
        <v>1.0336000000000001</v>
      </c>
      <c r="H134" s="247">
        <v>0.05</v>
      </c>
      <c r="I134" s="92">
        <f t="shared" si="323"/>
        <v>0.98360000000000003</v>
      </c>
      <c r="J134" s="93">
        <f t="shared" si="324"/>
        <v>4.8374613003095972E-2</v>
      </c>
      <c r="K134" s="306">
        <f>E134+E135</f>
        <v>0</v>
      </c>
      <c r="L134" s="306">
        <f>F134+F135</f>
        <v>1.0336000000000001</v>
      </c>
      <c r="M134" s="306">
        <f t="shared" ref="M134" si="455">K134+L134</f>
        <v>1.0336000000000001</v>
      </c>
      <c r="N134" s="306">
        <f>H134+H135</f>
        <v>0.05</v>
      </c>
      <c r="O134" s="306">
        <f t="shared" ref="O134" si="456">M134-N134</f>
        <v>0.98360000000000003</v>
      </c>
      <c r="P134" s="307">
        <f t="shared" ref="P134" si="457">N134/M134</f>
        <v>4.8374613003095972E-2</v>
      </c>
    </row>
    <row r="135" spans="2:16" ht="13.5" thickBot="1" x14ac:dyDescent="0.25">
      <c r="B135" s="344"/>
      <c r="C135" s="341"/>
      <c r="D135" s="127" t="s">
        <v>64</v>
      </c>
      <c r="E135" s="98">
        <v>0</v>
      </c>
      <c r="F135" s="99"/>
      <c r="G135" s="99">
        <f>E135+F135+I134</f>
        <v>0.98360000000000003</v>
      </c>
      <c r="H135" s="130"/>
      <c r="I135" s="99">
        <f t="shared" si="323"/>
        <v>0.98360000000000003</v>
      </c>
      <c r="J135" s="100">
        <f t="shared" si="324"/>
        <v>0</v>
      </c>
      <c r="K135" s="324"/>
      <c r="L135" s="324"/>
      <c r="M135" s="324"/>
      <c r="N135" s="324"/>
      <c r="O135" s="324"/>
      <c r="P135" s="325"/>
    </row>
    <row r="136" spans="2:16" s="94" customFormat="1" ht="15" customHeight="1" thickBot="1" x14ac:dyDescent="0.3">
      <c r="B136" s="339" t="s">
        <v>19</v>
      </c>
      <c r="C136" s="340"/>
      <c r="D136" s="340"/>
      <c r="E136" s="107">
        <f>SUM(E6:E135)</f>
        <v>4698.0018600000003</v>
      </c>
      <c r="F136" s="107">
        <f>SUM(F6:F135)</f>
        <v>-106.84610430000006</v>
      </c>
      <c r="G136" s="107">
        <f>E136+F136</f>
        <v>4591.1557557000006</v>
      </c>
      <c r="H136" s="107">
        <f>SUM(H6:H135)</f>
        <v>3279.6499999999996</v>
      </c>
      <c r="I136" s="107">
        <f>G136-H136</f>
        <v>1311.5057557000009</v>
      </c>
      <c r="J136" s="108">
        <f>H136/G136</f>
        <v>0.71434082712795277</v>
      </c>
      <c r="K136" s="107">
        <f>SUM(K6:K135)</f>
        <v>4698.0018600000003</v>
      </c>
      <c r="L136" s="107">
        <f>SUM(L6:L135)</f>
        <v>-106.84610430000001</v>
      </c>
      <c r="M136" s="107">
        <f>K136+L136</f>
        <v>4591.1557557000006</v>
      </c>
      <c r="N136" s="107">
        <f>SUM(N6:N135)</f>
        <v>3279.6499999999996</v>
      </c>
      <c r="O136" s="107">
        <f>M136-N136</f>
        <v>1311.5057557000009</v>
      </c>
      <c r="P136" s="109">
        <f>N136/M136</f>
        <v>0.71434082712795277</v>
      </c>
    </row>
  </sheetData>
  <mergeCells count="461">
    <mergeCell ref="B136:D136"/>
    <mergeCell ref="P126:P127"/>
    <mergeCell ref="C134:C135"/>
    <mergeCell ref="K134:K135"/>
    <mergeCell ref="L134:L135"/>
    <mergeCell ref="M134:M135"/>
    <mergeCell ref="N134:N135"/>
    <mergeCell ref="O134:O135"/>
    <mergeCell ref="P134:P135"/>
    <mergeCell ref="C126:C127"/>
    <mergeCell ref="K126:K127"/>
    <mergeCell ref="L126:L127"/>
    <mergeCell ref="M126:M127"/>
    <mergeCell ref="N126:N127"/>
    <mergeCell ref="O126:O127"/>
    <mergeCell ref="B90:B135"/>
    <mergeCell ref="P122:P123"/>
    <mergeCell ref="C124:C125"/>
    <mergeCell ref="K124:K125"/>
    <mergeCell ref="L124:L125"/>
    <mergeCell ref="M124:M125"/>
    <mergeCell ref="N124:N125"/>
    <mergeCell ref="O124:O125"/>
    <mergeCell ref="P124:P125"/>
    <mergeCell ref="C122:C123"/>
    <mergeCell ref="K122:K123"/>
    <mergeCell ref="L122:L123"/>
    <mergeCell ref="M122:M123"/>
    <mergeCell ref="N122:N123"/>
    <mergeCell ref="O122:O123"/>
    <mergeCell ref="P118:P119"/>
    <mergeCell ref="C120:C121"/>
    <mergeCell ref="K120:K121"/>
    <mergeCell ref="L120:L121"/>
    <mergeCell ref="M120:M121"/>
    <mergeCell ref="N120:N121"/>
    <mergeCell ref="O120:O121"/>
    <mergeCell ref="P120:P121"/>
    <mergeCell ref="C118:C119"/>
    <mergeCell ref="K118:K119"/>
    <mergeCell ref="L118:L119"/>
    <mergeCell ref="M118:M119"/>
    <mergeCell ref="N118:N119"/>
    <mergeCell ref="O118:O119"/>
    <mergeCell ref="P114:P115"/>
    <mergeCell ref="C116:C117"/>
    <mergeCell ref="K116:K117"/>
    <mergeCell ref="L116:L117"/>
    <mergeCell ref="M116:M117"/>
    <mergeCell ref="N116:N117"/>
    <mergeCell ref="O116:O117"/>
    <mergeCell ref="P116:P117"/>
    <mergeCell ref="C114:C115"/>
    <mergeCell ref="K114:K115"/>
    <mergeCell ref="L114:L115"/>
    <mergeCell ref="M114:M115"/>
    <mergeCell ref="N114:N115"/>
    <mergeCell ref="O114:O115"/>
    <mergeCell ref="P110:P111"/>
    <mergeCell ref="C112:C113"/>
    <mergeCell ref="K112:K113"/>
    <mergeCell ref="L112:L113"/>
    <mergeCell ref="M112:M113"/>
    <mergeCell ref="N112:N113"/>
    <mergeCell ref="O112:O113"/>
    <mergeCell ref="P112:P113"/>
    <mergeCell ref="C110:C111"/>
    <mergeCell ref="K110:K111"/>
    <mergeCell ref="L110:L111"/>
    <mergeCell ref="M110:M111"/>
    <mergeCell ref="N110:N111"/>
    <mergeCell ref="O110:O111"/>
    <mergeCell ref="P106:P107"/>
    <mergeCell ref="C108:C109"/>
    <mergeCell ref="K108:K109"/>
    <mergeCell ref="L108:L109"/>
    <mergeCell ref="M108:M109"/>
    <mergeCell ref="N108:N109"/>
    <mergeCell ref="O108:O109"/>
    <mergeCell ref="P108:P109"/>
    <mergeCell ref="C106:C107"/>
    <mergeCell ref="K106:K107"/>
    <mergeCell ref="L106:L107"/>
    <mergeCell ref="M106:M107"/>
    <mergeCell ref="N106:N107"/>
    <mergeCell ref="O106:O107"/>
    <mergeCell ref="P102:P103"/>
    <mergeCell ref="C104:C105"/>
    <mergeCell ref="K104:K105"/>
    <mergeCell ref="L104:L105"/>
    <mergeCell ref="M104:M105"/>
    <mergeCell ref="N104:N105"/>
    <mergeCell ref="O104:O105"/>
    <mergeCell ref="P104:P105"/>
    <mergeCell ref="C102:C103"/>
    <mergeCell ref="K102:K103"/>
    <mergeCell ref="L102:L103"/>
    <mergeCell ref="M102:M103"/>
    <mergeCell ref="N102:N103"/>
    <mergeCell ref="O102:O103"/>
    <mergeCell ref="P98:P99"/>
    <mergeCell ref="C100:C101"/>
    <mergeCell ref="K100:K101"/>
    <mergeCell ref="L100:L101"/>
    <mergeCell ref="M100:M101"/>
    <mergeCell ref="N100:N101"/>
    <mergeCell ref="O100:O101"/>
    <mergeCell ref="P100:P101"/>
    <mergeCell ref="C98:C99"/>
    <mergeCell ref="K98:K99"/>
    <mergeCell ref="L98:L99"/>
    <mergeCell ref="M98:M99"/>
    <mergeCell ref="N98:N99"/>
    <mergeCell ref="O98:O99"/>
    <mergeCell ref="K90:K91"/>
    <mergeCell ref="L90:L91"/>
    <mergeCell ref="M90:M91"/>
    <mergeCell ref="N90:N91"/>
    <mergeCell ref="O94:O95"/>
    <mergeCell ref="P94:P95"/>
    <mergeCell ref="C96:C97"/>
    <mergeCell ref="K96:K97"/>
    <mergeCell ref="L96:L97"/>
    <mergeCell ref="M96:M97"/>
    <mergeCell ref="N96:N97"/>
    <mergeCell ref="O96:O97"/>
    <mergeCell ref="P96:P97"/>
    <mergeCell ref="C94:C95"/>
    <mergeCell ref="K94:K95"/>
    <mergeCell ref="L94:L95"/>
    <mergeCell ref="M94:M95"/>
    <mergeCell ref="N94:N95"/>
    <mergeCell ref="P80:P81"/>
    <mergeCell ref="C88:C89"/>
    <mergeCell ref="K88:K89"/>
    <mergeCell ref="L88:L89"/>
    <mergeCell ref="M88:M89"/>
    <mergeCell ref="N88:N89"/>
    <mergeCell ref="O88:O89"/>
    <mergeCell ref="P88:P89"/>
    <mergeCell ref="C80:C81"/>
    <mergeCell ref="K80:K81"/>
    <mergeCell ref="L80:L81"/>
    <mergeCell ref="M80:M81"/>
    <mergeCell ref="N80:N81"/>
    <mergeCell ref="O80:O81"/>
    <mergeCell ref="P76:P77"/>
    <mergeCell ref="C78:C79"/>
    <mergeCell ref="K78:K79"/>
    <mergeCell ref="L78:L79"/>
    <mergeCell ref="M78:M79"/>
    <mergeCell ref="N78:N79"/>
    <mergeCell ref="O78:O79"/>
    <mergeCell ref="P78:P79"/>
    <mergeCell ref="C76:C77"/>
    <mergeCell ref="K76:K77"/>
    <mergeCell ref="L76:L77"/>
    <mergeCell ref="M76:M77"/>
    <mergeCell ref="N76:N77"/>
    <mergeCell ref="O76:O77"/>
    <mergeCell ref="P72:P73"/>
    <mergeCell ref="C74:C75"/>
    <mergeCell ref="K74:K75"/>
    <mergeCell ref="L74:L75"/>
    <mergeCell ref="M74:M75"/>
    <mergeCell ref="N74:N75"/>
    <mergeCell ref="O74:O75"/>
    <mergeCell ref="P74:P75"/>
    <mergeCell ref="C72:C73"/>
    <mergeCell ref="K72:K73"/>
    <mergeCell ref="L72:L73"/>
    <mergeCell ref="M72:M73"/>
    <mergeCell ref="N72:N73"/>
    <mergeCell ref="O72:O73"/>
    <mergeCell ref="P68:P69"/>
    <mergeCell ref="C70:C71"/>
    <mergeCell ref="K70:K71"/>
    <mergeCell ref="L70:L71"/>
    <mergeCell ref="M70:M71"/>
    <mergeCell ref="N70:N71"/>
    <mergeCell ref="O70:O71"/>
    <mergeCell ref="P70:P71"/>
    <mergeCell ref="C68:C69"/>
    <mergeCell ref="K68:K69"/>
    <mergeCell ref="L68:L69"/>
    <mergeCell ref="M68:M69"/>
    <mergeCell ref="N68:N69"/>
    <mergeCell ref="O68:O69"/>
    <mergeCell ref="P64:P65"/>
    <mergeCell ref="C66:C67"/>
    <mergeCell ref="K66:K67"/>
    <mergeCell ref="L66:L67"/>
    <mergeCell ref="M66:M67"/>
    <mergeCell ref="N66:N67"/>
    <mergeCell ref="O66:O67"/>
    <mergeCell ref="P66:P67"/>
    <mergeCell ref="C64:C65"/>
    <mergeCell ref="K64:K65"/>
    <mergeCell ref="L64:L65"/>
    <mergeCell ref="M64:M65"/>
    <mergeCell ref="N64:N65"/>
    <mergeCell ref="O64:O65"/>
    <mergeCell ref="M62:M63"/>
    <mergeCell ref="N62:N63"/>
    <mergeCell ref="O62:O63"/>
    <mergeCell ref="P62:P63"/>
    <mergeCell ref="C60:C61"/>
    <mergeCell ref="K60:K61"/>
    <mergeCell ref="L60:L61"/>
    <mergeCell ref="M60:M61"/>
    <mergeCell ref="N60:N61"/>
    <mergeCell ref="O60:O61"/>
    <mergeCell ref="B48:B89"/>
    <mergeCell ref="C48:C49"/>
    <mergeCell ref="K48:K49"/>
    <mergeCell ref="L48:L49"/>
    <mergeCell ref="M48:M49"/>
    <mergeCell ref="N48:N49"/>
    <mergeCell ref="C52:C53"/>
    <mergeCell ref="K52:K53"/>
    <mergeCell ref="L52:L53"/>
    <mergeCell ref="M52:M53"/>
    <mergeCell ref="N52:N53"/>
    <mergeCell ref="C50:C51"/>
    <mergeCell ref="K50:K51"/>
    <mergeCell ref="L50:L51"/>
    <mergeCell ref="M50:M51"/>
    <mergeCell ref="N50:N51"/>
    <mergeCell ref="C54:C55"/>
    <mergeCell ref="K54:K55"/>
    <mergeCell ref="L54:L55"/>
    <mergeCell ref="M54:M55"/>
    <mergeCell ref="N54:N55"/>
    <mergeCell ref="C58:C59"/>
    <mergeCell ref="K58:K59"/>
    <mergeCell ref="L58:L59"/>
    <mergeCell ref="P38:P39"/>
    <mergeCell ref="C46:C47"/>
    <mergeCell ref="K46:K47"/>
    <mergeCell ref="L46:L47"/>
    <mergeCell ref="M46:M47"/>
    <mergeCell ref="N46:N47"/>
    <mergeCell ref="O46:O47"/>
    <mergeCell ref="P46:P47"/>
    <mergeCell ref="C38:C39"/>
    <mergeCell ref="K38:K39"/>
    <mergeCell ref="L38:L39"/>
    <mergeCell ref="M38:M39"/>
    <mergeCell ref="N38:N39"/>
    <mergeCell ref="O38:O39"/>
    <mergeCell ref="C40:C41"/>
    <mergeCell ref="K40:K41"/>
    <mergeCell ref="L40:L41"/>
    <mergeCell ref="M40:M41"/>
    <mergeCell ref="N40:N41"/>
    <mergeCell ref="O40:O41"/>
    <mergeCell ref="P40:P41"/>
    <mergeCell ref="C42:C43"/>
    <mergeCell ref="K42:K43"/>
    <mergeCell ref="L42:L43"/>
    <mergeCell ref="P34:P35"/>
    <mergeCell ref="C36:C37"/>
    <mergeCell ref="K36:K37"/>
    <mergeCell ref="L36:L37"/>
    <mergeCell ref="M36:M37"/>
    <mergeCell ref="N36:N37"/>
    <mergeCell ref="O36:O37"/>
    <mergeCell ref="P36:P37"/>
    <mergeCell ref="C34:C35"/>
    <mergeCell ref="K34:K35"/>
    <mergeCell ref="L34:L35"/>
    <mergeCell ref="M34:M35"/>
    <mergeCell ref="N34:N35"/>
    <mergeCell ref="O34:O35"/>
    <mergeCell ref="P30:P31"/>
    <mergeCell ref="C32:C33"/>
    <mergeCell ref="K32:K33"/>
    <mergeCell ref="L32:L33"/>
    <mergeCell ref="M32:M33"/>
    <mergeCell ref="N32:N33"/>
    <mergeCell ref="O32:O33"/>
    <mergeCell ref="P32:P33"/>
    <mergeCell ref="C30:C31"/>
    <mergeCell ref="K30:K31"/>
    <mergeCell ref="L30:L31"/>
    <mergeCell ref="M30:M31"/>
    <mergeCell ref="N30:N31"/>
    <mergeCell ref="O30:O31"/>
    <mergeCell ref="P26:P27"/>
    <mergeCell ref="C28:C29"/>
    <mergeCell ref="K28:K29"/>
    <mergeCell ref="L28:L29"/>
    <mergeCell ref="M28:M29"/>
    <mergeCell ref="N28:N29"/>
    <mergeCell ref="O28:O29"/>
    <mergeCell ref="P28:P29"/>
    <mergeCell ref="C26:C27"/>
    <mergeCell ref="K26:K27"/>
    <mergeCell ref="L26:L27"/>
    <mergeCell ref="M26:M27"/>
    <mergeCell ref="N26:N27"/>
    <mergeCell ref="O26:O27"/>
    <mergeCell ref="P22:P23"/>
    <mergeCell ref="C24:C25"/>
    <mergeCell ref="K24:K25"/>
    <mergeCell ref="L24:L25"/>
    <mergeCell ref="M24:M25"/>
    <mergeCell ref="N24:N25"/>
    <mergeCell ref="O24:O25"/>
    <mergeCell ref="P24:P25"/>
    <mergeCell ref="C22:C23"/>
    <mergeCell ref="K22:K23"/>
    <mergeCell ref="L22:L23"/>
    <mergeCell ref="M22:M23"/>
    <mergeCell ref="N22:N23"/>
    <mergeCell ref="O22:O23"/>
    <mergeCell ref="P18:P19"/>
    <mergeCell ref="C20:C21"/>
    <mergeCell ref="K20:K21"/>
    <mergeCell ref="L20:L21"/>
    <mergeCell ref="M20:M21"/>
    <mergeCell ref="N20:N21"/>
    <mergeCell ref="O20:O21"/>
    <mergeCell ref="P20:P21"/>
    <mergeCell ref="C18:C19"/>
    <mergeCell ref="K18:K19"/>
    <mergeCell ref="L18:L19"/>
    <mergeCell ref="M18:M19"/>
    <mergeCell ref="N18:N19"/>
    <mergeCell ref="O18:O19"/>
    <mergeCell ref="P12:P13"/>
    <mergeCell ref="C10:C11"/>
    <mergeCell ref="K10:K11"/>
    <mergeCell ref="L10:L11"/>
    <mergeCell ref="M10:M11"/>
    <mergeCell ref="N10:N11"/>
    <mergeCell ref="O10:O11"/>
    <mergeCell ref="P14:P15"/>
    <mergeCell ref="C16:C17"/>
    <mergeCell ref="K16:K17"/>
    <mergeCell ref="L16:L17"/>
    <mergeCell ref="M16:M17"/>
    <mergeCell ref="N16:N17"/>
    <mergeCell ref="O16:O17"/>
    <mergeCell ref="P16:P17"/>
    <mergeCell ref="C14:C15"/>
    <mergeCell ref="K14:K15"/>
    <mergeCell ref="L14:L15"/>
    <mergeCell ref="M14:M15"/>
    <mergeCell ref="N14:N15"/>
    <mergeCell ref="O14:O15"/>
    <mergeCell ref="B2:P2"/>
    <mergeCell ref="B3:P3"/>
    <mergeCell ref="K8:K9"/>
    <mergeCell ref="L8:L9"/>
    <mergeCell ref="M8:M9"/>
    <mergeCell ref="N8:N9"/>
    <mergeCell ref="O8:O9"/>
    <mergeCell ref="P8:P9"/>
    <mergeCell ref="B6:B47"/>
    <mergeCell ref="C6:C7"/>
    <mergeCell ref="K6:K7"/>
    <mergeCell ref="L6:L7"/>
    <mergeCell ref="M6:M7"/>
    <mergeCell ref="N6:N7"/>
    <mergeCell ref="O6:O7"/>
    <mergeCell ref="P6:P7"/>
    <mergeCell ref="C8:C9"/>
    <mergeCell ref="P10:P11"/>
    <mergeCell ref="C12:C13"/>
    <mergeCell ref="K12:K13"/>
    <mergeCell ref="L12:L13"/>
    <mergeCell ref="M12:M13"/>
    <mergeCell ref="N12:N13"/>
    <mergeCell ref="O12:O13"/>
    <mergeCell ref="C128:C129"/>
    <mergeCell ref="K128:K129"/>
    <mergeCell ref="L128:L129"/>
    <mergeCell ref="M128:M129"/>
    <mergeCell ref="N128:N129"/>
    <mergeCell ref="O128:O129"/>
    <mergeCell ref="P128:P129"/>
    <mergeCell ref="C82:C83"/>
    <mergeCell ref="K82:K83"/>
    <mergeCell ref="L82:L83"/>
    <mergeCell ref="M82:M83"/>
    <mergeCell ref="N82:N83"/>
    <mergeCell ref="O82:O83"/>
    <mergeCell ref="P82:P83"/>
    <mergeCell ref="O90:O91"/>
    <mergeCell ref="P90:P91"/>
    <mergeCell ref="C92:C93"/>
    <mergeCell ref="K92:K93"/>
    <mergeCell ref="L92:L93"/>
    <mergeCell ref="M92:M93"/>
    <mergeCell ref="N92:N93"/>
    <mergeCell ref="O92:O93"/>
    <mergeCell ref="P92:P93"/>
    <mergeCell ref="C90:C91"/>
    <mergeCell ref="M42:M43"/>
    <mergeCell ref="N42:N43"/>
    <mergeCell ref="O42:O43"/>
    <mergeCell ref="P42:P43"/>
    <mergeCell ref="C84:C85"/>
    <mergeCell ref="K84:K85"/>
    <mergeCell ref="L84:L85"/>
    <mergeCell ref="M84:M85"/>
    <mergeCell ref="N84:N85"/>
    <mergeCell ref="O84:O85"/>
    <mergeCell ref="P84:P85"/>
    <mergeCell ref="O48:O49"/>
    <mergeCell ref="P48:P49"/>
    <mergeCell ref="O50:O51"/>
    <mergeCell ref="P50:P51"/>
    <mergeCell ref="O52:O53"/>
    <mergeCell ref="P52:P53"/>
    <mergeCell ref="O54:O55"/>
    <mergeCell ref="P54:P55"/>
    <mergeCell ref="P56:P57"/>
    <mergeCell ref="M58:M59"/>
    <mergeCell ref="N58:N59"/>
    <mergeCell ref="O58:O59"/>
    <mergeCell ref="P58:P59"/>
    <mergeCell ref="C44:C45"/>
    <mergeCell ref="K44:K45"/>
    <mergeCell ref="L44:L45"/>
    <mergeCell ref="M44:M45"/>
    <mergeCell ref="N44:N45"/>
    <mergeCell ref="O44:O45"/>
    <mergeCell ref="P44:P45"/>
    <mergeCell ref="C86:C87"/>
    <mergeCell ref="K86:K87"/>
    <mergeCell ref="L86:L87"/>
    <mergeCell ref="M86:M87"/>
    <mergeCell ref="N86:N87"/>
    <mergeCell ref="O86:O87"/>
    <mergeCell ref="P86:P87"/>
    <mergeCell ref="C56:C57"/>
    <mergeCell ref="K56:K57"/>
    <mergeCell ref="L56:L57"/>
    <mergeCell ref="M56:M57"/>
    <mergeCell ref="N56:N57"/>
    <mergeCell ref="O56:O57"/>
    <mergeCell ref="P60:P61"/>
    <mergeCell ref="C62:C63"/>
    <mergeCell ref="K62:K63"/>
    <mergeCell ref="L62:L63"/>
    <mergeCell ref="C132:C133"/>
    <mergeCell ref="K132:K133"/>
    <mergeCell ref="L132:L133"/>
    <mergeCell ref="M132:M133"/>
    <mergeCell ref="N132:N133"/>
    <mergeCell ref="O132:O133"/>
    <mergeCell ref="P132:P133"/>
    <mergeCell ref="C130:C131"/>
    <mergeCell ref="K130:K131"/>
    <mergeCell ref="L130:L131"/>
    <mergeCell ref="M130:M131"/>
    <mergeCell ref="N130:N131"/>
    <mergeCell ref="O130:O131"/>
    <mergeCell ref="P130:P131"/>
  </mergeCells>
  <conditionalFormatting sqref="J6:J135">
    <cfRule type="cellIs" dxfId="6" priority="3" operator="greaterThan">
      <formula>100%</formula>
    </cfRule>
  </conditionalFormatting>
  <conditionalFormatting sqref="P6:P135">
    <cfRule type="cellIs" dxfId="5" priority="2" operator="greaterThan">
      <formula>95%</formula>
    </cfRule>
  </conditionalFormatting>
  <conditionalFormatting sqref="P6:P136">
    <cfRule type="cellIs" dxfId="4" priority="1" operator="greaterThan">
      <formula>0.9</formula>
    </cfRule>
    <cfRule type="dataBar" priority="44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{824A8C0D-66CE-4CF6-A1E2-619BDABC50F2}</x14:id>
        </ext>
      </extLst>
    </cfRule>
    <cfRule type="cellIs" dxfId="3" priority="449" operator="greaterThan">
      <formula>100%</formula>
    </cfRule>
  </conditionalFormatting>
  <conditionalFormatting sqref="J6:J136">
    <cfRule type="dataBar" priority="45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{E8994943-8764-4AB8-9ED0-EF85CC13C9CC}</x14:id>
        </ext>
      </extLst>
    </cfRule>
  </conditionalFormatting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24A8C0D-66CE-4CF6-A1E2-619BDABC50F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P6:P136</xm:sqref>
        </x14:conditionalFormatting>
        <x14:conditionalFormatting xmlns:xm="http://schemas.microsoft.com/office/excel/2006/main">
          <x14:cfRule type="dataBar" id="{E8994943-8764-4AB8-9ED0-EF85CC13C9C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J6:J136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V230"/>
  <sheetViews>
    <sheetView showGridLines="0" zoomScaleNormal="100" workbookViewId="0">
      <pane xSplit="3" ySplit="5" topLeftCell="D78" activePane="bottomRight" state="frozen"/>
      <selection pane="topRight" activeCell="D1" sqref="D1"/>
      <selection pane="bottomLeft" activeCell="A6" sqref="A6"/>
      <selection pane="bottomRight" activeCell="F80" sqref="F80"/>
    </sheetView>
  </sheetViews>
  <sheetFormatPr baseColWidth="10" defaultColWidth="11.42578125" defaultRowHeight="12.75" x14ac:dyDescent="0.2"/>
  <cols>
    <col min="1" max="1" width="5.7109375" style="90" customWidth="1"/>
    <col min="2" max="2" width="13.85546875" style="90" customWidth="1"/>
    <col min="3" max="3" width="33" style="90" bestFit="1" customWidth="1"/>
    <col min="4" max="4" width="8.7109375" style="90" customWidth="1"/>
    <col min="5" max="5" width="19" style="94" customWidth="1"/>
    <col min="6" max="6" width="15.5703125" style="94" customWidth="1"/>
    <col min="7" max="7" width="18" style="90" customWidth="1"/>
    <col min="8" max="8" width="12.42578125" style="90" customWidth="1"/>
    <col min="9" max="9" width="10.5703125" style="90" customWidth="1"/>
    <col min="10" max="10" width="12" style="90" customWidth="1"/>
    <col min="11" max="11" width="19" style="90" bestFit="1" customWidth="1"/>
    <col min="12" max="12" width="15.5703125" style="90" bestFit="1" customWidth="1"/>
    <col min="13" max="13" width="18" style="90" bestFit="1" customWidth="1"/>
    <col min="14" max="14" width="12.42578125" style="90" bestFit="1" customWidth="1"/>
    <col min="15" max="15" width="10.5703125" style="90" bestFit="1" customWidth="1"/>
    <col min="16" max="16" width="10.42578125" style="90" bestFit="1" customWidth="1"/>
    <col min="17" max="16384" width="11.42578125" style="90"/>
  </cols>
  <sheetData>
    <row r="1" spans="2:16" ht="13.5" thickBot="1" x14ac:dyDescent="0.25"/>
    <row r="2" spans="2:16" ht="15" customHeight="1" x14ac:dyDescent="0.2">
      <c r="B2" s="311" t="s">
        <v>170</v>
      </c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3"/>
    </row>
    <row r="3" spans="2:16" ht="15.75" customHeight="1" thickBot="1" x14ac:dyDescent="0.25">
      <c r="B3" s="314">
        <f>'RESUMEN '!B3:J3</f>
        <v>44561</v>
      </c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  <c r="P3" s="316"/>
    </row>
    <row r="4" spans="2:16" ht="13.5" thickBot="1" x14ac:dyDescent="0.25"/>
    <row r="5" spans="2:16" ht="26.25" thickBot="1" x14ac:dyDescent="0.25">
      <c r="B5" s="101" t="s">
        <v>0</v>
      </c>
      <c r="C5" s="102" t="s">
        <v>35</v>
      </c>
      <c r="D5" s="102" t="s">
        <v>25</v>
      </c>
      <c r="E5" s="102" t="s">
        <v>2</v>
      </c>
      <c r="F5" s="102" t="s">
        <v>3</v>
      </c>
      <c r="G5" s="102" t="s">
        <v>4</v>
      </c>
      <c r="H5" s="102" t="s">
        <v>5</v>
      </c>
      <c r="I5" s="102" t="s">
        <v>6</v>
      </c>
      <c r="J5" s="103" t="s">
        <v>7</v>
      </c>
      <c r="K5" s="102" t="s">
        <v>2</v>
      </c>
      <c r="L5" s="102" t="s">
        <v>3</v>
      </c>
      <c r="M5" s="102" t="s">
        <v>4</v>
      </c>
      <c r="N5" s="102" t="s">
        <v>5</v>
      </c>
      <c r="O5" s="102" t="s">
        <v>6</v>
      </c>
      <c r="P5" s="104" t="s">
        <v>27</v>
      </c>
    </row>
    <row r="6" spans="2:16" x14ac:dyDescent="0.2">
      <c r="B6" s="363" t="s">
        <v>52</v>
      </c>
      <c r="C6" s="366" t="s">
        <v>36</v>
      </c>
      <c r="D6" s="110" t="s">
        <v>63</v>
      </c>
      <c r="E6" s="95">
        <f>1.33679+0.0351+0.108</f>
        <v>1.4798899999999999</v>
      </c>
      <c r="F6" s="96"/>
      <c r="G6" s="96">
        <f>E6+F6</f>
        <v>1.4798899999999999</v>
      </c>
      <c r="H6" s="128"/>
      <c r="I6" s="96">
        <f>G6-H6</f>
        <v>1.4798899999999999</v>
      </c>
      <c r="J6" s="97">
        <f>H6/G6</f>
        <v>0</v>
      </c>
      <c r="K6" s="330">
        <f>E6+E7</f>
        <v>1.64432</v>
      </c>
      <c r="L6" s="321">
        <f>F6+F7</f>
        <v>0</v>
      </c>
      <c r="M6" s="321">
        <f>K6+L6</f>
        <v>1.64432</v>
      </c>
      <c r="N6" s="321">
        <f>H6+H7</f>
        <v>0</v>
      </c>
      <c r="O6" s="321">
        <f>M6-N6</f>
        <v>1.64432</v>
      </c>
      <c r="P6" s="322">
        <f>N6/M6</f>
        <v>0</v>
      </c>
    </row>
    <row r="7" spans="2:16" x14ac:dyDescent="0.2">
      <c r="B7" s="364"/>
      <c r="C7" s="358"/>
      <c r="D7" s="111" t="s">
        <v>64</v>
      </c>
      <c r="E7" s="91">
        <f>0.14853+0.0039+0.012</f>
        <v>0.16442999999999999</v>
      </c>
      <c r="F7" s="92"/>
      <c r="G7" s="92">
        <f>E7+F7+I6</f>
        <v>1.64432</v>
      </c>
      <c r="H7" s="129"/>
      <c r="I7" s="92">
        <f>G7-H7</f>
        <v>1.64432</v>
      </c>
      <c r="J7" s="93">
        <f>H7/G7</f>
        <v>0</v>
      </c>
      <c r="K7" s="310"/>
      <c r="L7" s="306"/>
      <c r="M7" s="306"/>
      <c r="N7" s="306"/>
      <c r="O7" s="306"/>
      <c r="P7" s="307"/>
    </row>
    <row r="8" spans="2:16" x14ac:dyDescent="0.2">
      <c r="B8" s="364"/>
      <c r="C8" s="358" t="s">
        <v>37</v>
      </c>
      <c r="D8" s="111" t="s">
        <v>63</v>
      </c>
      <c r="E8" s="91">
        <f>0.50947+0.65913+0.15768+1.14779+0.0054+0.054+0.1215+0.07425+0.0432</f>
        <v>2.7724200000000003</v>
      </c>
      <c r="F8" s="92">
        <f>-Hoja1!F10-Hoja1!F14</f>
        <v>-0.17740300000000001</v>
      </c>
      <c r="G8" s="92">
        <f t="shared" ref="G8" si="0">E8+F8</f>
        <v>2.5950170000000004</v>
      </c>
      <c r="H8" s="129"/>
      <c r="I8" s="92">
        <f t="shared" ref="I8:I79" si="1">G8-H8</f>
        <v>2.5950170000000004</v>
      </c>
      <c r="J8" s="93">
        <f t="shared" ref="J8:J79" si="2">H8/G8</f>
        <v>0</v>
      </c>
      <c r="K8" s="310">
        <f>E8+E9</f>
        <v>3.0804700000000005</v>
      </c>
      <c r="L8" s="306">
        <f t="shared" ref="L8" si="3">F8+F9</f>
        <v>-0.17740300000000001</v>
      </c>
      <c r="M8" s="306">
        <f t="shared" ref="M8" si="4">K8+L8</f>
        <v>2.9030670000000005</v>
      </c>
      <c r="N8" s="306">
        <f t="shared" ref="N8" si="5">H8+H9</f>
        <v>0</v>
      </c>
      <c r="O8" s="306">
        <f t="shared" ref="O8" si="6">M8-N8</f>
        <v>2.9030670000000005</v>
      </c>
      <c r="P8" s="307">
        <f t="shared" ref="P8" si="7">N8/M8</f>
        <v>0</v>
      </c>
    </row>
    <row r="9" spans="2:16" x14ac:dyDescent="0.2">
      <c r="B9" s="364"/>
      <c r="C9" s="358"/>
      <c r="D9" s="111" t="s">
        <v>64</v>
      </c>
      <c r="E9" s="91">
        <f>0.05661+0.07324+0.01752+0.12753+0.0006+0.006+0.0135+0.00825+0.0048</f>
        <v>0.30805000000000005</v>
      </c>
      <c r="F9" s="92"/>
      <c r="G9" s="92">
        <f t="shared" ref="G9" si="8">E9+F9+I8</f>
        <v>2.9030670000000005</v>
      </c>
      <c r="H9" s="129"/>
      <c r="I9" s="92">
        <f t="shared" si="1"/>
        <v>2.9030670000000005</v>
      </c>
      <c r="J9" s="93">
        <f t="shared" si="2"/>
        <v>0</v>
      </c>
      <c r="K9" s="310"/>
      <c r="L9" s="306"/>
      <c r="M9" s="306"/>
      <c r="N9" s="306"/>
      <c r="O9" s="306"/>
      <c r="P9" s="307"/>
    </row>
    <row r="10" spans="2:16" x14ac:dyDescent="0.2">
      <c r="B10" s="364"/>
      <c r="C10" s="358" t="s">
        <v>38</v>
      </c>
      <c r="D10" s="111" t="s">
        <v>63</v>
      </c>
      <c r="E10" s="91">
        <f>0.00027</f>
        <v>2.7E-4</v>
      </c>
      <c r="F10" s="92"/>
      <c r="G10" s="92">
        <f t="shared" ref="G10" si="9">E10+F10</f>
        <v>2.7E-4</v>
      </c>
      <c r="H10" s="129"/>
      <c r="I10" s="92">
        <f t="shared" si="1"/>
        <v>2.7E-4</v>
      </c>
      <c r="J10" s="93">
        <f t="shared" si="2"/>
        <v>0</v>
      </c>
      <c r="K10" s="310">
        <f t="shared" ref="K10" si="10">E10+E11</f>
        <v>3.0000000000000003E-4</v>
      </c>
      <c r="L10" s="306">
        <f t="shared" ref="L10" si="11">F10+F11</f>
        <v>0</v>
      </c>
      <c r="M10" s="306">
        <f t="shared" ref="M10" si="12">K10+L10</f>
        <v>3.0000000000000003E-4</v>
      </c>
      <c r="N10" s="306">
        <f t="shared" ref="N10" si="13">H10+H11</f>
        <v>0</v>
      </c>
      <c r="O10" s="306">
        <f t="shared" ref="O10" si="14">M10-N10</f>
        <v>3.0000000000000003E-4</v>
      </c>
      <c r="P10" s="307">
        <f t="shared" ref="P10" si="15">N10/M10</f>
        <v>0</v>
      </c>
    </row>
    <row r="11" spans="2:16" x14ac:dyDescent="0.2">
      <c r="B11" s="364"/>
      <c r="C11" s="358"/>
      <c r="D11" s="111" t="s">
        <v>64</v>
      </c>
      <c r="E11" s="91">
        <f>0.00003</f>
        <v>3.0000000000000001E-5</v>
      </c>
      <c r="F11" s="92"/>
      <c r="G11" s="92">
        <f t="shared" ref="G11" si="16">E11+F11+I10</f>
        <v>3.0000000000000003E-4</v>
      </c>
      <c r="H11" s="129"/>
      <c r="I11" s="92">
        <f t="shared" si="1"/>
        <v>3.0000000000000003E-4</v>
      </c>
      <c r="J11" s="93">
        <f t="shared" si="2"/>
        <v>0</v>
      </c>
      <c r="K11" s="310"/>
      <c r="L11" s="306"/>
      <c r="M11" s="306"/>
      <c r="N11" s="306"/>
      <c r="O11" s="306"/>
      <c r="P11" s="307"/>
    </row>
    <row r="12" spans="2:16" x14ac:dyDescent="0.2">
      <c r="B12" s="364"/>
      <c r="C12" s="358" t="s">
        <v>39</v>
      </c>
      <c r="D12" s="111" t="s">
        <v>63</v>
      </c>
      <c r="E12" s="91">
        <f>1.31268+0.0405+0.0405+0.06075</f>
        <v>1.4544300000000001</v>
      </c>
      <c r="F12" s="92">
        <f>Hoja1!F13</f>
        <v>0.173681</v>
      </c>
      <c r="G12" s="92">
        <f t="shared" ref="G12" si="17">E12+F12</f>
        <v>1.6281110000000001</v>
      </c>
      <c r="H12" s="129"/>
      <c r="I12" s="92">
        <f t="shared" si="1"/>
        <v>1.6281110000000001</v>
      </c>
      <c r="J12" s="93">
        <f t="shared" si="2"/>
        <v>0</v>
      </c>
      <c r="K12" s="310">
        <f t="shared" ref="K12" si="18">E12+E13</f>
        <v>1.6160300000000001</v>
      </c>
      <c r="L12" s="306">
        <f t="shared" ref="L12" si="19">F12+F13</f>
        <v>0.173681</v>
      </c>
      <c r="M12" s="306">
        <f t="shared" ref="M12" si="20">K12+L12</f>
        <v>1.7897110000000001</v>
      </c>
      <c r="N12" s="306">
        <f t="shared" ref="N12" si="21">H12+H13</f>
        <v>0</v>
      </c>
      <c r="O12" s="306">
        <f t="shared" ref="O12" si="22">M12-N12</f>
        <v>1.7897110000000001</v>
      </c>
      <c r="P12" s="307">
        <f t="shared" ref="P12" si="23">N12/M12</f>
        <v>0</v>
      </c>
    </row>
    <row r="13" spans="2:16" x14ac:dyDescent="0.2">
      <c r="B13" s="364"/>
      <c r="C13" s="358"/>
      <c r="D13" s="111" t="s">
        <v>64</v>
      </c>
      <c r="E13" s="91">
        <f>0.14585+0.0045+0.0045+0.00675</f>
        <v>0.16160000000000002</v>
      </c>
      <c r="F13" s="92"/>
      <c r="G13" s="92">
        <f t="shared" ref="G13" si="24">E13+F13+I12</f>
        <v>1.7897110000000001</v>
      </c>
      <c r="H13" s="129"/>
      <c r="I13" s="92">
        <f t="shared" si="1"/>
        <v>1.7897110000000001</v>
      </c>
      <c r="J13" s="93">
        <f t="shared" si="2"/>
        <v>0</v>
      </c>
      <c r="K13" s="310"/>
      <c r="L13" s="306"/>
      <c r="M13" s="306"/>
      <c r="N13" s="306"/>
      <c r="O13" s="306"/>
      <c r="P13" s="307"/>
    </row>
    <row r="14" spans="2:16" x14ac:dyDescent="0.2">
      <c r="B14" s="364"/>
      <c r="C14" s="358" t="s">
        <v>40</v>
      </c>
      <c r="D14" s="111" t="s">
        <v>63</v>
      </c>
      <c r="E14" s="91">
        <f>0.00681+0.0405</f>
        <v>4.7310000000000005E-2</v>
      </c>
      <c r="F14" s="92"/>
      <c r="G14" s="92">
        <f t="shared" ref="G14" si="25">E14+F14</f>
        <v>4.7310000000000005E-2</v>
      </c>
      <c r="H14" s="129"/>
      <c r="I14" s="92">
        <f t="shared" si="1"/>
        <v>4.7310000000000005E-2</v>
      </c>
      <c r="J14" s="93">
        <f t="shared" si="2"/>
        <v>0</v>
      </c>
      <c r="K14" s="310">
        <f t="shared" ref="K14" si="26">E14+E15</f>
        <v>5.2570000000000006E-2</v>
      </c>
      <c r="L14" s="306">
        <f t="shared" ref="L14" si="27">F14+F15</f>
        <v>0</v>
      </c>
      <c r="M14" s="306">
        <f t="shared" ref="M14" si="28">K14+L14</f>
        <v>5.2570000000000006E-2</v>
      </c>
      <c r="N14" s="306">
        <f t="shared" ref="N14" si="29">H14+H15</f>
        <v>0</v>
      </c>
      <c r="O14" s="306">
        <f t="shared" ref="O14" si="30">M14-N14</f>
        <v>5.2570000000000006E-2</v>
      </c>
      <c r="P14" s="307">
        <f t="shared" ref="P14" si="31">N14/M14</f>
        <v>0</v>
      </c>
    </row>
    <row r="15" spans="2:16" x14ac:dyDescent="0.2">
      <c r="B15" s="364"/>
      <c r="C15" s="358"/>
      <c r="D15" s="111" t="s">
        <v>64</v>
      </c>
      <c r="E15" s="91">
        <f>0.00076+0.0045</f>
        <v>5.2599999999999999E-3</v>
      </c>
      <c r="F15" s="92"/>
      <c r="G15" s="92">
        <f t="shared" ref="G15" si="32">E15+F15+I14</f>
        <v>5.2570000000000006E-2</v>
      </c>
      <c r="H15" s="129"/>
      <c r="I15" s="92">
        <f t="shared" si="1"/>
        <v>5.2570000000000006E-2</v>
      </c>
      <c r="J15" s="93">
        <f t="shared" si="2"/>
        <v>0</v>
      </c>
      <c r="K15" s="310"/>
      <c r="L15" s="306"/>
      <c r="M15" s="306"/>
      <c r="N15" s="306"/>
      <c r="O15" s="306"/>
      <c r="P15" s="307"/>
    </row>
    <row r="16" spans="2:16" x14ac:dyDescent="0.2">
      <c r="B16" s="364"/>
      <c r="C16" s="358" t="s">
        <v>41</v>
      </c>
      <c r="D16" s="111" t="s">
        <v>63</v>
      </c>
      <c r="E16" s="91">
        <v>4.224E-2</v>
      </c>
      <c r="F16" s="92"/>
      <c r="G16" s="92">
        <f t="shared" ref="G16" si="33">E16+F16</f>
        <v>4.224E-2</v>
      </c>
      <c r="H16" s="129"/>
      <c r="I16" s="92">
        <f t="shared" si="1"/>
        <v>4.224E-2</v>
      </c>
      <c r="J16" s="93">
        <f t="shared" si="2"/>
        <v>0</v>
      </c>
      <c r="K16" s="310">
        <f t="shared" ref="K16" si="34">E16+E17</f>
        <v>4.6929999999999999E-2</v>
      </c>
      <c r="L16" s="306">
        <f t="shared" ref="L16" si="35">F16+F17</f>
        <v>0</v>
      </c>
      <c r="M16" s="306">
        <f t="shared" ref="M16" si="36">K16+L16</f>
        <v>4.6929999999999999E-2</v>
      </c>
      <c r="N16" s="306">
        <f t="shared" ref="N16" si="37">H16+H17</f>
        <v>0</v>
      </c>
      <c r="O16" s="306">
        <f t="shared" ref="O16" si="38">M16-N16</f>
        <v>4.6929999999999999E-2</v>
      </c>
      <c r="P16" s="307">
        <f t="shared" ref="P16" si="39">N16/M16</f>
        <v>0</v>
      </c>
    </row>
    <row r="17" spans="2:16" x14ac:dyDescent="0.2">
      <c r="B17" s="364"/>
      <c r="C17" s="358"/>
      <c r="D17" s="111" t="s">
        <v>64</v>
      </c>
      <c r="E17" s="91">
        <f>0.00469</f>
        <v>4.6899999999999997E-3</v>
      </c>
      <c r="F17" s="92"/>
      <c r="G17" s="92">
        <f t="shared" ref="G17" si="40">E17+F17+I16</f>
        <v>4.6929999999999999E-2</v>
      </c>
      <c r="H17" s="129"/>
      <c r="I17" s="92">
        <f t="shared" si="1"/>
        <v>4.6929999999999999E-2</v>
      </c>
      <c r="J17" s="93">
        <f t="shared" si="2"/>
        <v>0</v>
      </c>
      <c r="K17" s="310"/>
      <c r="L17" s="306"/>
      <c r="M17" s="306"/>
      <c r="N17" s="306"/>
      <c r="O17" s="306"/>
      <c r="P17" s="307"/>
    </row>
    <row r="18" spans="2:16" x14ac:dyDescent="0.2">
      <c r="B18" s="364"/>
      <c r="C18" s="358" t="s">
        <v>42</v>
      </c>
      <c r="D18" s="111" t="s">
        <v>63</v>
      </c>
      <c r="E18" s="91">
        <f>0.02555</f>
        <v>2.555E-2</v>
      </c>
      <c r="F18" s="92"/>
      <c r="G18" s="92">
        <f t="shared" ref="G18" si="41">E18+F18</f>
        <v>2.555E-2</v>
      </c>
      <c r="H18" s="129"/>
      <c r="I18" s="92">
        <f t="shared" si="1"/>
        <v>2.555E-2</v>
      </c>
      <c r="J18" s="93">
        <f t="shared" si="2"/>
        <v>0</v>
      </c>
      <c r="K18" s="310">
        <f t="shared" ref="K18" si="42">E18+E19</f>
        <v>2.8389999999999999E-2</v>
      </c>
      <c r="L18" s="306">
        <f t="shared" ref="L18" si="43">F18+F19</f>
        <v>0</v>
      </c>
      <c r="M18" s="306">
        <f t="shared" ref="M18" si="44">K18+L18</f>
        <v>2.8389999999999999E-2</v>
      </c>
      <c r="N18" s="306">
        <f t="shared" ref="N18" si="45">H18+H19</f>
        <v>0</v>
      </c>
      <c r="O18" s="306">
        <f t="shared" ref="O18" si="46">M18-N18</f>
        <v>2.8389999999999999E-2</v>
      </c>
      <c r="P18" s="307">
        <f t="shared" ref="P18" si="47">N18/M18</f>
        <v>0</v>
      </c>
    </row>
    <row r="19" spans="2:16" x14ac:dyDescent="0.2">
      <c r="B19" s="364"/>
      <c r="C19" s="358"/>
      <c r="D19" s="111" t="s">
        <v>64</v>
      </c>
      <c r="E19" s="91">
        <f>0.00284</f>
        <v>2.8400000000000001E-3</v>
      </c>
      <c r="F19" s="92"/>
      <c r="G19" s="92">
        <f t="shared" ref="G19" si="48">E19+F19+I18</f>
        <v>2.8389999999999999E-2</v>
      </c>
      <c r="H19" s="129"/>
      <c r="I19" s="92">
        <f t="shared" si="1"/>
        <v>2.8389999999999999E-2</v>
      </c>
      <c r="J19" s="93">
        <f t="shared" si="2"/>
        <v>0</v>
      </c>
      <c r="K19" s="310"/>
      <c r="L19" s="306"/>
      <c r="M19" s="306"/>
      <c r="N19" s="306"/>
      <c r="O19" s="306"/>
      <c r="P19" s="307"/>
    </row>
    <row r="20" spans="2:16" x14ac:dyDescent="0.2">
      <c r="B20" s="364"/>
      <c r="C20" s="358" t="s">
        <v>43</v>
      </c>
      <c r="D20" s="111" t="s">
        <v>63</v>
      </c>
      <c r="E20" s="91">
        <f>1.36594+0.3322+0.28042+0.0135+0.0135+0.0135+0.027+0.027+0.027+0.027+0.027+0.027+0.02115+0.01935+0.0405+0.0405+0.0405+0.0405+0.02295+0.01962+0.0675+0.108+0.0918</f>
        <v>2.693430000000002</v>
      </c>
      <c r="F20" s="92">
        <f>-Hoja1!F20+0.346</f>
        <v>1.2618999999999991E-2</v>
      </c>
      <c r="G20" s="92">
        <f t="shared" ref="G20" si="49">E20+F20</f>
        <v>2.7060490000000019</v>
      </c>
      <c r="H20" s="129"/>
      <c r="I20" s="92">
        <f t="shared" si="1"/>
        <v>2.7060490000000019</v>
      </c>
      <c r="J20" s="93">
        <f t="shared" si="2"/>
        <v>0</v>
      </c>
      <c r="K20" s="310">
        <f t="shared" ref="K20" si="50">E20+E21</f>
        <v>2.9927000000000019</v>
      </c>
      <c r="L20" s="306">
        <f t="shared" ref="L20" si="51">F20+F21</f>
        <v>1.2618999999999991E-2</v>
      </c>
      <c r="M20" s="306">
        <f t="shared" ref="M20" si="52">K20+L20</f>
        <v>3.0053190000000019</v>
      </c>
      <c r="N20" s="306">
        <f t="shared" ref="N20" si="53">H20+H21</f>
        <v>0</v>
      </c>
      <c r="O20" s="306">
        <f t="shared" ref="O20" si="54">M20-N20</f>
        <v>3.0053190000000019</v>
      </c>
      <c r="P20" s="307">
        <f t="shared" ref="P20" si="55">N20/M20</f>
        <v>0</v>
      </c>
    </row>
    <row r="21" spans="2:16" x14ac:dyDescent="0.2">
      <c r="B21" s="364"/>
      <c r="C21" s="358"/>
      <c r="D21" s="111" t="s">
        <v>64</v>
      </c>
      <c r="E21" s="91">
        <f>0.15177+0.03691+0.03116+0.0015+0.0015+0.0015+0.003+0.003+0.003+0.003+0.003+0.003+0.00235+0.00215+0.0045+0.0045+0.0045+0.0045+0.00255+0.00218+0.0075+0.012+0.0102</f>
        <v>0.29927000000000004</v>
      </c>
      <c r="F21" s="92"/>
      <c r="G21" s="92">
        <f t="shared" ref="G21" si="56">E21+F21+I20</f>
        <v>3.0053190000000019</v>
      </c>
      <c r="H21" s="129"/>
      <c r="I21" s="92">
        <f t="shared" si="1"/>
        <v>3.0053190000000019</v>
      </c>
      <c r="J21" s="93">
        <f t="shared" si="2"/>
        <v>0</v>
      </c>
      <c r="K21" s="310"/>
      <c r="L21" s="306"/>
      <c r="M21" s="306"/>
      <c r="N21" s="306"/>
      <c r="O21" s="306"/>
      <c r="P21" s="307"/>
    </row>
    <row r="22" spans="2:16" x14ac:dyDescent="0.2">
      <c r="B22" s="364"/>
      <c r="C22" s="358" t="s">
        <v>44</v>
      </c>
      <c r="D22" s="111" t="s">
        <v>63</v>
      </c>
      <c r="E22" s="91">
        <f>0.01395</f>
        <v>1.3950000000000001E-2</v>
      </c>
      <c r="F22" s="92"/>
      <c r="G22" s="92">
        <f t="shared" ref="G22" si="57">E22+F22</f>
        <v>1.3950000000000001E-2</v>
      </c>
      <c r="H22" s="129"/>
      <c r="I22" s="92">
        <f t="shared" si="1"/>
        <v>1.3950000000000001E-2</v>
      </c>
      <c r="J22" s="93">
        <f t="shared" si="2"/>
        <v>0</v>
      </c>
      <c r="K22" s="310">
        <f t="shared" ref="K22" si="58">E22+E23</f>
        <v>1.55E-2</v>
      </c>
      <c r="L22" s="306">
        <f t="shared" ref="L22" si="59">F22+F23</f>
        <v>0</v>
      </c>
      <c r="M22" s="306">
        <f t="shared" ref="M22" si="60">K22+L22</f>
        <v>1.55E-2</v>
      </c>
      <c r="N22" s="306">
        <f t="shared" ref="N22" si="61">H22+H23</f>
        <v>0</v>
      </c>
      <c r="O22" s="306">
        <f t="shared" ref="O22" si="62">M22-N22</f>
        <v>1.55E-2</v>
      </c>
      <c r="P22" s="307">
        <f t="shared" ref="P22" si="63">N22/M22</f>
        <v>0</v>
      </c>
    </row>
    <row r="23" spans="2:16" x14ac:dyDescent="0.2">
      <c r="B23" s="364"/>
      <c r="C23" s="358"/>
      <c r="D23" s="111" t="s">
        <v>64</v>
      </c>
      <c r="E23" s="91">
        <f>0.00155</f>
        <v>1.5499999999999999E-3</v>
      </c>
      <c r="F23" s="92"/>
      <c r="G23" s="92">
        <f t="shared" ref="G23" si="64">E23+F23+I22</f>
        <v>1.55E-2</v>
      </c>
      <c r="H23" s="129"/>
      <c r="I23" s="92">
        <f t="shared" si="1"/>
        <v>1.55E-2</v>
      </c>
      <c r="J23" s="93">
        <f t="shared" si="2"/>
        <v>0</v>
      </c>
      <c r="K23" s="310"/>
      <c r="L23" s="306"/>
      <c r="M23" s="306"/>
      <c r="N23" s="306"/>
      <c r="O23" s="306"/>
      <c r="P23" s="307"/>
    </row>
    <row r="24" spans="2:16" x14ac:dyDescent="0.2">
      <c r="B24" s="364"/>
      <c r="C24" s="358" t="s">
        <v>45</v>
      </c>
      <c r="D24" s="111" t="s">
        <v>63</v>
      </c>
      <c r="E24" s="91">
        <f>0.29237</f>
        <v>0.29237000000000002</v>
      </c>
      <c r="F24" s="92"/>
      <c r="G24" s="92">
        <f t="shared" ref="G24" si="65">E24+F24</f>
        <v>0.29237000000000002</v>
      </c>
      <c r="H24" s="129"/>
      <c r="I24" s="92">
        <f t="shared" si="1"/>
        <v>0.29237000000000002</v>
      </c>
      <c r="J24" s="93">
        <f t="shared" si="2"/>
        <v>0</v>
      </c>
      <c r="K24" s="310">
        <f t="shared" ref="K24" si="66">E24+E25</f>
        <v>0.32486000000000004</v>
      </c>
      <c r="L24" s="306">
        <f t="shared" ref="L24" si="67">F24+F25</f>
        <v>0</v>
      </c>
      <c r="M24" s="306">
        <f t="shared" ref="M24" si="68">K24+L24</f>
        <v>0.32486000000000004</v>
      </c>
      <c r="N24" s="306">
        <f t="shared" ref="N24" si="69">H24+H25</f>
        <v>0</v>
      </c>
      <c r="O24" s="306">
        <f t="shared" ref="O24" si="70">M24-N24</f>
        <v>0.32486000000000004</v>
      </c>
      <c r="P24" s="307">
        <f t="shared" ref="P24" si="71">N24/M24</f>
        <v>0</v>
      </c>
    </row>
    <row r="25" spans="2:16" x14ac:dyDescent="0.2">
      <c r="B25" s="364"/>
      <c r="C25" s="358"/>
      <c r="D25" s="111" t="s">
        <v>64</v>
      </c>
      <c r="E25" s="91">
        <f>0.03249</f>
        <v>3.2489999999999998E-2</v>
      </c>
      <c r="F25" s="92"/>
      <c r="G25" s="92">
        <f t="shared" ref="G25" si="72">E25+F25+I24</f>
        <v>0.32486000000000004</v>
      </c>
      <c r="H25" s="129"/>
      <c r="I25" s="92">
        <f t="shared" si="1"/>
        <v>0.32486000000000004</v>
      </c>
      <c r="J25" s="93">
        <f t="shared" si="2"/>
        <v>0</v>
      </c>
      <c r="K25" s="310"/>
      <c r="L25" s="306"/>
      <c r="M25" s="306"/>
      <c r="N25" s="306"/>
      <c r="O25" s="306"/>
      <c r="P25" s="307"/>
    </row>
    <row r="26" spans="2:16" x14ac:dyDescent="0.2">
      <c r="B26" s="364"/>
      <c r="C26" s="358" t="s">
        <v>46</v>
      </c>
      <c r="D26" s="111" t="s">
        <v>63</v>
      </c>
      <c r="E26" s="91">
        <f>0.00027</f>
        <v>2.7E-4</v>
      </c>
      <c r="F26" s="92"/>
      <c r="G26" s="92">
        <f t="shared" ref="G26" si="73">E26+F26</f>
        <v>2.7E-4</v>
      </c>
      <c r="H26" s="129"/>
      <c r="I26" s="92">
        <f t="shared" si="1"/>
        <v>2.7E-4</v>
      </c>
      <c r="J26" s="93">
        <f t="shared" si="2"/>
        <v>0</v>
      </c>
      <c r="K26" s="310">
        <f t="shared" ref="K26" si="74">E26+E27</f>
        <v>3.0000000000000003E-4</v>
      </c>
      <c r="L26" s="306">
        <f t="shared" ref="L26" si="75">F26+F27</f>
        <v>0</v>
      </c>
      <c r="M26" s="306">
        <f t="shared" ref="M26" si="76">K26+L26</f>
        <v>3.0000000000000003E-4</v>
      </c>
      <c r="N26" s="306">
        <f t="shared" ref="N26" si="77">H26+H27</f>
        <v>0</v>
      </c>
      <c r="O26" s="306">
        <f t="shared" ref="O26" si="78">M26-N26</f>
        <v>3.0000000000000003E-4</v>
      </c>
      <c r="P26" s="307">
        <f t="shared" ref="P26" si="79">N26/M26</f>
        <v>0</v>
      </c>
    </row>
    <row r="27" spans="2:16" x14ac:dyDescent="0.2">
      <c r="B27" s="364"/>
      <c r="C27" s="358"/>
      <c r="D27" s="111" t="s">
        <v>64</v>
      </c>
      <c r="E27" s="91">
        <f>0.00003</f>
        <v>3.0000000000000001E-5</v>
      </c>
      <c r="F27" s="92"/>
      <c r="G27" s="92">
        <f t="shared" ref="G27" si="80">E27+F27+I26</f>
        <v>3.0000000000000003E-4</v>
      </c>
      <c r="H27" s="129"/>
      <c r="I27" s="92">
        <f t="shared" si="1"/>
        <v>3.0000000000000003E-4</v>
      </c>
      <c r="J27" s="93">
        <f t="shared" si="2"/>
        <v>0</v>
      </c>
      <c r="K27" s="310"/>
      <c r="L27" s="306"/>
      <c r="M27" s="306"/>
      <c r="N27" s="306"/>
      <c r="O27" s="306"/>
      <c r="P27" s="307"/>
    </row>
    <row r="28" spans="2:16" x14ac:dyDescent="0.2">
      <c r="B28" s="364"/>
      <c r="C28" s="358" t="s">
        <v>47</v>
      </c>
      <c r="D28" s="111" t="s">
        <v>63</v>
      </c>
      <c r="E28" s="91">
        <f>0.00018</f>
        <v>1.8000000000000001E-4</v>
      </c>
      <c r="F28" s="92">
        <f>Hoja1!F14</f>
        <v>0.175203</v>
      </c>
      <c r="G28" s="92">
        <f t="shared" ref="G28" si="81">E28+F28</f>
        <v>0.17538300000000001</v>
      </c>
      <c r="H28" s="129"/>
      <c r="I28" s="92">
        <f t="shared" si="1"/>
        <v>0.17538300000000001</v>
      </c>
      <c r="J28" s="93">
        <f t="shared" si="2"/>
        <v>0</v>
      </c>
      <c r="K28" s="310">
        <f t="shared" ref="K28" si="82">E28+E29</f>
        <v>2.0000000000000001E-4</v>
      </c>
      <c r="L28" s="306">
        <f t="shared" ref="L28" si="83">F28+F29</f>
        <v>0.175203</v>
      </c>
      <c r="M28" s="306">
        <f t="shared" ref="M28" si="84">K28+L28</f>
        <v>0.175403</v>
      </c>
      <c r="N28" s="306">
        <f t="shared" ref="N28" si="85">H28+H29</f>
        <v>0</v>
      </c>
      <c r="O28" s="306">
        <f t="shared" ref="O28" si="86">M28-N28</f>
        <v>0.175403</v>
      </c>
      <c r="P28" s="307">
        <f t="shared" ref="P28" si="87">N28/M28</f>
        <v>0</v>
      </c>
    </row>
    <row r="29" spans="2:16" x14ac:dyDescent="0.2">
      <c r="B29" s="364"/>
      <c r="C29" s="358"/>
      <c r="D29" s="111" t="s">
        <v>64</v>
      </c>
      <c r="E29" s="91">
        <f>0.00002</f>
        <v>2.0000000000000002E-5</v>
      </c>
      <c r="F29" s="92"/>
      <c r="G29" s="92">
        <f t="shared" ref="G29" si="88">E29+F29+I28</f>
        <v>0.175403</v>
      </c>
      <c r="H29" s="129"/>
      <c r="I29" s="92">
        <f t="shared" si="1"/>
        <v>0.175403</v>
      </c>
      <c r="J29" s="93">
        <f t="shared" si="2"/>
        <v>0</v>
      </c>
      <c r="K29" s="310"/>
      <c r="L29" s="306"/>
      <c r="M29" s="306"/>
      <c r="N29" s="306"/>
      <c r="O29" s="306"/>
      <c r="P29" s="307"/>
    </row>
    <row r="30" spans="2:16" x14ac:dyDescent="0.2">
      <c r="B30" s="364"/>
      <c r="C30" s="358" t="s">
        <v>48</v>
      </c>
      <c r="D30" s="111" t="s">
        <v>63</v>
      </c>
      <c r="E30" s="91">
        <f>0.16364</f>
        <v>0.16364000000000001</v>
      </c>
      <c r="F30" s="92">
        <f>-Hoja1!F13</f>
        <v>-0.173681</v>
      </c>
      <c r="G30" s="92">
        <f t="shared" ref="G30" si="89">E30+F30</f>
        <v>-1.0040999999999994E-2</v>
      </c>
      <c r="H30" s="129"/>
      <c r="I30" s="92">
        <f t="shared" si="1"/>
        <v>-1.0040999999999994E-2</v>
      </c>
      <c r="J30" s="93">
        <f t="shared" si="2"/>
        <v>0</v>
      </c>
      <c r="K30" s="310">
        <f t="shared" ref="K30" si="90">E30+E31</f>
        <v>0.18182000000000001</v>
      </c>
      <c r="L30" s="306">
        <f t="shared" ref="L30" si="91">F30+F31</f>
        <v>-0.173681</v>
      </c>
      <c r="M30" s="306">
        <f t="shared" ref="M30" si="92">K30+L30</f>
        <v>8.1390000000000073E-3</v>
      </c>
      <c r="N30" s="306">
        <f t="shared" ref="N30" si="93">H30+H31</f>
        <v>0</v>
      </c>
      <c r="O30" s="306">
        <f t="shared" ref="O30" si="94">M30-N30</f>
        <v>8.1390000000000073E-3</v>
      </c>
      <c r="P30" s="307">
        <f t="shared" ref="P30" si="95">N30/M30</f>
        <v>0</v>
      </c>
    </row>
    <row r="31" spans="2:16" x14ac:dyDescent="0.2">
      <c r="B31" s="364"/>
      <c r="C31" s="358"/>
      <c r="D31" s="111" t="s">
        <v>64</v>
      </c>
      <c r="E31" s="91">
        <f>0.01818</f>
        <v>1.8180000000000002E-2</v>
      </c>
      <c r="F31" s="92"/>
      <c r="G31" s="92">
        <f t="shared" ref="G31" si="96">E31+F31+I30</f>
        <v>8.1390000000000073E-3</v>
      </c>
      <c r="H31" s="129"/>
      <c r="I31" s="92">
        <f t="shared" si="1"/>
        <v>8.1390000000000073E-3</v>
      </c>
      <c r="J31" s="93">
        <f t="shared" si="2"/>
        <v>0</v>
      </c>
      <c r="K31" s="310"/>
      <c r="L31" s="306"/>
      <c r="M31" s="306"/>
      <c r="N31" s="306"/>
      <c r="O31" s="306"/>
      <c r="P31" s="307"/>
    </row>
    <row r="32" spans="2:16" x14ac:dyDescent="0.2">
      <c r="B32" s="364"/>
      <c r="C32" s="358" t="s">
        <v>49</v>
      </c>
      <c r="D32" s="111" t="s">
        <v>63</v>
      </c>
      <c r="E32" s="91">
        <f>0.00009</f>
        <v>9.0000000000000006E-5</v>
      </c>
      <c r="F32" s="92"/>
      <c r="G32" s="92">
        <f t="shared" ref="G32" si="97">E32+F32</f>
        <v>9.0000000000000006E-5</v>
      </c>
      <c r="H32" s="129"/>
      <c r="I32" s="92">
        <f t="shared" si="1"/>
        <v>9.0000000000000006E-5</v>
      </c>
      <c r="J32" s="93">
        <f t="shared" si="2"/>
        <v>0</v>
      </c>
      <c r="K32" s="310">
        <f t="shared" ref="K32" si="98">E32+E33</f>
        <v>1E-4</v>
      </c>
      <c r="L32" s="306">
        <f t="shared" ref="L32" si="99">F32+F33</f>
        <v>0</v>
      </c>
      <c r="M32" s="306">
        <f t="shared" ref="M32" si="100">K32+L32</f>
        <v>1E-4</v>
      </c>
      <c r="N32" s="306">
        <f t="shared" ref="N32" si="101">H32+H33</f>
        <v>0</v>
      </c>
      <c r="O32" s="306">
        <f t="shared" ref="O32" si="102">M32-N32</f>
        <v>1E-4</v>
      </c>
      <c r="P32" s="307">
        <f t="shared" ref="P32" si="103">N32/M32</f>
        <v>0</v>
      </c>
    </row>
    <row r="33" spans="2:16" x14ac:dyDescent="0.2">
      <c r="B33" s="364"/>
      <c r="C33" s="358"/>
      <c r="D33" s="111" t="s">
        <v>64</v>
      </c>
      <c r="E33" s="91">
        <f>0.00001</f>
        <v>1.0000000000000001E-5</v>
      </c>
      <c r="F33" s="92"/>
      <c r="G33" s="92">
        <f t="shared" ref="G33" si="104">E33+F33+I32</f>
        <v>1E-4</v>
      </c>
      <c r="H33" s="129"/>
      <c r="I33" s="92">
        <f t="shared" si="1"/>
        <v>1E-4</v>
      </c>
      <c r="J33" s="93">
        <f t="shared" si="2"/>
        <v>0</v>
      </c>
      <c r="K33" s="310"/>
      <c r="L33" s="306"/>
      <c r="M33" s="306"/>
      <c r="N33" s="306"/>
      <c r="O33" s="306"/>
      <c r="P33" s="307"/>
    </row>
    <row r="34" spans="2:16" x14ac:dyDescent="0.2">
      <c r="B34" s="364"/>
      <c r="C34" s="358" t="s">
        <v>50</v>
      </c>
      <c r="D34" s="111" t="s">
        <v>63</v>
      </c>
      <c r="E34" s="91">
        <f>0.00243</f>
        <v>2.4299999999999999E-3</v>
      </c>
      <c r="F34" s="92">
        <f>-Hoja1!F17</f>
        <v>-1.2999999999999999E-3</v>
      </c>
      <c r="G34" s="92">
        <f t="shared" ref="G34" si="105">E34+F34</f>
        <v>1.1299999999999999E-3</v>
      </c>
      <c r="H34" s="129"/>
      <c r="I34" s="92">
        <f t="shared" si="1"/>
        <v>1.1299999999999999E-3</v>
      </c>
      <c r="J34" s="93">
        <f t="shared" si="2"/>
        <v>0</v>
      </c>
      <c r="K34" s="310">
        <f t="shared" ref="K34" si="106">E34+E35</f>
        <v>2.6999999999999997E-3</v>
      </c>
      <c r="L34" s="306">
        <f t="shared" ref="L34" si="107">F34+F35</f>
        <v>-1.2999999999999999E-3</v>
      </c>
      <c r="M34" s="306">
        <f t="shared" ref="M34" si="108">K34+L34</f>
        <v>1.3999999999999998E-3</v>
      </c>
      <c r="N34" s="306">
        <f t="shared" ref="N34" si="109">H34+H35</f>
        <v>0</v>
      </c>
      <c r="O34" s="306">
        <f t="shared" ref="O34" si="110">M34-N34</f>
        <v>1.3999999999999998E-3</v>
      </c>
      <c r="P34" s="307">
        <f t="shared" ref="P34" si="111">N34/M34</f>
        <v>0</v>
      </c>
    </row>
    <row r="35" spans="2:16" x14ac:dyDescent="0.2">
      <c r="B35" s="364"/>
      <c r="C35" s="358"/>
      <c r="D35" s="111" t="s">
        <v>64</v>
      </c>
      <c r="E35" s="91">
        <f>0.00027</f>
        <v>2.7E-4</v>
      </c>
      <c r="F35" s="92"/>
      <c r="G35" s="92">
        <f t="shared" ref="G35" si="112">E35+F35+I34</f>
        <v>1.4E-3</v>
      </c>
      <c r="H35" s="129"/>
      <c r="I35" s="92">
        <f t="shared" si="1"/>
        <v>1.4E-3</v>
      </c>
      <c r="J35" s="93">
        <f t="shared" si="2"/>
        <v>0</v>
      </c>
      <c r="K35" s="310"/>
      <c r="L35" s="306"/>
      <c r="M35" s="306"/>
      <c r="N35" s="306"/>
      <c r="O35" s="306"/>
      <c r="P35" s="307"/>
    </row>
    <row r="36" spans="2:16" x14ac:dyDescent="0.2">
      <c r="B36" s="364"/>
      <c r="C36" s="358" t="s">
        <v>148</v>
      </c>
      <c r="D36" s="167" t="s">
        <v>63</v>
      </c>
      <c r="E36" s="231">
        <v>0</v>
      </c>
      <c r="F36" s="92">
        <f>Hoja1!F10</f>
        <v>2.2000000000000001E-3</v>
      </c>
      <c r="G36" s="92">
        <f t="shared" ref="G36" si="113">E36+F36</f>
        <v>2.2000000000000001E-3</v>
      </c>
      <c r="H36" s="129"/>
      <c r="I36" s="92">
        <f t="shared" ref="I36:I37" si="114">G36-H36</f>
        <v>2.2000000000000001E-3</v>
      </c>
      <c r="J36" s="93">
        <f>H36/G36</f>
        <v>0</v>
      </c>
      <c r="K36" s="310">
        <f t="shared" ref="K36" si="115">E36+E37</f>
        <v>2.7E-4</v>
      </c>
      <c r="L36" s="306">
        <f t="shared" ref="L36" si="116">F36+F37</f>
        <v>2.2000000000000001E-3</v>
      </c>
      <c r="M36" s="306">
        <f t="shared" ref="M36" si="117">K36+L36</f>
        <v>2.47E-3</v>
      </c>
      <c r="N36" s="306">
        <f t="shared" ref="N36" si="118">H36+H37</f>
        <v>0</v>
      </c>
      <c r="O36" s="306">
        <f t="shared" ref="O36" si="119">M36-N36</f>
        <v>2.47E-3</v>
      </c>
      <c r="P36" s="307">
        <f t="shared" ref="P36" si="120">N36/M36</f>
        <v>0</v>
      </c>
    </row>
    <row r="37" spans="2:16" x14ac:dyDescent="0.2">
      <c r="B37" s="364"/>
      <c r="C37" s="358"/>
      <c r="D37" s="167" t="s">
        <v>64</v>
      </c>
      <c r="E37" s="91">
        <f>0.00027</f>
        <v>2.7E-4</v>
      </c>
      <c r="F37" s="92"/>
      <c r="G37" s="92">
        <f t="shared" ref="G37" si="121">E37+F37+I36</f>
        <v>2.47E-3</v>
      </c>
      <c r="H37" s="129"/>
      <c r="I37" s="92">
        <f t="shared" si="114"/>
        <v>2.47E-3</v>
      </c>
      <c r="J37" s="93">
        <f>H37/G37</f>
        <v>0</v>
      </c>
      <c r="K37" s="310"/>
      <c r="L37" s="306"/>
      <c r="M37" s="306"/>
      <c r="N37" s="306"/>
      <c r="O37" s="306"/>
      <c r="P37" s="307"/>
    </row>
    <row r="38" spans="2:16" x14ac:dyDescent="0.2">
      <c r="B38" s="364"/>
      <c r="C38" s="358" t="s">
        <v>180</v>
      </c>
      <c r="D38" s="207" t="s">
        <v>63</v>
      </c>
      <c r="E38" s="91">
        <v>0</v>
      </c>
      <c r="F38" s="92">
        <f>Hoja1!F17</f>
        <v>1.2999999999999999E-3</v>
      </c>
      <c r="G38" s="92">
        <f t="shared" ref="G38" si="122">E38+F38</f>
        <v>1.2999999999999999E-3</v>
      </c>
      <c r="H38" s="129"/>
      <c r="I38" s="92">
        <f t="shared" ref="I38:I39" si="123">G38-H38</f>
        <v>1.2999999999999999E-3</v>
      </c>
      <c r="J38" s="93">
        <f>H38/G38</f>
        <v>0</v>
      </c>
      <c r="K38" s="310">
        <f t="shared" ref="K38" si="124">E38+E39</f>
        <v>2.7E-4</v>
      </c>
      <c r="L38" s="306">
        <f t="shared" ref="L38" si="125">F38+F39</f>
        <v>1.2999999999999999E-3</v>
      </c>
      <c r="M38" s="306">
        <f t="shared" ref="M38" si="126">K38+L38</f>
        <v>1.57E-3</v>
      </c>
      <c r="N38" s="306">
        <f t="shared" ref="N38" si="127">H38+H39</f>
        <v>0</v>
      </c>
      <c r="O38" s="306">
        <f t="shared" ref="O38" si="128">M38-N38</f>
        <v>1.57E-3</v>
      </c>
      <c r="P38" s="307">
        <f t="shared" ref="P38" si="129">N38/M38</f>
        <v>0</v>
      </c>
    </row>
    <row r="39" spans="2:16" x14ac:dyDescent="0.2">
      <c r="B39" s="364"/>
      <c r="C39" s="358"/>
      <c r="D39" s="207" t="s">
        <v>64</v>
      </c>
      <c r="E39" s="91">
        <f>0.00027</f>
        <v>2.7E-4</v>
      </c>
      <c r="F39" s="92"/>
      <c r="G39" s="92">
        <f t="shared" ref="G39" si="130">E39+F39+I38</f>
        <v>1.57E-3</v>
      </c>
      <c r="H39" s="129"/>
      <c r="I39" s="92">
        <f t="shared" si="123"/>
        <v>1.57E-3</v>
      </c>
      <c r="J39" s="93">
        <f>H39/G39</f>
        <v>0</v>
      </c>
      <c r="K39" s="310"/>
      <c r="L39" s="306"/>
      <c r="M39" s="306"/>
      <c r="N39" s="306"/>
      <c r="O39" s="306"/>
      <c r="P39" s="307"/>
    </row>
    <row r="40" spans="2:16" x14ac:dyDescent="0.2">
      <c r="B40" s="364"/>
      <c r="C40" s="358" t="s">
        <v>51</v>
      </c>
      <c r="D40" s="111" t="s">
        <v>63</v>
      </c>
      <c r="E40" s="91">
        <f>0.00009+0.01143</f>
        <v>1.1519999999999999E-2</v>
      </c>
      <c r="F40" s="92">
        <f>Hoja1!F20-0.346</f>
        <v>-1.2618999999999991E-2</v>
      </c>
      <c r="G40" s="92">
        <f t="shared" ref="G40" si="131">E40+F40</f>
        <v>-1.0989999999999923E-3</v>
      </c>
      <c r="H40" s="129"/>
      <c r="I40" s="92">
        <f t="shared" si="1"/>
        <v>-1.0989999999999923E-3</v>
      </c>
      <c r="J40" s="93">
        <f t="shared" si="2"/>
        <v>0</v>
      </c>
      <c r="K40" s="310">
        <f t="shared" ref="K40" si="132">E40+E41</f>
        <v>1.2799999999999999E-2</v>
      </c>
      <c r="L40" s="306">
        <f t="shared" ref="L40" si="133">F40+F41</f>
        <v>-1.2618999999999991E-2</v>
      </c>
      <c r="M40" s="306">
        <f t="shared" ref="M40" si="134">K40+L40</f>
        <v>1.8100000000000754E-4</v>
      </c>
      <c r="N40" s="306">
        <f t="shared" ref="N40" si="135">H40+H41</f>
        <v>0</v>
      </c>
      <c r="O40" s="306">
        <f t="shared" ref="O40" si="136">M40-N40</f>
        <v>1.8100000000000754E-4</v>
      </c>
      <c r="P40" s="307">
        <f t="shared" ref="P40" si="137">N40/M40</f>
        <v>0</v>
      </c>
    </row>
    <row r="41" spans="2:16" ht="13.5" thickBot="1" x14ac:dyDescent="0.25">
      <c r="B41" s="365"/>
      <c r="C41" s="359"/>
      <c r="D41" s="112" t="s">
        <v>64</v>
      </c>
      <c r="E41" s="98">
        <f>0.00001+0.00127</f>
        <v>1.2800000000000001E-3</v>
      </c>
      <c r="F41" s="99"/>
      <c r="G41" s="99">
        <f t="shared" ref="G41" si="138">E41+F41+I40</f>
        <v>1.8100000000000776E-4</v>
      </c>
      <c r="H41" s="98"/>
      <c r="I41" s="99">
        <f t="shared" si="1"/>
        <v>1.8100000000000776E-4</v>
      </c>
      <c r="J41" s="100">
        <f t="shared" si="2"/>
        <v>0</v>
      </c>
      <c r="K41" s="336"/>
      <c r="L41" s="324"/>
      <c r="M41" s="324"/>
      <c r="N41" s="324"/>
      <c r="O41" s="324"/>
      <c r="P41" s="325"/>
    </row>
    <row r="42" spans="2:16" x14ac:dyDescent="0.2">
      <c r="B42" s="317" t="s">
        <v>53</v>
      </c>
      <c r="C42" s="320" t="s">
        <v>36</v>
      </c>
      <c r="D42" s="116" t="s">
        <v>63</v>
      </c>
      <c r="E42" s="95">
        <f>53.76862+1.4118+4.344</f>
        <v>59.524419999999999</v>
      </c>
      <c r="F42" s="96">
        <v>-43</v>
      </c>
      <c r="G42" s="96">
        <f t="shared" ref="G42" si="139">E42+F42</f>
        <v>16.524419999999999</v>
      </c>
      <c r="H42" s="95">
        <v>13.175000000000001</v>
      </c>
      <c r="I42" s="96">
        <f t="shared" si="1"/>
        <v>3.3494199999999985</v>
      </c>
      <c r="J42" s="97">
        <f t="shared" si="2"/>
        <v>0.79730483732560664</v>
      </c>
      <c r="K42" s="330">
        <f t="shared" ref="K42" si="140">E42+E43</f>
        <v>66.101699999999994</v>
      </c>
      <c r="L42" s="321">
        <f t="shared" ref="L42" si="141">F42+F43</f>
        <v>-43</v>
      </c>
      <c r="M42" s="321">
        <f t="shared" ref="M42" si="142">K42+L42</f>
        <v>23.101699999999994</v>
      </c>
      <c r="N42" s="321">
        <f t="shared" ref="N42" si="143">H42+H43</f>
        <v>18.091999999999999</v>
      </c>
      <c r="O42" s="321">
        <f t="shared" ref="O42" si="144">M42-N42</f>
        <v>5.0096999999999952</v>
      </c>
      <c r="P42" s="322">
        <f t="shared" ref="P42" si="145">N42/M42</f>
        <v>0.78314582909482866</v>
      </c>
    </row>
    <row r="43" spans="2:16" x14ac:dyDescent="0.2">
      <c r="B43" s="318"/>
      <c r="C43" s="308"/>
      <c r="D43" s="117" t="s">
        <v>64</v>
      </c>
      <c r="E43" s="91">
        <f>5.94128+0.156+0.48</f>
        <v>6.57728</v>
      </c>
      <c r="F43" s="92"/>
      <c r="G43" s="92">
        <f t="shared" ref="G43" si="146">E43+F43+I42</f>
        <v>9.9266999999999985</v>
      </c>
      <c r="H43" s="91">
        <v>4.9169999999999998</v>
      </c>
      <c r="I43" s="92">
        <f t="shared" si="1"/>
        <v>5.0096999999999987</v>
      </c>
      <c r="J43" s="93">
        <f t="shared" si="2"/>
        <v>0.49533077457765429</v>
      </c>
      <c r="K43" s="310"/>
      <c r="L43" s="306"/>
      <c r="M43" s="306"/>
      <c r="N43" s="306"/>
      <c r="O43" s="306"/>
      <c r="P43" s="307"/>
    </row>
    <row r="44" spans="2:16" x14ac:dyDescent="0.2">
      <c r="B44" s="318"/>
      <c r="C44" s="308" t="s">
        <v>37</v>
      </c>
      <c r="D44" s="117" t="s">
        <v>63</v>
      </c>
      <c r="E44" s="91">
        <f>20.49213+26.51176+6.34235+46.16651+0.2172+2.172+4.887+2.9865+1.7376</f>
        <v>111.51305000000001</v>
      </c>
      <c r="F44" s="92">
        <f>-Hoja1!G10-Hoja1!G14</f>
        <v>-7.1316005999999996</v>
      </c>
      <c r="G44" s="92">
        <f t="shared" ref="G44" si="147">E44+F44</f>
        <v>104.38144940000001</v>
      </c>
      <c r="H44" s="91">
        <v>19.814</v>
      </c>
      <c r="I44" s="92">
        <f t="shared" si="1"/>
        <v>84.567449400000015</v>
      </c>
      <c r="J44" s="93">
        <f t="shared" si="2"/>
        <v>0.18982300125064175</v>
      </c>
      <c r="K44" s="310">
        <f t="shared" ref="K44" si="148">E44+E45</f>
        <v>123.83493</v>
      </c>
      <c r="L44" s="306">
        <f t="shared" ref="L44" si="149">F44+F45</f>
        <v>-7.1316005999999996</v>
      </c>
      <c r="M44" s="306">
        <f t="shared" ref="M44" si="150">K44+L44</f>
        <v>116.7033294</v>
      </c>
      <c r="N44" s="306">
        <f t="shared" ref="N44" si="151">H44+H45</f>
        <v>19.814</v>
      </c>
      <c r="O44" s="306">
        <f t="shared" ref="O44" si="152">M44-N44</f>
        <v>96.889329400000008</v>
      </c>
      <c r="P44" s="307">
        <f t="shared" ref="P44" si="153">N44/M44</f>
        <v>0.16978093171693182</v>
      </c>
    </row>
    <row r="45" spans="2:16" x14ac:dyDescent="0.2">
      <c r="B45" s="318"/>
      <c r="C45" s="308"/>
      <c r="D45" s="117" t="s">
        <v>64</v>
      </c>
      <c r="E45" s="91">
        <f>2.26432+2.92948+0.70081+5.10127+0.024+0.24+0.54+0.33+0.192</f>
        <v>12.321879999999998</v>
      </c>
      <c r="F45" s="92"/>
      <c r="G45" s="92">
        <f t="shared" ref="G45" si="154">E45+F45+I44</f>
        <v>96.889329400000008</v>
      </c>
      <c r="H45" s="91"/>
      <c r="I45" s="92">
        <f t="shared" si="1"/>
        <v>96.889329400000008</v>
      </c>
      <c r="J45" s="93">
        <f t="shared" si="2"/>
        <v>0</v>
      </c>
      <c r="K45" s="310"/>
      <c r="L45" s="306"/>
      <c r="M45" s="306"/>
      <c r="N45" s="306"/>
      <c r="O45" s="306"/>
      <c r="P45" s="307"/>
    </row>
    <row r="46" spans="2:16" x14ac:dyDescent="0.2">
      <c r="B46" s="318"/>
      <c r="C46" s="308" t="s">
        <v>38</v>
      </c>
      <c r="D46" s="117" t="s">
        <v>63</v>
      </c>
      <c r="E46" s="91">
        <f>0.01086</f>
        <v>1.086E-2</v>
      </c>
      <c r="F46" s="92"/>
      <c r="G46" s="92">
        <f t="shared" ref="G46" si="155">E46+F46</f>
        <v>1.086E-2</v>
      </c>
      <c r="H46" s="91"/>
      <c r="I46" s="92">
        <f t="shared" si="1"/>
        <v>1.086E-2</v>
      </c>
      <c r="J46" s="93">
        <f t="shared" si="2"/>
        <v>0</v>
      </c>
      <c r="K46" s="310">
        <f t="shared" ref="K46" si="156">E46+E47</f>
        <v>1.206E-2</v>
      </c>
      <c r="L46" s="306">
        <f t="shared" ref="L46" si="157">F46+F47</f>
        <v>0</v>
      </c>
      <c r="M46" s="306">
        <f t="shared" ref="M46" si="158">K46+L46</f>
        <v>1.206E-2</v>
      </c>
      <c r="N46" s="306">
        <f t="shared" ref="N46" si="159">H46+H47</f>
        <v>0</v>
      </c>
      <c r="O46" s="306">
        <f t="shared" ref="O46" si="160">M46-N46</f>
        <v>1.206E-2</v>
      </c>
      <c r="P46" s="307">
        <f t="shared" ref="P46" si="161">N46/M46</f>
        <v>0</v>
      </c>
    </row>
    <row r="47" spans="2:16" x14ac:dyDescent="0.2">
      <c r="B47" s="318"/>
      <c r="C47" s="308"/>
      <c r="D47" s="117" t="s">
        <v>64</v>
      </c>
      <c r="E47" s="91">
        <f>0.0012</f>
        <v>1.1999999999999999E-3</v>
      </c>
      <c r="F47" s="92"/>
      <c r="G47" s="92">
        <f t="shared" ref="G47" si="162">E47+F47+I46</f>
        <v>1.206E-2</v>
      </c>
      <c r="H47" s="91"/>
      <c r="I47" s="92">
        <f t="shared" si="1"/>
        <v>1.206E-2</v>
      </c>
      <c r="J47" s="93">
        <f t="shared" si="2"/>
        <v>0</v>
      </c>
      <c r="K47" s="310"/>
      <c r="L47" s="306"/>
      <c r="M47" s="306"/>
      <c r="N47" s="306"/>
      <c r="O47" s="306"/>
      <c r="P47" s="307"/>
    </row>
    <row r="48" spans="2:16" x14ac:dyDescent="0.2">
      <c r="B48" s="318"/>
      <c r="C48" s="308" t="s">
        <v>39</v>
      </c>
      <c r="D48" s="117" t="s">
        <v>63</v>
      </c>
      <c r="E48" s="91">
        <f>52.79893+1.629+1.629+2.4435</f>
        <v>58.500429999999994</v>
      </c>
      <c r="F48" s="92">
        <f>16.153+Hoja1!G13</f>
        <v>23.134976199999997</v>
      </c>
      <c r="G48" s="92">
        <f t="shared" ref="G48" si="163">E48+F48</f>
        <v>81.635406199999991</v>
      </c>
      <c r="H48" s="91">
        <v>11.128</v>
      </c>
      <c r="I48" s="92">
        <f t="shared" si="1"/>
        <v>70.507406199999991</v>
      </c>
      <c r="J48" s="93">
        <f t="shared" si="2"/>
        <v>0.13631340270099621</v>
      </c>
      <c r="K48" s="310">
        <f t="shared" ref="K48" si="164">E48+E49</f>
        <v>64.964569999999995</v>
      </c>
      <c r="L48" s="306">
        <f t="shared" ref="L48" si="165">F48+F49</f>
        <v>23.134976199999997</v>
      </c>
      <c r="M48" s="306">
        <f t="shared" ref="M48" si="166">K48+L48</f>
        <v>88.099546199999992</v>
      </c>
      <c r="N48" s="306">
        <f t="shared" ref="N48" si="167">H48+H49</f>
        <v>11.483000000000001</v>
      </c>
      <c r="O48" s="306">
        <f t="shared" ref="O48" si="168">M48-N48</f>
        <v>76.616546199999988</v>
      </c>
      <c r="P48" s="307">
        <f>N48/M48</f>
        <v>0.13034119351684018</v>
      </c>
    </row>
    <row r="49" spans="2:16" x14ac:dyDescent="0.2">
      <c r="B49" s="318"/>
      <c r="C49" s="308"/>
      <c r="D49" s="117" t="s">
        <v>64</v>
      </c>
      <c r="E49" s="91">
        <f>5.83414+0.18+0.18+0.27</f>
        <v>6.4641399999999987</v>
      </c>
      <c r="F49" s="92"/>
      <c r="G49" s="92">
        <f t="shared" ref="G49" si="169">E49+F49+I48</f>
        <v>76.971546199999992</v>
      </c>
      <c r="H49" s="91">
        <v>0.35499999999999998</v>
      </c>
      <c r="I49" s="92">
        <f t="shared" si="1"/>
        <v>76.616546199999988</v>
      </c>
      <c r="J49" s="93">
        <f t="shared" si="2"/>
        <v>4.6120939168557331E-3</v>
      </c>
      <c r="K49" s="310"/>
      <c r="L49" s="306"/>
      <c r="M49" s="306"/>
      <c r="N49" s="306"/>
      <c r="O49" s="306"/>
      <c r="P49" s="307"/>
    </row>
    <row r="50" spans="2:16" x14ac:dyDescent="0.2">
      <c r="B50" s="318"/>
      <c r="C50" s="308" t="s">
        <v>40</v>
      </c>
      <c r="D50" s="117" t="s">
        <v>63</v>
      </c>
      <c r="E50" s="91">
        <f>0.27396+1.629</f>
        <v>1.90296</v>
      </c>
      <c r="F50" s="92"/>
      <c r="G50" s="92">
        <f t="shared" ref="G50" si="170">E50+F50</f>
        <v>1.90296</v>
      </c>
      <c r="H50" s="91"/>
      <c r="I50" s="92">
        <f t="shared" si="1"/>
        <v>1.90296</v>
      </c>
      <c r="J50" s="93">
        <f t="shared" si="2"/>
        <v>0</v>
      </c>
      <c r="K50" s="310">
        <f t="shared" ref="K50" si="171">E50+E51</f>
        <v>2.1132300000000002</v>
      </c>
      <c r="L50" s="306">
        <f t="shared" ref="L50" si="172">F50+F51</f>
        <v>0</v>
      </c>
      <c r="M50" s="306">
        <f t="shared" ref="M50" si="173">K50+L50</f>
        <v>2.1132300000000002</v>
      </c>
      <c r="N50" s="306">
        <f t="shared" ref="N50" si="174">H50+H51</f>
        <v>0</v>
      </c>
      <c r="O50" s="306">
        <f t="shared" ref="O50" si="175">M50-N50</f>
        <v>2.1132300000000002</v>
      </c>
      <c r="P50" s="307">
        <f t="shared" ref="P50" si="176">N50/M50</f>
        <v>0</v>
      </c>
    </row>
    <row r="51" spans="2:16" x14ac:dyDescent="0.2">
      <c r="B51" s="318"/>
      <c r="C51" s="308"/>
      <c r="D51" s="117" t="s">
        <v>64</v>
      </c>
      <c r="E51" s="91">
        <f>0.03027+0.18</f>
        <v>0.21026999999999998</v>
      </c>
      <c r="F51" s="92"/>
      <c r="G51" s="92">
        <f t="shared" ref="G51" si="177">E51+F51+I50</f>
        <v>2.1132300000000002</v>
      </c>
      <c r="H51" s="91"/>
      <c r="I51" s="92">
        <f t="shared" si="1"/>
        <v>2.1132300000000002</v>
      </c>
      <c r="J51" s="93">
        <f t="shared" si="2"/>
        <v>0</v>
      </c>
      <c r="K51" s="310"/>
      <c r="L51" s="306"/>
      <c r="M51" s="306"/>
      <c r="N51" s="306"/>
      <c r="O51" s="306"/>
      <c r="P51" s="307"/>
    </row>
    <row r="52" spans="2:16" x14ac:dyDescent="0.2">
      <c r="B52" s="318"/>
      <c r="C52" s="308" t="s">
        <v>41</v>
      </c>
      <c r="D52" s="117" t="s">
        <v>63</v>
      </c>
      <c r="E52" s="91">
        <f>1.69887</f>
        <v>1.6988700000000001</v>
      </c>
      <c r="F52" s="92"/>
      <c r="G52" s="92">
        <f t="shared" ref="G52" si="178">E52+F52</f>
        <v>1.6988700000000001</v>
      </c>
      <c r="H52" s="91"/>
      <c r="I52" s="92">
        <f t="shared" si="1"/>
        <v>1.6988700000000001</v>
      </c>
      <c r="J52" s="93">
        <f t="shared" si="2"/>
        <v>0</v>
      </c>
      <c r="K52" s="310">
        <f t="shared" ref="K52" si="179">E52+E53</f>
        <v>1.88659</v>
      </c>
      <c r="L52" s="306">
        <f t="shared" ref="L52" si="180">F52+F53</f>
        <v>0</v>
      </c>
      <c r="M52" s="306">
        <f t="shared" ref="M52" si="181">K52+L52</f>
        <v>1.88659</v>
      </c>
      <c r="N52" s="306">
        <f t="shared" ref="N52" si="182">H52+H53</f>
        <v>0</v>
      </c>
      <c r="O52" s="306">
        <f t="shared" ref="O52" si="183">M52-N52</f>
        <v>1.88659</v>
      </c>
      <c r="P52" s="307">
        <f t="shared" ref="P52" si="184">N52/M52</f>
        <v>0</v>
      </c>
    </row>
    <row r="53" spans="2:16" x14ac:dyDescent="0.2">
      <c r="B53" s="318"/>
      <c r="C53" s="308"/>
      <c r="D53" s="117" t="s">
        <v>64</v>
      </c>
      <c r="E53" s="91">
        <f>0.18772</f>
        <v>0.18772</v>
      </c>
      <c r="F53" s="92"/>
      <c r="G53" s="92">
        <f t="shared" ref="G53" si="185">E53+F53+I52</f>
        <v>1.88659</v>
      </c>
      <c r="H53" s="91"/>
      <c r="I53" s="92">
        <f t="shared" si="1"/>
        <v>1.88659</v>
      </c>
      <c r="J53" s="93">
        <f t="shared" si="2"/>
        <v>0</v>
      </c>
      <c r="K53" s="310"/>
      <c r="L53" s="306"/>
      <c r="M53" s="306"/>
      <c r="N53" s="306"/>
      <c r="O53" s="306"/>
      <c r="P53" s="307"/>
    </row>
    <row r="54" spans="2:16" x14ac:dyDescent="0.2">
      <c r="B54" s="318"/>
      <c r="C54" s="308" t="s">
        <v>42</v>
      </c>
      <c r="D54" s="117" t="s">
        <v>63</v>
      </c>
      <c r="E54" s="91">
        <f>1.02772</f>
        <v>1.02772</v>
      </c>
      <c r="F54" s="92"/>
      <c r="G54" s="92">
        <f t="shared" ref="G54" si="186">E54+F54</f>
        <v>1.02772</v>
      </c>
      <c r="H54" s="91"/>
      <c r="I54" s="92">
        <f t="shared" si="1"/>
        <v>1.02772</v>
      </c>
      <c r="J54" s="93">
        <f t="shared" si="2"/>
        <v>0</v>
      </c>
      <c r="K54" s="310">
        <f t="shared" ref="K54" si="187">E54+E55</f>
        <v>1.1412800000000001</v>
      </c>
      <c r="L54" s="306">
        <f t="shared" ref="L54" si="188">F54+F55</f>
        <v>0</v>
      </c>
      <c r="M54" s="306">
        <f t="shared" ref="M54" si="189">K54+L54</f>
        <v>1.1412800000000001</v>
      </c>
      <c r="N54" s="306">
        <f t="shared" ref="N54" si="190">H54+H55</f>
        <v>0</v>
      </c>
      <c r="O54" s="306">
        <f t="shared" ref="O54" si="191">M54-N54</f>
        <v>1.1412800000000001</v>
      </c>
      <c r="P54" s="307">
        <f t="shared" ref="P54" si="192">N54/M54</f>
        <v>0</v>
      </c>
    </row>
    <row r="55" spans="2:16" x14ac:dyDescent="0.2">
      <c r="B55" s="318"/>
      <c r="C55" s="308"/>
      <c r="D55" s="117" t="s">
        <v>64</v>
      </c>
      <c r="E55" s="91">
        <f>0.11356</f>
        <v>0.11355999999999999</v>
      </c>
      <c r="F55" s="92"/>
      <c r="G55" s="92">
        <f t="shared" ref="G55" si="193">E55+F55+I54</f>
        <v>1.1412800000000001</v>
      </c>
      <c r="H55" s="91"/>
      <c r="I55" s="92">
        <f t="shared" si="1"/>
        <v>1.1412800000000001</v>
      </c>
      <c r="J55" s="93">
        <f t="shared" si="2"/>
        <v>0</v>
      </c>
      <c r="K55" s="310"/>
      <c r="L55" s="306"/>
      <c r="M55" s="306"/>
      <c r="N55" s="306"/>
      <c r="O55" s="306"/>
      <c r="P55" s="307"/>
    </row>
    <row r="56" spans="2:16" x14ac:dyDescent="0.2">
      <c r="B56" s="318"/>
      <c r="C56" s="308" t="s">
        <v>43</v>
      </c>
      <c r="D56" s="117" t="s">
        <v>63</v>
      </c>
      <c r="E56" s="91">
        <f>54.9411+13.36189+11.27923+0.543+0.543+0.543+1.086+1.086+1.086+1.086+1.086+1.086+0.8507+0.7783+1.629+1.629+1.629+1.629+0.9231+0.78916+2.715+4.344+3.6924</f>
        <v>108.33588000000003</v>
      </c>
      <c r="F56" s="92">
        <f>-Hoja1!G12-Hoja1!G20+13.91246</f>
        <v>-79.489456200000006</v>
      </c>
      <c r="G56" s="92">
        <f t="shared" ref="G56" si="194">E56+F56</f>
        <v>28.846423800000025</v>
      </c>
      <c r="H56" s="91">
        <v>0.22</v>
      </c>
      <c r="I56" s="92">
        <f t="shared" si="1"/>
        <v>28.626423800000026</v>
      </c>
      <c r="J56" s="93">
        <f t="shared" si="2"/>
        <v>7.6265952939372616E-3</v>
      </c>
      <c r="K56" s="310">
        <f t="shared" ref="K56" si="195">E56+E57</f>
        <v>120.30669000000003</v>
      </c>
      <c r="L56" s="306">
        <f t="shared" ref="L56" si="196">F56+F57</f>
        <v>-79.489456200000006</v>
      </c>
      <c r="M56" s="306">
        <f t="shared" ref="M56" si="197">K56+L56</f>
        <v>40.817233800000025</v>
      </c>
      <c r="N56" s="306">
        <f t="shared" ref="N56" si="198">H56+H57</f>
        <v>0.22</v>
      </c>
      <c r="O56" s="306">
        <f t="shared" ref="O56" si="199">M56-N56</f>
        <v>40.597233800000026</v>
      </c>
      <c r="P56" s="307">
        <f t="shared" ref="P56" si="200">N56/M56</f>
        <v>5.3898801932040739E-3</v>
      </c>
    </row>
    <row r="57" spans="2:16" x14ac:dyDescent="0.2">
      <c r="B57" s="318"/>
      <c r="C57" s="308"/>
      <c r="D57" s="117" t="s">
        <v>64</v>
      </c>
      <c r="E57" s="91">
        <f>6.07084+1.47645+1.24632+0.06+0.06+0.06+0.12+0.12+0.12+0.12+0.12+0.12+0.094+0.086+0.18+0.18+0.18+0.18+0.102+0.0872+0.3+0.48+0.408</f>
        <v>11.970809999999995</v>
      </c>
      <c r="F57" s="92"/>
      <c r="G57" s="92">
        <f t="shared" ref="G57" si="201">E57+F57+I56</f>
        <v>40.597233800000019</v>
      </c>
      <c r="H57" s="91"/>
      <c r="I57" s="92">
        <f t="shared" si="1"/>
        <v>40.597233800000019</v>
      </c>
      <c r="J57" s="93">
        <f t="shared" si="2"/>
        <v>0</v>
      </c>
      <c r="K57" s="310"/>
      <c r="L57" s="306"/>
      <c r="M57" s="306"/>
      <c r="N57" s="306"/>
      <c r="O57" s="306"/>
      <c r="P57" s="307"/>
    </row>
    <row r="58" spans="2:16" x14ac:dyDescent="0.2">
      <c r="B58" s="318"/>
      <c r="C58" s="308" t="s">
        <v>44</v>
      </c>
      <c r="D58" s="117" t="s">
        <v>63</v>
      </c>
      <c r="E58" s="91">
        <v>0.56098999999999999</v>
      </c>
      <c r="F58" s="92"/>
      <c r="G58" s="92">
        <f t="shared" ref="G58" si="202">E58+F58</f>
        <v>0.56098999999999999</v>
      </c>
      <c r="H58" s="129"/>
      <c r="I58" s="92">
        <f t="shared" si="1"/>
        <v>0.56098999999999999</v>
      </c>
      <c r="J58" s="93">
        <f t="shared" si="2"/>
        <v>0</v>
      </c>
      <c r="K58" s="310">
        <f t="shared" ref="K58" si="203">E58+E59</f>
        <v>0.62297999999999998</v>
      </c>
      <c r="L58" s="306">
        <f t="shared" ref="L58" si="204">F58+F59</f>
        <v>0</v>
      </c>
      <c r="M58" s="306">
        <f t="shared" ref="M58" si="205">K58+L58</f>
        <v>0.62297999999999998</v>
      </c>
      <c r="N58" s="306">
        <f t="shared" ref="N58" si="206">H58+H59</f>
        <v>0</v>
      </c>
      <c r="O58" s="306">
        <f t="shared" ref="O58" si="207">M58-N58</f>
        <v>0.62297999999999998</v>
      </c>
      <c r="P58" s="307">
        <f t="shared" ref="P58" si="208">N58/M58</f>
        <v>0</v>
      </c>
    </row>
    <row r="59" spans="2:16" x14ac:dyDescent="0.2">
      <c r="B59" s="318"/>
      <c r="C59" s="308"/>
      <c r="D59" s="117" t="s">
        <v>64</v>
      </c>
      <c r="E59" s="91">
        <v>6.1990000000000003E-2</v>
      </c>
      <c r="F59" s="92"/>
      <c r="G59" s="92">
        <f t="shared" ref="G59" si="209">E59+F59+I58</f>
        <v>0.62297999999999998</v>
      </c>
      <c r="H59" s="129"/>
      <c r="I59" s="92">
        <f t="shared" si="1"/>
        <v>0.62297999999999998</v>
      </c>
      <c r="J59" s="93">
        <f t="shared" si="2"/>
        <v>0</v>
      </c>
      <c r="K59" s="310"/>
      <c r="L59" s="306"/>
      <c r="M59" s="306"/>
      <c r="N59" s="306"/>
      <c r="O59" s="306"/>
      <c r="P59" s="307"/>
    </row>
    <row r="60" spans="2:16" x14ac:dyDescent="0.2">
      <c r="B60" s="318"/>
      <c r="C60" s="308" t="s">
        <v>45</v>
      </c>
      <c r="D60" s="117" t="s">
        <v>63</v>
      </c>
      <c r="E60" s="91">
        <f>11.75982</f>
        <v>11.759819999999999</v>
      </c>
      <c r="F60" s="92"/>
      <c r="G60" s="92">
        <f t="shared" ref="G60" si="210">E60+F60</f>
        <v>11.759819999999999</v>
      </c>
      <c r="H60" s="129"/>
      <c r="I60" s="92">
        <f t="shared" si="1"/>
        <v>11.759819999999999</v>
      </c>
      <c r="J60" s="93">
        <f t="shared" si="2"/>
        <v>0</v>
      </c>
      <c r="K60" s="310">
        <f t="shared" ref="K60" si="211">E60+E61</f>
        <v>13.059249999999999</v>
      </c>
      <c r="L60" s="306">
        <f t="shared" ref="L60" si="212">F60+F61</f>
        <v>0</v>
      </c>
      <c r="M60" s="306">
        <f t="shared" ref="M60" si="213">K60+L60</f>
        <v>13.059249999999999</v>
      </c>
      <c r="N60" s="306">
        <f t="shared" ref="N60" si="214">H60+H61</f>
        <v>0</v>
      </c>
      <c r="O60" s="306">
        <f t="shared" ref="O60" si="215">M60-N60</f>
        <v>13.059249999999999</v>
      </c>
      <c r="P60" s="307">
        <f t="shared" ref="P60" si="216">N60/M60</f>
        <v>0</v>
      </c>
    </row>
    <row r="61" spans="2:16" x14ac:dyDescent="0.2">
      <c r="B61" s="318"/>
      <c r="C61" s="308"/>
      <c r="D61" s="117" t="s">
        <v>64</v>
      </c>
      <c r="E61" s="91">
        <f>1.29943</f>
        <v>1.2994300000000001</v>
      </c>
      <c r="F61" s="92"/>
      <c r="G61" s="92">
        <f t="shared" ref="G61" si="217">E61+F61+I60</f>
        <v>13.059249999999999</v>
      </c>
      <c r="H61" s="129"/>
      <c r="I61" s="92">
        <f t="shared" si="1"/>
        <v>13.059249999999999</v>
      </c>
      <c r="J61" s="93">
        <f t="shared" si="2"/>
        <v>0</v>
      </c>
      <c r="K61" s="310"/>
      <c r="L61" s="306"/>
      <c r="M61" s="306"/>
      <c r="N61" s="306"/>
      <c r="O61" s="306"/>
      <c r="P61" s="307"/>
    </row>
    <row r="62" spans="2:16" x14ac:dyDescent="0.2">
      <c r="B62" s="318"/>
      <c r="C62" s="308" t="s">
        <v>46</v>
      </c>
      <c r="D62" s="117" t="s">
        <v>63</v>
      </c>
      <c r="E62" s="91">
        <f>0.01086</f>
        <v>1.086E-2</v>
      </c>
      <c r="F62" s="92"/>
      <c r="G62" s="92">
        <f t="shared" ref="G62" si="218">E62+F62</f>
        <v>1.086E-2</v>
      </c>
      <c r="H62" s="129"/>
      <c r="I62" s="92">
        <f t="shared" si="1"/>
        <v>1.086E-2</v>
      </c>
      <c r="J62" s="93">
        <f t="shared" si="2"/>
        <v>0</v>
      </c>
      <c r="K62" s="310">
        <f t="shared" ref="K62" si="219">E62+E63</f>
        <v>1.206E-2</v>
      </c>
      <c r="L62" s="306">
        <f t="shared" ref="L62" si="220">F62+F63</f>
        <v>0</v>
      </c>
      <c r="M62" s="306">
        <f t="shared" ref="M62" si="221">K62+L62</f>
        <v>1.206E-2</v>
      </c>
      <c r="N62" s="306">
        <f t="shared" ref="N62" si="222">H62+H63</f>
        <v>0</v>
      </c>
      <c r="O62" s="306">
        <f t="shared" ref="O62" si="223">M62-N62</f>
        <v>1.206E-2</v>
      </c>
      <c r="P62" s="307">
        <f t="shared" ref="P62" si="224">N62/M62</f>
        <v>0</v>
      </c>
    </row>
    <row r="63" spans="2:16" x14ac:dyDescent="0.2">
      <c r="B63" s="318"/>
      <c r="C63" s="308"/>
      <c r="D63" s="117" t="s">
        <v>64</v>
      </c>
      <c r="E63" s="91">
        <v>1.1999999999999999E-3</v>
      </c>
      <c r="F63" s="92"/>
      <c r="G63" s="92">
        <f t="shared" ref="G63" si="225">E63+F63+I62</f>
        <v>1.206E-2</v>
      </c>
      <c r="H63" s="129"/>
      <c r="I63" s="92">
        <f t="shared" si="1"/>
        <v>1.206E-2</v>
      </c>
      <c r="J63" s="93">
        <f t="shared" si="2"/>
        <v>0</v>
      </c>
      <c r="K63" s="310"/>
      <c r="L63" s="306"/>
      <c r="M63" s="306"/>
      <c r="N63" s="306"/>
      <c r="O63" s="306"/>
      <c r="P63" s="307"/>
    </row>
    <row r="64" spans="2:16" x14ac:dyDescent="0.2">
      <c r="B64" s="318"/>
      <c r="C64" s="308" t="s">
        <v>47</v>
      </c>
      <c r="D64" s="117" t="s">
        <v>63</v>
      </c>
      <c r="E64" s="91">
        <f>0.00724</f>
        <v>7.2399999999999999E-3</v>
      </c>
      <c r="F64" s="92">
        <f>Hoja1!G14</f>
        <v>7.0431605999999993</v>
      </c>
      <c r="G64" s="92">
        <f t="shared" ref="G64" si="226">E64+F64</f>
        <v>7.0504005999999997</v>
      </c>
      <c r="H64" s="129"/>
      <c r="I64" s="92">
        <f t="shared" si="1"/>
        <v>7.0504005999999997</v>
      </c>
      <c r="J64" s="93">
        <f t="shared" si="2"/>
        <v>0</v>
      </c>
      <c r="K64" s="310">
        <f t="shared" ref="K64" si="227">E64+E65</f>
        <v>8.0400000000000003E-3</v>
      </c>
      <c r="L64" s="306">
        <f t="shared" ref="L64" si="228">F64+F65</f>
        <v>7.0431605999999993</v>
      </c>
      <c r="M64" s="306">
        <f t="shared" ref="M64" si="229">K64+L64</f>
        <v>7.0512005999999996</v>
      </c>
      <c r="N64" s="306">
        <f t="shared" ref="N64" si="230">H64+H65</f>
        <v>0</v>
      </c>
      <c r="O64" s="306">
        <f t="shared" ref="O64" si="231">M64-N64</f>
        <v>7.0512005999999996</v>
      </c>
      <c r="P64" s="307">
        <f t="shared" ref="P64" si="232">N64/M64</f>
        <v>0</v>
      </c>
    </row>
    <row r="65" spans="2:16" x14ac:dyDescent="0.2">
      <c r="B65" s="318"/>
      <c r="C65" s="308"/>
      <c r="D65" s="117" t="s">
        <v>64</v>
      </c>
      <c r="E65" s="91">
        <f>0.0008</f>
        <v>8.0000000000000004E-4</v>
      </c>
      <c r="F65" s="92"/>
      <c r="G65" s="92">
        <f t="shared" ref="G65" si="233">E65+F65+I64</f>
        <v>7.0512005999999996</v>
      </c>
      <c r="H65" s="129"/>
      <c r="I65" s="92">
        <f t="shared" si="1"/>
        <v>7.0512005999999996</v>
      </c>
      <c r="J65" s="93">
        <f t="shared" si="2"/>
        <v>0</v>
      </c>
      <c r="K65" s="310"/>
      <c r="L65" s="306"/>
      <c r="M65" s="306"/>
      <c r="N65" s="306"/>
      <c r="O65" s="306"/>
      <c r="P65" s="307"/>
    </row>
    <row r="66" spans="2:16" x14ac:dyDescent="0.2">
      <c r="B66" s="318"/>
      <c r="C66" s="308" t="s">
        <v>48</v>
      </c>
      <c r="D66" s="117" t="s">
        <v>63</v>
      </c>
      <c r="E66" s="91">
        <f>6.58207</f>
        <v>6.5820699999999999</v>
      </c>
      <c r="F66" s="92">
        <f>-Hoja1!G13</f>
        <v>-6.9819762000000001</v>
      </c>
      <c r="G66" s="92">
        <f t="shared" ref="G66" si="234">E66+F66</f>
        <v>-0.39990620000000021</v>
      </c>
      <c r="H66" s="129"/>
      <c r="I66" s="92">
        <f t="shared" si="1"/>
        <v>-0.39990620000000021</v>
      </c>
      <c r="J66" s="93">
        <f t="shared" si="2"/>
        <v>0</v>
      </c>
      <c r="K66" s="310">
        <f t="shared" ref="K66" si="235">E66+E67</f>
        <v>7.3093699999999995</v>
      </c>
      <c r="L66" s="306">
        <f t="shared" ref="L66" si="236">F66+F67</f>
        <v>-6.9819762000000001</v>
      </c>
      <c r="M66" s="306">
        <f t="shared" ref="M66" si="237">K66+L66</f>
        <v>0.3273937999999994</v>
      </c>
      <c r="N66" s="306">
        <f t="shared" ref="N66" si="238">H66+H67</f>
        <v>0</v>
      </c>
      <c r="O66" s="306">
        <f t="shared" ref="O66" si="239">M66-N66</f>
        <v>0.3273937999999994</v>
      </c>
      <c r="P66" s="307">
        <f t="shared" ref="P66" si="240">N66/M66</f>
        <v>0</v>
      </c>
    </row>
    <row r="67" spans="2:16" x14ac:dyDescent="0.2">
      <c r="B67" s="318"/>
      <c r="C67" s="308"/>
      <c r="D67" s="117" t="s">
        <v>64</v>
      </c>
      <c r="E67" s="91">
        <f>0.7273</f>
        <v>0.72729999999999995</v>
      </c>
      <c r="F67" s="92"/>
      <c r="G67" s="92">
        <f t="shared" ref="G67" si="241">E67+F67+I66</f>
        <v>0.32739379999999974</v>
      </c>
      <c r="H67" s="129"/>
      <c r="I67" s="92">
        <f t="shared" si="1"/>
        <v>0.32739379999999974</v>
      </c>
      <c r="J67" s="93">
        <f t="shared" si="2"/>
        <v>0</v>
      </c>
      <c r="K67" s="310"/>
      <c r="L67" s="306"/>
      <c r="M67" s="306"/>
      <c r="N67" s="306"/>
      <c r="O67" s="306"/>
      <c r="P67" s="307"/>
    </row>
    <row r="68" spans="2:16" x14ac:dyDescent="0.2">
      <c r="B68" s="318"/>
      <c r="C68" s="308" t="s">
        <v>49</v>
      </c>
      <c r="D68" s="117" t="s">
        <v>63</v>
      </c>
      <c r="E68" s="91">
        <f>0.00362</f>
        <v>3.62E-3</v>
      </c>
      <c r="F68" s="92"/>
      <c r="G68" s="92">
        <f t="shared" ref="G68" si="242">E68+F68</f>
        <v>3.62E-3</v>
      </c>
      <c r="H68" s="129"/>
      <c r="I68" s="92">
        <f t="shared" si="1"/>
        <v>3.62E-3</v>
      </c>
      <c r="J68" s="93">
        <f t="shared" si="2"/>
        <v>0</v>
      </c>
      <c r="K68" s="310">
        <f t="shared" ref="K68" si="243">E68+E69</f>
        <v>4.0200000000000001E-3</v>
      </c>
      <c r="L68" s="306">
        <f t="shared" ref="L68" si="244">F68+F69</f>
        <v>0</v>
      </c>
      <c r="M68" s="306">
        <f t="shared" ref="M68" si="245">K68+L68</f>
        <v>4.0200000000000001E-3</v>
      </c>
      <c r="N68" s="306">
        <f t="shared" ref="N68" si="246">H68+H69</f>
        <v>0</v>
      </c>
      <c r="O68" s="306">
        <f t="shared" ref="O68" si="247">M68-N68</f>
        <v>4.0200000000000001E-3</v>
      </c>
      <c r="P68" s="307">
        <f t="shared" ref="P68" si="248">N68/M68</f>
        <v>0</v>
      </c>
    </row>
    <row r="69" spans="2:16" x14ac:dyDescent="0.2">
      <c r="B69" s="318"/>
      <c r="C69" s="308"/>
      <c r="D69" s="117" t="s">
        <v>64</v>
      </c>
      <c r="E69" s="91">
        <f>0.0004</f>
        <v>4.0000000000000002E-4</v>
      </c>
      <c r="F69" s="92"/>
      <c r="G69" s="92">
        <f t="shared" ref="G69" si="249">E69+F69+I68</f>
        <v>4.0200000000000001E-3</v>
      </c>
      <c r="H69" s="129"/>
      <c r="I69" s="92">
        <f t="shared" si="1"/>
        <v>4.0200000000000001E-3</v>
      </c>
      <c r="J69" s="93">
        <f t="shared" si="2"/>
        <v>0</v>
      </c>
      <c r="K69" s="310"/>
      <c r="L69" s="306"/>
      <c r="M69" s="306"/>
      <c r="N69" s="306"/>
      <c r="O69" s="306"/>
      <c r="P69" s="307"/>
    </row>
    <row r="70" spans="2:16" x14ac:dyDescent="0.2">
      <c r="B70" s="318"/>
      <c r="C70" s="308" t="s">
        <v>50</v>
      </c>
      <c r="D70" s="117" t="s">
        <v>63</v>
      </c>
      <c r="E70" s="91">
        <f>0.09774</f>
        <v>9.7739999999999994E-2</v>
      </c>
      <c r="F70" s="92">
        <f>-Hoja1!G17</f>
        <v>-5.2259999999999994E-2</v>
      </c>
      <c r="G70" s="92">
        <f t="shared" ref="G70" si="250">E70+F70</f>
        <v>4.548E-2</v>
      </c>
      <c r="H70" s="129"/>
      <c r="I70" s="92">
        <f t="shared" si="1"/>
        <v>4.548E-2</v>
      </c>
      <c r="J70" s="93">
        <f t="shared" si="2"/>
        <v>0</v>
      </c>
      <c r="K70" s="310">
        <f t="shared" ref="K70" si="251">E70+E71</f>
        <v>0.10854</v>
      </c>
      <c r="L70" s="306">
        <f t="shared" ref="L70" si="252">F70+F71</f>
        <v>-5.2259999999999994E-2</v>
      </c>
      <c r="M70" s="306">
        <f t="shared" ref="M70" si="253">K70+L70</f>
        <v>5.6280000000000004E-2</v>
      </c>
      <c r="N70" s="306">
        <f t="shared" ref="N70" si="254">H70+H71</f>
        <v>0</v>
      </c>
      <c r="O70" s="306">
        <f t="shared" ref="O70" si="255">M70-N70</f>
        <v>5.6280000000000004E-2</v>
      </c>
      <c r="P70" s="307">
        <f t="shared" ref="P70" si="256">N70/M70</f>
        <v>0</v>
      </c>
    </row>
    <row r="71" spans="2:16" x14ac:dyDescent="0.2">
      <c r="B71" s="318"/>
      <c r="C71" s="308"/>
      <c r="D71" s="117" t="s">
        <v>64</v>
      </c>
      <c r="E71" s="91">
        <v>1.0800000000000001E-2</v>
      </c>
      <c r="F71" s="92"/>
      <c r="G71" s="92">
        <f t="shared" ref="G71" si="257">E71+F71+I70</f>
        <v>5.6279999999999997E-2</v>
      </c>
      <c r="H71" s="129"/>
      <c r="I71" s="92">
        <f t="shared" si="1"/>
        <v>5.6279999999999997E-2</v>
      </c>
      <c r="J71" s="93">
        <f t="shared" si="2"/>
        <v>0</v>
      </c>
      <c r="K71" s="310"/>
      <c r="L71" s="306"/>
      <c r="M71" s="306"/>
      <c r="N71" s="306"/>
      <c r="O71" s="306"/>
      <c r="P71" s="307"/>
    </row>
    <row r="72" spans="2:16" x14ac:dyDescent="0.2">
      <c r="B72" s="318"/>
      <c r="C72" s="308" t="s">
        <v>148</v>
      </c>
      <c r="D72" s="163" t="s">
        <v>63</v>
      </c>
      <c r="E72" s="91">
        <v>0</v>
      </c>
      <c r="F72" s="92">
        <f>Hoja1!G10</f>
        <v>8.8440000000000005E-2</v>
      </c>
      <c r="G72" s="92">
        <f t="shared" ref="G72" si="258">E72+F72</f>
        <v>8.8440000000000005E-2</v>
      </c>
      <c r="H72" s="129"/>
      <c r="I72" s="92">
        <f t="shared" ref="I72:I73" si="259">G72-H72</f>
        <v>8.8440000000000005E-2</v>
      </c>
      <c r="J72" s="93">
        <f t="shared" ref="J72:J73" si="260">H72/G72</f>
        <v>0</v>
      </c>
      <c r="K72" s="310">
        <f t="shared" ref="K72" si="261">E72+E73</f>
        <v>0</v>
      </c>
      <c r="L72" s="306">
        <f t="shared" ref="L72" si="262">F72+F73</f>
        <v>8.8440000000000005E-2</v>
      </c>
      <c r="M72" s="306">
        <f t="shared" ref="M72" si="263">K72+L72</f>
        <v>8.8440000000000005E-2</v>
      </c>
      <c r="N72" s="306">
        <f t="shared" ref="N72" si="264">H72+H73</f>
        <v>0</v>
      </c>
      <c r="O72" s="306">
        <f t="shared" ref="O72" si="265">M72-N72</f>
        <v>8.8440000000000005E-2</v>
      </c>
      <c r="P72" s="307">
        <f t="shared" ref="P72" si="266">N72/M72</f>
        <v>0</v>
      </c>
    </row>
    <row r="73" spans="2:16" x14ac:dyDescent="0.2">
      <c r="B73" s="318"/>
      <c r="C73" s="308"/>
      <c r="D73" s="163" t="s">
        <v>64</v>
      </c>
      <c r="E73" s="91">
        <v>0</v>
      </c>
      <c r="F73" s="92"/>
      <c r="G73" s="92">
        <f t="shared" ref="G73" si="267">E73+F73+I72</f>
        <v>8.8440000000000005E-2</v>
      </c>
      <c r="H73" s="129"/>
      <c r="I73" s="92">
        <f t="shared" si="259"/>
        <v>8.8440000000000005E-2</v>
      </c>
      <c r="J73" s="93">
        <f t="shared" si="260"/>
        <v>0</v>
      </c>
      <c r="K73" s="310"/>
      <c r="L73" s="306"/>
      <c r="M73" s="306"/>
      <c r="N73" s="306"/>
      <c r="O73" s="306"/>
      <c r="P73" s="307"/>
    </row>
    <row r="74" spans="2:16" x14ac:dyDescent="0.2">
      <c r="B74" s="318"/>
      <c r="C74" s="308" t="s">
        <v>180</v>
      </c>
      <c r="D74" s="206" t="s">
        <v>63</v>
      </c>
      <c r="E74" s="91">
        <v>0</v>
      </c>
      <c r="F74" s="92">
        <f>Hoja1!G17</f>
        <v>5.2259999999999994E-2</v>
      </c>
      <c r="G74" s="92">
        <f t="shared" ref="G74" si="268">E74+F74</f>
        <v>5.2259999999999994E-2</v>
      </c>
      <c r="H74" s="129"/>
      <c r="I74" s="92">
        <f t="shared" ref="I74:I75" si="269">G74-H74</f>
        <v>5.2259999999999994E-2</v>
      </c>
      <c r="J74" s="93">
        <f t="shared" ref="J74:J75" si="270">H74/G74</f>
        <v>0</v>
      </c>
      <c r="K74" s="310">
        <f t="shared" ref="K74" si="271">E74+E75</f>
        <v>0</v>
      </c>
      <c r="L74" s="306">
        <f t="shared" ref="L74" si="272">F74+F75</f>
        <v>5.2259999999999994E-2</v>
      </c>
      <c r="M74" s="306">
        <f t="shared" ref="M74" si="273">K74+L74</f>
        <v>5.2259999999999994E-2</v>
      </c>
      <c r="N74" s="306">
        <f t="shared" ref="N74" si="274">H74+H75</f>
        <v>0</v>
      </c>
      <c r="O74" s="306">
        <f t="shared" ref="O74" si="275">M74-N74</f>
        <v>5.2259999999999994E-2</v>
      </c>
      <c r="P74" s="307">
        <f t="shared" ref="P74" si="276">N74/M74</f>
        <v>0</v>
      </c>
    </row>
    <row r="75" spans="2:16" x14ac:dyDescent="0.2">
      <c r="B75" s="318"/>
      <c r="C75" s="308"/>
      <c r="D75" s="206" t="s">
        <v>64</v>
      </c>
      <c r="E75" s="91">
        <v>0</v>
      </c>
      <c r="F75" s="92"/>
      <c r="G75" s="92">
        <f t="shared" ref="G75" si="277">E75+F75+I74</f>
        <v>5.2259999999999994E-2</v>
      </c>
      <c r="H75" s="129"/>
      <c r="I75" s="92">
        <f t="shared" si="269"/>
        <v>5.2259999999999994E-2</v>
      </c>
      <c r="J75" s="93">
        <f t="shared" si="270"/>
        <v>0</v>
      </c>
      <c r="K75" s="310"/>
      <c r="L75" s="306"/>
      <c r="M75" s="306"/>
      <c r="N75" s="306"/>
      <c r="O75" s="306"/>
      <c r="P75" s="307"/>
    </row>
    <row r="76" spans="2:16" x14ac:dyDescent="0.2">
      <c r="B76" s="318"/>
      <c r="C76" s="308" t="s">
        <v>51</v>
      </c>
      <c r="D76" s="117" t="s">
        <v>63</v>
      </c>
      <c r="E76" s="91">
        <f>0.00362+0.45974</f>
        <v>0.46335999999999999</v>
      </c>
      <c r="F76" s="92">
        <f>Hoja1!G20-13.91246</f>
        <v>-0.51054379999999888</v>
      </c>
      <c r="G76" s="92">
        <f t="shared" ref="G76" si="278">E76+F76</f>
        <v>-4.7183799999998888E-2</v>
      </c>
      <c r="H76" s="129"/>
      <c r="I76" s="92">
        <f t="shared" si="1"/>
        <v>-4.7183799999998888E-2</v>
      </c>
      <c r="J76" s="93">
        <f t="shared" si="2"/>
        <v>0</v>
      </c>
      <c r="K76" s="310">
        <f t="shared" ref="K76" si="279">E76+E77</f>
        <v>0.51456000000000002</v>
      </c>
      <c r="L76" s="306">
        <f t="shared" ref="L76" si="280">F76+F77</f>
        <v>-0.51054379999999888</v>
      </c>
      <c r="M76" s="306">
        <f t="shared" ref="M76" si="281">K76+L76</f>
        <v>4.0162000000011355E-3</v>
      </c>
      <c r="N76" s="306">
        <f t="shared" ref="N76" si="282">H76+H77</f>
        <v>0</v>
      </c>
      <c r="O76" s="306">
        <f t="shared" ref="O76" si="283">M76-N76</f>
        <v>4.0162000000011355E-3</v>
      </c>
      <c r="P76" s="307">
        <f t="shared" ref="P76" si="284">N76/M76</f>
        <v>0</v>
      </c>
    </row>
    <row r="77" spans="2:16" ht="13.5" thickBot="1" x14ac:dyDescent="0.25">
      <c r="B77" s="319"/>
      <c r="C77" s="323"/>
      <c r="D77" s="118" t="s">
        <v>64</v>
      </c>
      <c r="E77" s="98">
        <f>0.0004+0.0508</f>
        <v>5.1199999999999996E-2</v>
      </c>
      <c r="F77" s="99"/>
      <c r="G77" s="99">
        <f t="shared" ref="G77" si="285">E77+F77+I76</f>
        <v>4.0162000000011078E-3</v>
      </c>
      <c r="H77" s="130"/>
      <c r="I77" s="99">
        <f t="shared" si="1"/>
        <v>4.0162000000011078E-3</v>
      </c>
      <c r="J77" s="100">
        <f t="shared" si="2"/>
        <v>0</v>
      </c>
      <c r="K77" s="336"/>
      <c r="L77" s="324"/>
      <c r="M77" s="324"/>
      <c r="N77" s="324"/>
      <c r="O77" s="324"/>
      <c r="P77" s="325"/>
    </row>
    <row r="78" spans="2:16" x14ac:dyDescent="0.2">
      <c r="B78" s="326" t="s">
        <v>54</v>
      </c>
      <c r="C78" s="329" t="s">
        <v>36</v>
      </c>
      <c r="D78" s="113" t="s">
        <v>63</v>
      </c>
      <c r="E78" s="95">
        <f>151.79981+3.9858+12.264</f>
        <v>168.04961000000003</v>
      </c>
      <c r="F78" s="96"/>
      <c r="G78" s="96">
        <f t="shared" ref="G78" si="286">E78+F78</f>
        <v>168.04961000000003</v>
      </c>
      <c r="H78" s="95">
        <v>158.084</v>
      </c>
      <c r="I78" s="96">
        <f t="shared" si="1"/>
        <v>9.9656100000000265</v>
      </c>
      <c r="J78" s="97">
        <f t="shared" si="2"/>
        <v>0.9406984044771064</v>
      </c>
      <c r="K78" s="330">
        <f t="shared" ref="K78" si="287">E78+E79</f>
        <v>186.63044000000002</v>
      </c>
      <c r="L78" s="321">
        <f t="shared" ref="L78" si="288">F78+F79</f>
        <v>0</v>
      </c>
      <c r="M78" s="321">
        <f t="shared" ref="M78" si="289">K78+L78</f>
        <v>186.63044000000002</v>
      </c>
      <c r="N78" s="321">
        <f t="shared" ref="N78" si="290">H78+H79</f>
        <v>167.059</v>
      </c>
      <c r="O78" s="321">
        <f t="shared" ref="O78" si="291">M78-N78</f>
        <v>19.571440000000024</v>
      </c>
      <c r="P78" s="322">
        <f t="shared" ref="P78" si="292">N78/M78</f>
        <v>0.89513264824323391</v>
      </c>
    </row>
    <row r="79" spans="2:16" x14ac:dyDescent="0.2">
      <c r="B79" s="327"/>
      <c r="C79" s="309"/>
      <c r="D79" s="114" t="s">
        <v>64</v>
      </c>
      <c r="E79" s="91">
        <f>16.78413+0.4407+1.356</f>
        <v>18.580830000000002</v>
      </c>
      <c r="F79" s="92"/>
      <c r="G79" s="92">
        <f t="shared" ref="G79" si="293">E79+F79+I78</f>
        <v>28.546440000000029</v>
      </c>
      <c r="H79" s="91">
        <v>8.9749999999999996</v>
      </c>
      <c r="I79" s="92">
        <f t="shared" si="1"/>
        <v>19.571440000000031</v>
      </c>
      <c r="J79" s="93">
        <f t="shared" si="2"/>
        <v>0.31439997421745025</v>
      </c>
      <c r="K79" s="310"/>
      <c r="L79" s="306"/>
      <c r="M79" s="306"/>
      <c r="N79" s="306"/>
      <c r="O79" s="306"/>
      <c r="P79" s="307"/>
    </row>
    <row r="80" spans="2:16" x14ac:dyDescent="0.2">
      <c r="B80" s="327"/>
      <c r="C80" s="309" t="s">
        <v>37</v>
      </c>
      <c r="D80" s="114" t="s">
        <v>63</v>
      </c>
      <c r="E80" s="91">
        <f>57.85348+74.84811+17.90575+130.3375+0.6132+6.132+13.797+8.4315+4.9056</f>
        <v>314.82414</v>
      </c>
      <c r="F80" s="92">
        <f>-Hoja1!H10-Hoja1!H14</f>
        <v>-20.135240499999998</v>
      </c>
      <c r="G80" s="92">
        <f t="shared" ref="G80" si="294">E80+F80</f>
        <v>294.68889949999999</v>
      </c>
      <c r="H80" s="91">
        <f>99.564+5.961</f>
        <v>105.52499999999999</v>
      </c>
      <c r="I80" s="92">
        <f t="shared" ref="I80:I151" si="295">G80-H80</f>
        <v>189.16389950000001</v>
      </c>
      <c r="J80" s="93">
        <f t="shared" ref="J80:J151" si="296">H80/G80</f>
        <v>0.3580894977009475</v>
      </c>
      <c r="K80" s="310">
        <f t="shared" ref="K80" si="297">E80+E81</f>
        <v>349.63351</v>
      </c>
      <c r="L80" s="306">
        <f t="shared" ref="L80" si="298">F80+F81</f>
        <v>-20.135240499999998</v>
      </c>
      <c r="M80" s="306">
        <f t="shared" ref="M80" si="299">K80+L80</f>
        <v>329.49826949999999</v>
      </c>
      <c r="N80" s="306">
        <f t="shared" ref="N80" si="300">H80+H81</f>
        <v>168.82999999999998</v>
      </c>
      <c r="O80" s="306">
        <f t="shared" ref="O80" si="301">M80-N80</f>
        <v>160.66826950000001</v>
      </c>
      <c r="P80" s="307">
        <f t="shared" ref="P80" si="302">N80/M80</f>
        <v>0.51238508856569276</v>
      </c>
    </row>
    <row r="81" spans="2:22" x14ac:dyDescent="0.2">
      <c r="B81" s="327"/>
      <c r="C81" s="309"/>
      <c r="D81" s="114" t="s">
        <v>64</v>
      </c>
      <c r="E81" s="91">
        <f>6.39672+8.27577+1.97979+14.41109+0.0678+0.678+1.5255+0.9323+0.5424</f>
        <v>34.809369999999994</v>
      </c>
      <c r="F81" s="92"/>
      <c r="G81" s="92">
        <f t="shared" ref="G81" si="303">E81+F81+I80</f>
        <v>223.97326950000001</v>
      </c>
      <c r="H81" s="91">
        <v>63.305</v>
      </c>
      <c r="I81" s="92">
        <f t="shared" si="295"/>
        <v>160.66826950000001</v>
      </c>
      <c r="J81" s="93">
        <f t="shared" si="296"/>
        <v>0.28264533594264468</v>
      </c>
      <c r="K81" s="310"/>
      <c r="L81" s="306"/>
      <c r="M81" s="306"/>
      <c r="N81" s="306"/>
      <c r="O81" s="306"/>
      <c r="P81" s="307"/>
    </row>
    <row r="82" spans="2:22" x14ac:dyDescent="0.2">
      <c r="B82" s="327"/>
      <c r="C82" s="309" t="s">
        <v>38</v>
      </c>
      <c r="D82" s="114" t="s">
        <v>63</v>
      </c>
      <c r="E82" s="91">
        <f>0.03066</f>
        <v>3.066E-2</v>
      </c>
      <c r="F82" s="92"/>
      <c r="G82" s="92">
        <f t="shared" ref="G82" si="304">E82+F82</f>
        <v>3.066E-2</v>
      </c>
      <c r="H82" s="91"/>
      <c r="I82" s="92">
        <f t="shared" si="295"/>
        <v>3.066E-2</v>
      </c>
      <c r="J82" s="93">
        <f t="shared" si="296"/>
        <v>0</v>
      </c>
      <c r="K82" s="310">
        <f t="shared" ref="K82" si="305">E82+E83</f>
        <v>3.4049999999999997E-2</v>
      </c>
      <c r="L82" s="306">
        <f t="shared" ref="L82" si="306">F82+F83</f>
        <v>0</v>
      </c>
      <c r="M82" s="306">
        <f t="shared" ref="M82" si="307">K82+L82</f>
        <v>3.4049999999999997E-2</v>
      </c>
      <c r="N82" s="306">
        <f t="shared" ref="N82" si="308">H82+H83</f>
        <v>0</v>
      </c>
      <c r="O82" s="306">
        <f t="shared" ref="O82" si="309">M82-N82</f>
        <v>3.4049999999999997E-2</v>
      </c>
      <c r="P82" s="307">
        <f t="shared" ref="P82" si="310">N82/M82</f>
        <v>0</v>
      </c>
    </row>
    <row r="83" spans="2:22" x14ac:dyDescent="0.2">
      <c r="B83" s="327"/>
      <c r="C83" s="309"/>
      <c r="D83" s="114" t="s">
        <v>64</v>
      </c>
      <c r="E83" s="91">
        <f>0.00339</f>
        <v>3.3899999999999998E-3</v>
      </c>
      <c r="F83" s="92"/>
      <c r="G83" s="92">
        <f t="shared" ref="G83" si="311">E83+F83+I82</f>
        <v>3.4049999999999997E-2</v>
      </c>
      <c r="H83" s="91"/>
      <c r="I83" s="92">
        <f t="shared" si="295"/>
        <v>3.4049999999999997E-2</v>
      </c>
      <c r="J83" s="93">
        <f t="shared" si="296"/>
        <v>0</v>
      </c>
      <c r="K83" s="310"/>
      <c r="L83" s="306"/>
      <c r="M83" s="306"/>
      <c r="N83" s="306"/>
      <c r="O83" s="306"/>
      <c r="P83" s="307"/>
    </row>
    <row r="84" spans="2:22" x14ac:dyDescent="0.2">
      <c r="B84" s="327"/>
      <c r="C84" s="309" t="s">
        <v>39</v>
      </c>
      <c r="D84" s="114" t="s">
        <v>63</v>
      </c>
      <c r="E84" s="91">
        <f>149.06217+4.599+4.599+6.8985</f>
        <v>165.15867</v>
      </c>
      <c r="F84" s="92">
        <f>Hoja1!H13</f>
        <v>19.7127935</v>
      </c>
      <c r="G84" s="92">
        <f t="shared" ref="G84" si="312">E84+F84</f>
        <v>184.8714635</v>
      </c>
      <c r="H84" s="91">
        <v>90.629000000000005</v>
      </c>
      <c r="I84" s="92">
        <f t="shared" si="295"/>
        <v>94.242463499999999</v>
      </c>
      <c r="J84" s="93">
        <f t="shared" si="296"/>
        <v>0.49022709229539907</v>
      </c>
      <c r="K84" s="310">
        <f t="shared" ref="K84" si="313">E84+E85</f>
        <v>183.41990000000001</v>
      </c>
      <c r="L84" s="306">
        <f t="shared" ref="L84" si="314">F84+F85</f>
        <v>19.7127935</v>
      </c>
      <c r="M84" s="306">
        <f t="shared" ref="M84" si="315">K84+L84</f>
        <v>203.13269350000002</v>
      </c>
      <c r="N84" s="306">
        <f t="shared" ref="N84" si="316">H84+H85</f>
        <v>91.297000000000011</v>
      </c>
      <c r="O84" s="306">
        <f t="shared" ref="O84" si="317">M84-N84</f>
        <v>111.8356935</v>
      </c>
      <c r="P84" s="307">
        <f t="shared" ref="P84" si="318">N84/M84</f>
        <v>0.44944513080067044</v>
      </c>
    </row>
    <row r="85" spans="2:22" x14ac:dyDescent="0.2">
      <c r="B85" s="327"/>
      <c r="C85" s="309"/>
      <c r="D85" s="114" t="s">
        <v>64</v>
      </c>
      <c r="E85" s="91">
        <f>16.48143+0.5085+0.5085+0.7628</f>
        <v>18.261230000000001</v>
      </c>
      <c r="F85" s="92"/>
      <c r="G85" s="92">
        <f t="shared" ref="G85" si="319">E85+F85+I84</f>
        <v>112.5036935</v>
      </c>
      <c r="H85" s="91">
        <v>0.66800000000000004</v>
      </c>
      <c r="I85" s="92">
        <f t="shared" si="295"/>
        <v>111.83569349999999</v>
      </c>
      <c r="J85" s="93">
        <f t="shared" si="296"/>
        <v>5.937582840335816E-3</v>
      </c>
      <c r="K85" s="310"/>
      <c r="L85" s="306"/>
      <c r="M85" s="306"/>
      <c r="N85" s="306"/>
      <c r="O85" s="306"/>
      <c r="P85" s="307"/>
    </row>
    <row r="86" spans="2:22" x14ac:dyDescent="0.2">
      <c r="B86" s="327"/>
      <c r="C86" s="309" t="s">
        <v>40</v>
      </c>
      <c r="D86" s="114" t="s">
        <v>63</v>
      </c>
      <c r="E86" s="91">
        <f>0.77345+4.599</f>
        <v>5.3724500000000006</v>
      </c>
      <c r="F86" s="92"/>
      <c r="G86" s="92">
        <f t="shared" ref="G86" si="320">E86+F86</f>
        <v>5.3724500000000006</v>
      </c>
      <c r="H86" s="91"/>
      <c r="I86" s="92">
        <f t="shared" si="295"/>
        <v>5.3724500000000006</v>
      </c>
      <c r="J86" s="93">
        <f t="shared" si="296"/>
        <v>0</v>
      </c>
      <c r="K86" s="310">
        <f t="shared" ref="K86" si="321">E86+E87</f>
        <v>5.9664700000000011</v>
      </c>
      <c r="L86" s="306">
        <f t="shared" ref="L86" si="322">F86+F87</f>
        <v>0</v>
      </c>
      <c r="M86" s="306">
        <f t="shared" ref="M86" si="323">K86+L86</f>
        <v>5.9664700000000011</v>
      </c>
      <c r="N86" s="306">
        <f t="shared" ref="N86" si="324">H86+H87</f>
        <v>0</v>
      </c>
      <c r="O86" s="306">
        <f t="shared" ref="O86" si="325">M86-N86</f>
        <v>5.9664700000000011</v>
      </c>
      <c r="P86" s="307">
        <f t="shared" ref="P86" si="326">N86/M86</f>
        <v>0</v>
      </c>
    </row>
    <row r="87" spans="2:22" x14ac:dyDescent="0.2">
      <c r="B87" s="327"/>
      <c r="C87" s="309"/>
      <c r="D87" s="114" t="s">
        <v>64</v>
      </c>
      <c r="E87" s="91">
        <f>0.08552+0.5085</f>
        <v>0.59401999999999999</v>
      </c>
      <c r="F87" s="92"/>
      <c r="G87" s="92">
        <f t="shared" ref="G87" si="327">E87+F87+I86</f>
        <v>5.9664700000000011</v>
      </c>
      <c r="H87" s="91"/>
      <c r="I87" s="92">
        <f t="shared" si="295"/>
        <v>5.9664700000000011</v>
      </c>
      <c r="J87" s="93">
        <f t="shared" si="296"/>
        <v>0</v>
      </c>
      <c r="K87" s="310"/>
      <c r="L87" s="306"/>
      <c r="M87" s="306"/>
      <c r="N87" s="306"/>
      <c r="O87" s="306"/>
      <c r="P87" s="307"/>
    </row>
    <row r="88" spans="2:22" x14ac:dyDescent="0.2">
      <c r="B88" s="327"/>
      <c r="C88" s="309" t="s">
        <v>41</v>
      </c>
      <c r="D88" s="114" t="s">
        <v>63</v>
      </c>
      <c r="E88" s="91">
        <f>4.79625</f>
        <v>4.7962499999999997</v>
      </c>
      <c r="F88" s="92"/>
      <c r="G88" s="92">
        <f t="shared" ref="G88" si="328">E88+F88</f>
        <v>4.7962499999999997</v>
      </c>
      <c r="H88" s="91">
        <v>2.1549999999999998</v>
      </c>
      <c r="I88" s="92">
        <f t="shared" si="295"/>
        <v>2.6412499999999999</v>
      </c>
      <c r="J88" s="93">
        <f t="shared" si="296"/>
        <v>0.44930935626791763</v>
      </c>
      <c r="K88" s="310">
        <f t="shared" ref="K88" si="329">E88+E89</f>
        <v>5.3265599999999997</v>
      </c>
      <c r="L88" s="306">
        <f t="shared" ref="L88" si="330">F88+F89</f>
        <v>0</v>
      </c>
      <c r="M88" s="306">
        <f t="shared" ref="M88" si="331">K88+L88</f>
        <v>5.3265599999999997</v>
      </c>
      <c r="N88" s="306">
        <f t="shared" ref="N88" si="332">H88+H89</f>
        <v>2.1549999999999998</v>
      </c>
      <c r="O88" s="306">
        <f t="shared" ref="O88" si="333">M88-N88</f>
        <v>3.1715599999999999</v>
      </c>
      <c r="P88" s="307">
        <f t="shared" ref="P88" si="334">N88/M88</f>
        <v>0.40457631191613347</v>
      </c>
    </row>
    <row r="89" spans="2:22" x14ac:dyDescent="0.2">
      <c r="B89" s="327"/>
      <c r="C89" s="309"/>
      <c r="D89" s="114" t="s">
        <v>64</v>
      </c>
      <c r="E89" s="91">
        <f>0.53031</f>
        <v>0.53030999999999995</v>
      </c>
      <c r="F89" s="92"/>
      <c r="G89" s="92">
        <f t="shared" ref="G89" si="335">E89+F89+I88</f>
        <v>3.1715599999999999</v>
      </c>
      <c r="H89" s="91"/>
      <c r="I89" s="92">
        <f t="shared" si="295"/>
        <v>3.1715599999999999</v>
      </c>
      <c r="J89" s="93">
        <f t="shared" si="296"/>
        <v>0</v>
      </c>
      <c r="K89" s="310"/>
      <c r="L89" s="306"/>
      <c r="M89" s="306"/>
      <c r="N89" s="306"/>
      <c r="O89" s="306"/>
      <c r="P89" s="307"/>
    </row>
    <row r="90" spans="2:22" x14ac:dyDescent="0.2">
      <c r="B90" s="327"/>
      <c r="C90" s="309" t="s">
        <v>42</v>
      </c>
      <c r="D90" s="114" t="s">
        <v>63</v>
      </c>
      <c r="E90" s="91">
        <f>2.90146</f>
        <v>2.9014600000000002</v>
      </c>
      <c r="F90" s="92"/>
      <c r="G90" s="92">
        <f t="shared" ref="G90" si="336">E90+F90</f>
        <v>2.9014600000000002</v>
      </c>
      <c r="H90" s="91"/>
      <c r="I90" s="92">
        <f t="shared" si="295"/>
        <v>2.9014600000000002</v>
      </c>
      <c r="J90" s="93">
        <f t="shared" si="296"/>
        <v>0</v>
      </c>
      <c r="K90" s="310">
        <f t="shared" ref="K90" si="337">E90+E91</f>
        <v>3.22227</v>
      </c>
      <c r="L90" s="306">
        <f t="shared" ref="L90" si="338">F90+F91</f>
        <v>0</v>
      </c>
      <c r="M90" s="306">
        <f t="shared" ref="M90" si="339">K90+L90</f>
        <v>3.22227</v>
      </c>
      <c r="N90" s="306">
        <f t="shared" ref="N90" si="340">H90+H91</f>
        <v>0</v>
      </c>
      <c r="O90" s="306">
        <f t="shared" ref="O90" si="341">M90-N90</f>
        <v>3.22227</v>
      </c>
      <c r="P90" s="307">
        <f t="shared" ref="P90" si="342">N90/M90</f>
        <v>0</v>
      </c>
    </row>
    <row r="91" spans="2:22" x14ac:dyDescent="0.2">
      <c r="B91" s="327"/>
      <c r="C91" s="309"/>
      <c r="D91" s="114" t="s">
        <v>64</v>
      </c>
      <c r="E91" s="91">
        <f>0.32081</f>
        <v>0.32080999999999998</v>
      </c>
      <c r="F91" s="92"/>
      <c r="G91" s="92">
        <f t="shared" ref="G91" si="343">E91+F91+I90</f>
        <v>3.22227</v>
      </c>
      <c r="H91" s="91"/>
      <c r="I91" s="92">
        <f t="shared" si="295"/>
        <v>3.22227</v>
      </c>
      <c r="J91" s="93">
        <f t="shared" si="296"/>
        <v>0</v>
      </c>
      <c r="K91" s="310"/>
      <c r="L91" s="306"/>
      <c r="M91" s="306"/>
      <c r="N91" s="306"/>
      <c r="O91" s="306"/>
      <c r="P91" s="307"/>
    </row>
    <row r="92" spans="2:22" x14ac:dyDescent="0.2">
      <c r="B92" s="327"/>
      <c r="C92" s="309" t="s">
        <v>43</v>
      </c>
      <c r="D92" s="114" t="s">
        <v>63</v>
      </c>
      <c r="E92" s="91">
        <f>155.10996+37.72335+31.84358+1.533+1.533+1.533+3.066+3.066+3.066+3.066+3.066+3.066+2.4017+2.1973+4.599+4.599+4.599+4.599+2.6061+2.228+7.665+12.264+10.4244</f>
        <v>305.85439000000002</v>
      </c>
      <c r="F92" s="92">
        <f>-Hoja1!H12-Hoja1!H20+39.28019</f>
        <v>1.4414464999999979</v>
      </c>
      <c r="G92" s="92">
        <f t="shared" ref="G92" si="344">E92+F92</f>
        <v>307.29583650000001</v>
      </c>
      <c r="H92" s="91">
        <f>243.154+0.065+47.417+8.846</f>
        <v>299.48199999999997</v>
      </c>
      <c r="I92" s="92">
        <f t="shared" si="295"/>
        <v>7.8138365000000363</v>
      </c>
      <c r="J92" s="93">
        <f t="shared" si="296"/>
        <v>0.97457226694316101</v>
      </c>
      <c r="K92" s="333">
        <f t="shared" ref="K92" si="345">E92+E93</f>
        <v>339.67205999999999</v>
      </c>
      <c r="L92" s="306">
        <f t="shared" ref="L92" si="346">F92+F93</f>
        <v>1.4414464999999979</v>
      </c>
      <c r="M92" s="306">
        <f t="shared" ref="M92" si="347">K92+L92</f>
        <v>341.11350649999997</v>
      </c>
      <c r="N92" s="306">
        <f t="shared" ref="N92" si="348">H92+H93</f>
        <v>366.99299999999994</v>
      </c>
      <c r="O92" s="306">
        <f t="shared" ref="O92" si="349">M92-N92</f>
        <v>-25.879493499999967</v>
      </c>
      <c r="P92" s="307">
        <f t="shared" ref="P92" si="350">N92/M92</f>
        <v>1.0758676892203327</v>
      </c>
    </row>
    <row r="93" spans="2:22" x14ac:dyDescent="0.2">
      <c r="B93" s="327"/>
      <c r="C93" s="309"/>
      <c r="D93" s="114" t="s">
        <v>64</v>
      </c>
      <c r="E93" s="91">
        <f>17.15012+4.17098+3.52087+0.1695+0.1695+0.1695+0.339+0.339+0.339+0.339+0.339+0.339+0.2656+0.243+0.5085+0.5085+0.5085+0.5085+0.2882+0.2463+0.8475+1.356+1.1526</f>
        <v>33.817669999999993</v>
      </c>
      <c r="F93" s="92"/>
      <c r="G93" s="92">
        <f t="shared" ref="G93" si="351">E93+F93+I92</f>
        <v>41.631506500000029</v>
      </c>
      <c r="H93" s="91">
        <f>60.325+7.186</f>
        <v>67.510999999999996</v>
      </c>
      <c r="I93" s="92">
        <f t="shared" si="295"/>
        <v>-25.879493499999967</v>
      </c>
      <c r="J93" s="93">
        <f t="shared" si="296"/>
        <v>1.6216324047749737</v>
      </c>
      <c r="K93" s="334"/>
      <c r="L93" s="306"/>
      <c r="M93" s="306"/>
      <c r="N93" s="306"/>
      <c r="O93" s="306"/>
      <c r="P93" s="307"/>
    </row>
    <row r="94" spans="2:22" x14ac:dyDescent="0.2">
      <c r="B94" s="327"/>
      <c r="C94" s="309" t="s">
        <v>44</v>
      </c>
      <c r="D94" s="114" t="s">
        <v>63</v>
      </c>
      <c r="E94" s="91">
        <v>1.58379</v>
      </c>
      <c r="F94" s="92"/>
      <c r="G94" s="92">
        <f t="shared" ref="G94" si="352">E94+F94</f>
        <v>1.58379</v>
      </c>
      <c r="H94" s="91"/>
      <c r="I94" s="92">
        <f t="shared" si="295"/>
        <v>1.58379</v>
      </c>
      <c r="J94" s="93">
        <f t="shared" si="296"/>
        <v>0</v>
      </c>
      <c r="K94" s="310">
        <f t="shared" ref="K94" si="353">E94+E95</f>
        <v>1.75891</v>
      </c>
      <c r="L94" s="306">
        <f t="shared" ref="L94" si="354">F94+F95</f>
        <v>0</v>
      </c>
      <c r="M94" s="306">
        <f t="shared" ref="M94" si="355">K94+L94</f>
        <v>1.75891</v>
      </c>
      <c r="N94" s="306">
        <f t="shared" ref="N94" si="356">H94+H95</f>
        <v>0</v>
      </c>
      <c r="O94" s="306">
        <f t="shared" ref="O94" si="357">M94-N94</f>
        <v>1.75891</v>
      </c>
      <c r="P94" s="307">
        <f t="shared" ref="P94" si="358">N94/M94</f>
        <v>0</v>
      </c>
      <c r="V94" s="210">
        <f>K100+K136+K172+K212+K64+K28</f>
        <v>9.3960000000000016E-2</v>
      </c>
    </row>
    <row r="95" spans="2:22" x14ac:dyDescent="0.2">
      <c r="B95" s="327"/>
      <c r="C95" s="309"/>
      <c r="D95" s="114" t="s">
        <v>64</v>
      </c>
      <c r="E95" s="91">
        <v>0.17512</v>
      </c>
      <c r="F95" s="92"/>
      <c r="G95" s="92">
        <f t="shared" ref="G95" si="359">E95+F95+I94</f>
        <v>1.75891</v>
      </c>
      <c r="H95" s="91"/>
      <c r="I95" s="92">
        <f t="shared" si="295"/>
        <v>1.75891</v>
      </c>
      <c r="J95" s="93">
        <f t="shared" si="296"/>
        <v>0</v>
      </c>
      <c r="K95" s="310"/>
      <c r="L95" s="306"/>
      <c r="M95" s="306"/>
      <c r="N95" s="306"/>
      <c r="O95" s="306"/>
      <c r="P95" s="307"/>
    </row>
    <row r="96" spans="2:22" x14ac:dyDescent="0.2">
      <c r="B96" s="327"/>
      <c r="C96" s="309" t="s">
        <v>45</v>
      </c>
      <c r="D96" s="114" t="s">
        <v>63</v>
      </c>
      <c r="E96" s="91">
        <v>33.200389999999999</v>
      </c>
      <c r="F96" s="92"/>
      <c r="G96" s="92">
        <f t="shared" ref="G96" si="360">E96+F96</f>
        <v>33.200389999999999</v>
      </c>
      <c r="H96" s="91">
        <v>32.557000000000002</v>
      </c>
      <c r="I96" s="92">
        <f t="shared" si="295"/>
        <v>0.64338999999999658</v>
      </c>
      <c r="J96" s="93">
        <f t="shared" si="296"/>
        <v>0.98062101077728314</v>
      </c>
      <c r="K96" s="310">
        <f t="shared" ref="K96" si="361">E96+E97</f>
        <v>36.871269999999996</v>
      </c>
      <c r="L96" s="306">
        <f t="shared" ref="L96" si="362">F96+F97</f>
        <v>0</v>
      </c>
      <c r="M96" s="306">
        <f t="shared" ref="M96" si="363">K96+L96</f>
        <v>36.871269999999996</v>
      </c>
      <c r="N96" s="306">
        <f t="shared" ref="N96" si="364">H96+H97</f>
        <v>32.557000000000002</v>
      </c>
      <c r="O96" s="306">
        <f t="shared" ref="O96" si="365">M96-N96</f>
        <v>4.3142699999999934</v>
      </c>
      <c r="P96" s="307">
        <f t="shared" ref="P96" si="366">N96/M96</f>
        <v>0.88299101170098038</v>
      </c>
    </row>
    <row r="97" spans="2:16" x14ac:dyDescent="0.2">
      <c r="B97" s="327"/>
      <c r="C97" s="309"/>
      <c r="D97" s="114" t="s">
        <v>64</v>
      </c>
      <c r="E97" s="91">
        <v>3.6708799999999999</v>
      </c>
      <c r="F97" s="92"/>
      <c r="G97" s="92">
        <f t="shared" ref="G97" si="367">E97+F97+I96</f>
        <v>4.3142699999999969</v>
      </c>
      <c r="H97" s="129"/>
      <c r="I97" s="92">
        <f t="shared" si="295"/>
        <v>4.3142699999999969</v>
      </c>
      <c r="J97" s="93">
        <f t="shared" si="296"/>
        <v>0</v>
      </c>
      <c r="K97" s="310"/>
      <c r="L97" s="306"/>
      <c r="M97" s="306"/>
      <c r="N97" s="306"/>
      <c r="O97" s="306"/>
      <c r="P97" s="307"/>
    </row>
    <row r="98" spans="2:16" x14ac:dyDescent="0.2">
      <c r="B98" s="327"/>
      <c r="C98" s="309" t="s">
        <v>46</v>
      </c>
      <c r="D98" s="114" t="s">
        <v>63</v>
      </c>
      <c r="E98" s="91">
        <v>3.066E-2</v>
      </c>
      <c r="F98" s="92"/>
      <c r="G98" s="92">
        <f t="shared" ref="G98" si="368">E98+F98</f>
        <v>3.066E-2</v>
      </c>
      <c r="H98" s="129"/>
      <c r="I98" s="92">
        <f t="shared" si="295"/>
        <v>3.066E-2</v>
      </c>
      <c r="J98" s="93">
        <f t="shared" si="296"/>
        <v>0</v>
      </c>
      <c r="K98" s="333">
        <f t="shared" ref="K98" si="369">E98+E99</f>
        <v>3.4049999999999997E-2</v>
      </c>
      <c r="L98" s="306">
        <f t="shared" ref="L98" si="370">F98+F99</f>
        <v>0</v>
      </c>
      <c r="M98" s="306">
        <f t="shared" ref="M98" si="371">K98+L98</f>
        <v>3.4049999999999997E-2</v>
      </c>
      <c r="N98" s="306">
        <f t="shared" ref="N98" si="372">H98+H99</f>
        <v>0</v>
      </c>
      <c r="O98" s="306">
        <f t="shared" ref="O98" si="373">M98-N98</f>
        <v>3.4049999999999997E-2</v>
      </c>
      <c r="P98" s="307">
        <f t="shared" ref="P98" si="374">N98/M98</f>
        <v>0</v>
      </c>
    </row>
    <row r="99" spans="2:16" x14ac:dyDescent="0.2">
      <c r="B99" s="327"/>
      <c r="C99" s="309"/>
      <c r="D99" s="114" t="s">
        <v>64</v>
      </c>
      <c r="E99" s="91">
        <v>3.3899999999999998E-3</v>
      </c>
      <c r="F99" s="92"/>
      <c r="G99" s="92">
        <f t="shared" ref="G99" si="375">E99+F99+I98</f>
        <v>3.4049999999999997E-2</v>
      </c>
      <c r="H99" s="129"/>
      <c r="I99" s="92">
        <f t="shared" si="295"/>
        <v>3.4049999999999997E-2</v>
      </c>
      <c r="J99" s="93">
        <f t="shared" si="296"/>
        <v>0</v>
      </c>
      <c r="K99" s="334"/>
      <c r="L99" s="306"/>
      <c r="M99" s="306"/>
      <c r="N99" s="306"/>
      <c r="O99" s="306"/>
      <c r="P99" s="307"/>
    </row>
    <row r="100" spans="2:16" x14ac:dyDescent="0.2">
      <c r="B100" s="327"/>
      <c r="C100" s="309" t="s">
        <v>47</v>
      </c>
      <c r="D100" s="114" t="s">
        <v>63</v>
      </c>
      <c r="E100" s="91">
        <v>2.044E-2</v>
      </c>
      <c r="F100" s="92">
        <f>Hoja1!H14</f>
        <v>19.885540499999998</v>
      </c>
      <c r="G100" s="92">
        <f t="shared" ref="G100" si="376">E100+F100</f>
        <v>19.905980499999998</v>
      </c>
      <c r="H100" s="129"/>
      <c r="I100" s="92">
        <f t="shared" si="295"/>
        <v>19.905980499999998</v>
      </c>
      <c r="J100" s="93">
        <f t="shared" si="296"/>
        <v>0</v>
      </c>
      <c r="K100" s="310">
        <f t="shared" ref="K100" si="377">E100+E101</f>
        <v>2.2699999999999998E-2</v>
      </c>
      <c r="L100" s="306">
        <f t="shared" ref="L100" si="378">F100+F101</f>
        <v>19.885540499999998</v>
      </c>
      <c r="M100" s="306">
        <f t="shared" ref="M100" si="379">K100+L100</f>
        <v>19.908240499999998</v>
      </c>
      <c r="N100" s="306">
        <f t="shared" ref="N100" si="380">H100+H101</f>
        <v>0</v>
      </c>
      <c r="O100" s="306">
        <f t="shared" ref="O100" si="381">M100-N100</f>
        <v>19.908240499999998</v>
      </c>
      <c r="P100" s="307">
        <f t="shared" ref="P100" si="382">N100/M100</f>
        <v>0</v>
      </c>
    </row>
    <row r="101" spans="2:16" x14ac:dyDescent="0.2">
      <c r="B101" s="327"/>
      <c r="C101" s="309"/>
      <c r="D101" s="114" t="s">
        <v>64</v>
      </c>
      <c r="E101" s="91">
        <v>2.2599999999999999E-3</v>
      </c>
      <c r="F101" s="92"/>
      <c r="G101" s="92">
        <f t="shared" ref="G101" si="383">E101+F101+I100</f>
        <v>19.908240499999998</v>
      </c>
      <c r="H101" s="129"/>
      <c r="I101" s="92">
        <f t="shared" si="295"/>
        <v>19.908240499999998</v>
      </c>
      <c r="J101" s="93">
        <f t="shared" si="296"/>
        <v>0</v>
      </c>
      <c r="K101" s="310"/>
      <c r="L101" s="306"/>
      <c r="M101" s="306"/>
      <c r="N101" s="306"/>
      <c r="O101" s="306"/>
      <c r="P101" s="307"/>
    </row>
    <row r="102" spans="2:16" x14ac:dyDescent="0.2">
      <c r="B102" s="327"/>
      <c r="C102" s="309" t="s">
        <v>48</v>
      </c>
      <c r="D102" s="114" t="s">
        <v>63</v>
      </c>
      <c r="E102" s="91">
        <v>18.582519999999999</v>
      </c>
      <c r="F102" s="92">
        <f>-Hoja1!H13</f>
        <v>-19.7127935</v>
      </c>
      <c r="G102" s="92">
        <f t="shared" ref="G102" si="384">E102+F102</f>
        <v>-1.1302735000000013</v>
      </c>
      <c r="H102" s="129"/>
      <c r="I102" s="92">
        <f t="shared" si="295"/>
        <v>-1.1302735000000013</v>
      </c>
      <c r="J102" s="93">
        <f t="shared" si="296"/>
        <v>0</v>
      </c>
      <c r="K102" s="310">
        <f t="shared" ref="K102" si="385">E102+E103</f>
        <v>20.637139999999999</v>
      </c>
      <c r="L102" s="306">
        <f t="shared" ref="L102" si="386">F102+F103</f>
        <v>-19.7127935</v>
      </c>
      <c r="M102" s="306">
        <f t="shared" ref="M102" si="387">K102+L102</f>
        <v>0.92434649999999863</v>
      </c>
      <c r="N102" s="306">
        <f t="shared" ref="N102" si="388">H102+H103</f>
        <v>0</v>
      </c>
      <c r="O102" s="306">
        <f t="shared" ref="O102" si="389">M102-N102</f>
        <v>0.92434649999999863</v>
      </c>
      <c r="P102" s="307">
        <f t="shared" ref="P102" si="390">N102/M102</f>
        <v>0</v>
      </c>
    </row>
    <row r="103" spans="2:16" x14ac:dyDescent="0.2">
      <c r="B103" s="327"/>
      <c r="C103" s="309"/>
      <c r="D103" s="114" t="s">
        <v>64</v>
      </c>
      <c r="E103" s="91">
        <v>2.0546199999999999</v>
      </c>
      <c r="F103" s="92"/>
      <c r="G103" s="92">
        <f t="shared" ref="G103" si="391">E103+F103+I102</f>
        <v>0.92434649999999863</v>
      </c>
      <c r="H103" s="129"/>
      <c r="I103" s="92">
        <f t="shared" si="295"/>
        <v>0.92434649999999863</v>
      </c>
      <c r="J103" s="93">
        <f t="shared" si="296"/>
        <v>0</v>
      </c>
      <c r="K103" s="310"/>
      <c r="L103" s="306"/>
      <c r="M103" s="306"/>
      <c r="N103" s="306"/>
      <c r="O103" s="306"/>
      <c r="P103" s="307"/>
    </row>
    <row r="104" spans="2:16" x14ac:dyDescent="0.2">
      <c r="B104" s="327"/>
      <c r="C104" s="309" t="s">
        <v>49</v>
      </c>
      <c r="D104" s="114" t="s">
        <v>63</v>
      </c>
      <c r="E104" s="91">
        <v>1.022E-2</v>
      </c>
      <c r="F104" s="92"/>
      <c r="G104" s="92">
        <f t="shared" ref="G104" si="392">E104+F104</f>
        <v>1.022E-2</v>
      </c>
      <c r="H104" s="129"/>
      <c r="I104" s="92">
        <f t="shared" si="295"/>
        <v>1.022E-2</v>
      </c>
      <c r="J104" s="93">
        <f t="shared" si="296"/>
        <v>0</v>
      </c>
      <c r="K104" s="310">
        <f t="shared" ref="K104" si="393">E104+E105</f>
        <v>1.1349999999999999E-2</v>
      </c>
      <c r="L104" s="306">
        <f t="shared" ref="L104" si="394">F104+F105</f>
        <v>0</v>
      </c>
      <c r="M104" s="306">
        <f t="shared" ref="M104" si="395">K104+L104</f>
        <v>1.1349999999999999E-2</v>
      </c>
      <c r="N104" s="306">
        <f t="shared" ref="N104" si="396">H104+H105</f>
        <v>0</v>
      </c>
      <c r="O104" s="306">
        <f t="shared" ref="O104" si="397">M104-N104</f>
        <v>1.1349999999999999E-2</v>
      </c>
      <c r="P104" s="307">
        <f t="shared" ref="P104" si="398">N104/M104</f>
        <v>0</v>
      </c>
    </row>
    <row r="105" spans="2:16" x14ac:dyDescent="0.2">
      <c r="B105" s="327"/>
      <c r="C105" s="309"/>
      <c r="D105" s="114" t="s">
        <v>64</v>
      </c>
      <c r="E105" s="91">
        <v>1.1299999999999999E-3</v>
      </c>
      <c r="F105" s="92"/>
      <c r="G105" s="92">
        <f t="shared" ref="G105" si="399">E105+F105+I104</f>
        <v>1.1349999999999999E-2</v>
      </c>
      <c r="H105" s="129"/>
      <c r="I105" s="92">
        <f t="shared" si="295"/>
        <v>1.1349999999999999E-2</v>
      </c>
      <c r="J105" s="93">
        <f t="shared" si="296"/>
        <v>0</v>
      </c>
      <c r="K105" s="310"/>
      <c r="L105" s="306"/>
      <c r="M105" s="306"/>
      <c r="N105" s="306"/>
      <c r="O105" s="306"/>
      <c r="P105" s="307"/>
    </row>
    <row r="106" spans="2:16" x14ac:dyDescent="0.2">
      <c r="B106" s="327"/>
      <c r="C106" s="309" t="s">
        <v>50</v>
      </c>
      <c r="D106" s="114" t="s">
        <v>63</v>
      </c>
      <c r="E106" s="91">
        <v>0.27594000000000002</v>
      </c>
      <c r="F106" s="92">
        <f>-Hoja1!H17</f>
        <v>-0.14754999999999999</v>
      </c>
      <c r="G106" s="92">
        <f t="shared" ref="G106" si="400">E106+F106</f>
        <v>0.12839000000000003</v>
      </c>
      <c r="H106" s="129"/>
      <c r="I106" s="92">
        <f t="shared" si="295"/>
        <v>0.12839000000000003</v>
      </c>
      <c r="J106" s="93">
        <f t="shared" si="296"/>
        <v>0</v>
      </c>
      <c r="K106" s="310">
        <f t="shared" ref="K106" si="401">E106+E107</f>
        <v>0.30645</v>
      </c>
      <c r="L106" s="306">
        <f t="shared" ref="L106" si="402">F106+F107</f>
        <v>-0.14754999999999999</v>
      </c>
      <c r="M106" s="306">
        <f t="shared" ref="M106" si="403">K106+L106</f>
        <v>0.15890000000000001</v>
      </c>
      <c r="N106" s="306">
        <f t="shared" ref="N106" si="404">H106+H107</f>
        <v>0</v>
      </c>
      <c r="O106" s="306">
        <f t="shared" ref="O106" si="405">M106-N106</f>
        <v>0.15890000000000001</v>
      </c>
      <c r="P106" s="307">
        <f t="shared" ref="P106" si="406">N106/M106</f>
        <v>0</v>
      </c>
    </row>
    <row r="107" spans="2:16" x14ac:dyDescent="0.2">
      <c r="B107" s="327"/>
      <c r="C107" s="309"/>
      <c r="D107" s="114" t="s">
        <v>64</v>
      </c>
      <c r="E107" s="91">
        <v>3.0509999999999999E-2</v>
      </c>
      <c r="F107" s="92"/>
      <c r="G107" s="92">
        <f t="shared" ref="G107" si="407">E107+F107+I106</f>
        <v>0.15890000000000004</v>
      </c>
      <c r="H107" s="129"/>
      <c r="I107" s="92">
        <f t="shared" si="295"/>
        <v>0.15890000000000004</v>
      </c>
      <c r="J107" s="93">
        <f t="shared" si="296"/>
        <v>0</v>
      </c>
      <c r="K107" s="310"/>
      <c r="L107" s="306"/>
      <c r="M107" s="306"/>
      <c r="N107" s="306"/>
      <c r="O107" s="306"/>
      <c r="P107" s="307"/>
    </row>
    <row r="108" spans="2:16" x14ac:dyDescent="0.2">
      <c r="B108" s="327"/>
      <c r="C108" s="309" t="s">
        <v>148</v>
      </c>
      <c r="D108" s="164" t="s">
        <v>63</v>
      </c>
      <c r="E108" s="91">
        <v>0</v>
      </c>
      <c r="F108" s="92">
        <f>Hoja1!H10</f>
        <v>0.24970000000000001</v>
      </c>
      <c r="G108" s="92">
        <f t="shared" ref="G108" si="408">E108+F108</f>
        <v>0.24970000000000001</v>
      </c>
      <c r="H108" s="129"/>
      <c r="I108" s="92">
        <f t="shared" ref="I108:I109" si="409">G108-H108</f>
        <v>0.24970000000000001</v>
      </c>
      <c r="J108" s="93">
        <f t="shared" ref="J108:J109" si="410">H108/G108</f>
        <v>0</v>
      </c>
      <c r="K108" s="310">
        <f t="shared" ref="K108" si="411">E108+E109</f>
        <v>0</v>
      </c>
      <c r="L108" s="306">
        <f t="shared" ref="L108" si="412">F108+F109</f>
        <v>0.24970000000000001</v>
      </c>
      <c r="M108" s="306">
        <f t="shared" ref="M108" si="413">K108+L108</f>
        <v>0.24970000000000001</v>
      </c>
      <c r="N108" s="306">
        <f t="shared" ref="N108" si="414">H108+H109</f>
        <v>0</v>
      </c>
      <c r="O108" s="306">
        <f t="shared" ref="O108" si="415">M108-N108</f>
        <v>0.24970000000000001</v>
      </c>
      <c r="P108" s="307">
        <f t="shared" ref="P108" si="416">N108/M108</f>
        <v>0</v>
      </c>
    </row>
    <row r="109" spans="2:16" x14ac:dyDescent="0.2">
      <c r="B109" s="327"/>
      <c r="C109" s="309"/>
      <c r="D109" s="164" t="s">
        <v>64</v>
      </c>
      <c r="E109" s="91">
        <v>0</v>
      </c>
      <c r="F109" s="92"/>
      <c r="G109" s="92">
        <f t="shared" ref="G109" si="417">E109+F109+I108</f>
        <v>0.24970000000000001</v>
      </c>
      <c r="H109" s="129"/>
      <c r="I109" s="92">
        <f t="shared" si="409"/>
        <v>0.24970000000000001</v>
      </c>
      <c r="J109" s="93">
        <f t="shared" si="410"/>
        <v>0</v>
      </c>
      <c r="K109" s="310"/>
      <c r="L109" s="306"/>
      <c r="M109" s="306"/>
      <c r="N109" s="306"/>
      <c r="O109" s="306"/>
      <c r="P109" s="307"/>
    </row>
    <row r="110" spans="2:16" x14ac:dyDescent="0.2">
      <c r="B110" s="327"/>
      <c r="C110" s="309" t="s">
        <v>180</v>
      </c>
      <c r="D110" s="208" t="s">
        <v>63</v>
      </c>
      <c r="E110" s="91">
        <v>0</v>
      </c>
      <c r="F110" s="92">
        <f>Hoja1!H17</f>
        <v>0.14754999999999999</v>
      </c>
      <c r="G110" s="92">
        <f t="shared" ref="G110" si="418">E110+F110</f>
        <v>0.14754999999999999</v>
      </c>
      <c r="H110" s="129"/>
      <c r="I110" s="92">
        <f t="shared" ref="I110:I111" si="419">G110-H110</f>
        <v>0.14754999999999999</v>
      </c>
      <c r="J110" s="93">
        <f t="shared" ref="J110:J111" si="420">H110/G110</f>
        <v>0</v>
      </c>
      <c r="K110" s="310">
        <f t="shared" ref="K110" si="421">E110+E111</f>
        <v>0</v>
      </c>
      <c r="L110" s="306">
        <f t="shared" ref="L110" si="422">F110+F111</f>
        <v>0.14754999999999999</v>
      </c>
      <c r="M110" s="306">
        <f t="shared" ref="M110" si="423">K110+L110</f>
        <v>0.14754999999999999</v>
      </c>
      <c r="N110" s="306">
        <f t="shared" ref="N110" si="424">H110+H111</f>
        <v>0</v>
      </c>
      <c r="O110" s="306">
        <f t="shared" ref="O110" si="425">M110-N110</f>
        <v>0.14754999999999999</v>
      </c>
      <c r="P110" s="307">
        <f t="shared" ref="P110" si="426">N110/M110</f>
        <v>0</v>
      </c>
    </row>
    <row r="111" spans="2:16" x14ac:dyDescent="0.2">
      <c r="B111" s="327"/>
      <c r="C111" s="309"/>
      <c r="D111" s="208" t="s">
        <v>64</v>
      </c>
      <c r="E111" s="91">
        <v>0</v>
      </c>
      <c r="F111" s="92"/>
      <c r="G111" s="92">
        <f t="shared" ref="G111" si="427">E111+F111+I110</f>
        <v>0.14754999999999999</v>
      </c>
      <c r="H111" s="129"/>
      <c r="I111" s="92">
        <f t="shared" si="419"/>
        <v>0.14754999999999999</v>
      </c>
      <c r="J111" s="93">
        <f t="shared" si="420"/>
        <v>0</v>
      </c>
      <c r="K111" s="310"/>
      <c r="L111" s="306"/>
      <c r="M111" s="306"/>
      <c r="N111" s="306"/>
      <c r="O111" s="306"/>
      <c r="P111" s="307"/>
    </row>
    <row r="112" spans="2:16" x14ac:dyDescent="0.2">
      <c r="B112" s="327"/>
      <c r="C112" s="309" t="s">
        <v>51</v>
      </c>
      <c r="D112" s="114" t="s">
        <v>63</v>
      </c>
      <c r="E112" s="91">
        <f>0.01022+1.2979</f>
        <v>1.3081199999999999</v>
      </c>
      <c r="F112" s="92">
        <f>Hoja1!H20-39.28019</f>
        <v>-1.4414464999999979</v>
      </c>
      <c r="G112" s="92">
        <f t="shared" ref="G112" si="428">E112+F112</f>
        <v>-0.13332649999999791</v>
      </c>
      <c r="H112" s="129"/>
      <c r="I112" s="92">
        <f t="shared" si="295"/>
        <v>-0.13332649999999791</v>
      </c>
      <c r="J112" s="93">
        <f t="shared" si="296"/>
        <v>0</v>
      </c>
      <c r="K112" s="310">
        <f t="shared" ref="K112" si="429">E112+E113</f>
        <v>1.45275</v>
      </c>
      <c r="L112" s="306">
        <f t="shared" ref="L112" si="430">F112+F113</f>
        <v>-1.4414464999999979</v>
      </c>
      <c r="M112" s="306">
        <f t="shared" ref="M112" si="431">K112+L112</f>
        <v>1.1303500000002131E-2</v>
      </c>
      <c r="N112" s="306">
        <f t="shared" ref="N112" si="432">H112+H113</f>
        <v>0</v>
      </c>
      <c r="O112" s="306">
        <f t="shared" ref="O112" si="433">M112-N112</f>
        <v>1.1303500000002131E-2</v>
      </c>
      <c r="P112" s="307">
        <f t="shared" ref="P112" si="434">N112/M112</f>
        <v>0</v>
      </c>
    </row>
    <row r="113" spans="2:16" ht="13.5" thickBot="1" x14ac:dyDescent="0.25">
      <c r="B113" s="328"/>
      <c r="C113" s="335"/>
      <c r="D113" s="115" t="s">
        <v>64</v>
      </c>
      <c r="E113" s="98">
        <f>0.00113+0.1435</f>
        <v>0.14462999999999998</v>
      </c>
      <c r="F113" s="99"/>
      <c r="G113" s="99">
        <f t="shared" ref="G113" si="435">E113+F113+I112</f>
        <v>1.1303500000002076E-2</v>
      </c>
      <c r="H113" s="130"/>
      <c r="I113" s="99">
        <f t="shared" si="295"/>
        <v>1.1303500000002076E-2</v>
      </c>
      <c r="J113" s="100">
        <f t="shared" si="296"/>
        <v>0</v>
      </c>
      <c r="K113" s="336"/>
      <c r="L113" s="324"/>
      <c r="M113" s="324"/>
      <c r="N113" s="324"/>
      <c r="O113" s="324"/>
      <c r="P113" s="325"/>
    </row>
    <row r="114" spans="2:16" x14ac:dyDescent="0.2">
      <c r="B114" s="367" t="s">
        <v>55</v>
      </c>
      <c r="C114" s="356" t="s">
        <v>36</v>
      </c>
      <c r="D114" s="122" t="s">
        <v>63</v>
      </c>
      <c r="E114" s="95">
        <f>118.23155+3.1044+9.552</f>
        <v>130.88794999999999</v>
      </c>
      <c r="F114" s="96"/>
      <c r="G114" s="96">
        <f t="shared" ref="G114" si="436">E114+F114</f>
        <v>130.88794999999999</v>
      </c>
      <c r="H114" s="95">
        <v>122.151</v>
      </c>
      <c r="I114" s="96">
        <f t="shared" si="295"/>
        <v>8.7369499999999931</v>
      </c>
      <c r="J114" s="97">
        <f t="shared" si="296"/>
        <v>0.93324862983949253</v>
      </c>
      <c r="K114" s="330">
        <f t="shared" ref="K114" si="437">E114+E115</f>
        <v>145.35796999999999</v>
      </c>
      <c r="L114" s="321">
        <f t="shared" ref="L114" si="438">F114+F115</f>
        <v>0</v>
      </c>
      <c r="M114" s="321">
        <f t="shared" ref="M114" si="439">K114+L114</f>
        <v>145.35796999999999</v>
      </c>
      <c r="N114" s="321">
        <f t="shared" ref="N114" si="440">H114+H115</f>
        <v>140.02600000000001</v>
      </c>
      <c r="O114" s="321">
        <f t="shared" ref="O114" si="441">M114-N114</f>
        <v>5.3319699999999841</v>
      </c>
      <c r="P114" s="322">
        <f t="shared" ref="P114" si="442">N114/M114</f>
        <v>0.96331835124004561</v>
      </c>
    </row>
    <row r="115" spans="2:16" x14ac:dyDescent="0.2">
      <c r="B115" s="368"/>
      <c r="C115" s="345"/>
      <c r="D115" s="123" t="s">
        <v>64</v>
      </c>
      <c r="E115" s="91">
        <f>13.07082+0.3432+1.056</f>
        <v>14.470019999999998</v>
      </c>
      <c r="F115" s="92"/>
      <c r="G115" s="92">
        <f t="shared" ref="G115" si="443">E115+F115+I114</f>
        <v>23.206969999999991</v>
      </c>
      <c r="H115" s="91">
        <v>17.875</v>
      </c>
      <c r="I115" s="92">
        <f t="shared" si="295"/>
        <v>5.3319699999999912</v>
      </c>
      <c r="J115" s="93">
        <f t="shared" si="296"/>
        <v>0.77024273310992375</v>
      </c>
      <c r="K115" s="310"/>
      <c r="L115" s="306"/>
      <c r="M115" s="306"/>
      <c r="N115" s="306"/>
      <c r="O115" s="306"/>
      <c r="P115" s="307"/>
    </row>
    <row r="116" spans="2:16" x14ac:dyDescent="0.2">
      <c r="B116" s="368"/>
      <c r="C116" s="345" t="s">
        <v>37</v>
      </c>
      <c r="D116" s="123" t="s">
        <v>63</v>
      </c>
      <c r="E116" s="91">
        <f>45.06005+58.29657+13.94616+101.51531+0.4776+4.776+10.746+6.567+3.8208</f>
        <v>245.20549</v>
      </c>
      <c r="F116" s="92">
        <f>-Hoja1!I10-Hoja1!I14</f>
        <v>-15.682425199999999</v>
      </c>
      <c r="G116" s="92">
        <f t="shared" ref="G116" si="444">E116+F116</f>
        <v>229.52306479999999</v>
      </c>
      <c r="H116" s="91">
        <f>209.587+14.034</f>
        <v>223.62099999999998</v>
      </c>
      <c r="I116" s="92">
        <f t="shared" si="295"/>
        <v>5.9020648000000051</v>
      </c>
      <c r="J116" s="93">
        <f t="shared" si="296"/>
        <v>0.97428552635813359</v>
      </c>
      <c r="K116" s="310">
        <f t="shared" ref="K116" si="445">E116+E117</f>
        <v>272.31364000000002</v>
      </c>
      <c r="L116" s="306">
        <f t="shared" ref="L116" si="446">F116+F117</f>
        <v>-15.682425199999999</v>
      </c>
      <c r="M116" s="306">
        <f t="shared" ref="M116" si="447">K116+L116</f>
        <v>256.63121480000001</v>
      </c>
      <c r="N116" s="306">
        <f t="shared" ref="N116" si="448">H116+H117</f>
        <v>239.90799999999999</v>
      </c>
      <c r="O116" s="306">
        <f t="shared" ref="O116" si="449">M116-N116</f>
        <v>16.723214800000022</v>
      </c>
      <c r="P116" s="307">
        <f t="shared" ref="P116" si="450">N116/M116</f>
        <v>0.93483561688692896</v>
      </c>
    </row>
    <row r="117" spans="2:16" x14ac:dyDescent="0.2">
      <c r="B117" s="368"/>
      <c r="C117" s="345"/>
      <c r="D117" s="123" t="s">
        <v>64</v>
      </c>
      <c r="E117" s="91">
        <f>4.98151+6.44485+1.54179+11.2228+0.0528+0.528+1.188+0.726+0.4224</f>
        <v>27.108149999999998</v>
      </c>
      <c r="F117" s="92"/>
      <c r="G117" s="92">
        <f t="shared" ref="G117" si="451">E117+F117+I116</f>
        <v>33.0102148</v>
      </c>
      <c r="H117" s="91">
        <v>16.286999999999999</v>
      </c>
      <c r="I117" s="92">
        <f t="shared" si="295"/>
        <v>16.723214800000001</v>
      </c>
      <c r="J117" s="93">
        <f t="shared" si="296"/>
        <v>0.49339273005881801</v>
      </c>
      <c r="K117" s="310"/>
      <c r="L117" s="306"/>
      <c r="M117" s="306"/>
      <c r="N117" s="306"/>
      <c r="O117" s="306"/>
      <c r="P117" s="307"/>
    </row>
    <row r="118" spans="2:16" x14ac:dyDescent="0.2">
      <c r="B118" s="368"/>
      <c r="C118" s="345" t="s">
        <v>38</v>
      </c>
      <c r="D118" s="123" t="s">
        <v>63</v>
      </c>
      <c r="E118" s="91">
        <v>2.3879999999999998E-2</v>
      </c>
      <c r="F118" s="92"/>
      <c r="G118" s="92">
        <f t="shared" ref="G118" si="452">E118+F118</f>
        <v>2.3879999999999998E-2</v>
      </c>
      <c r="H118" s="91"/>
      <c r="I118" s="92">
        <f t="shared" si="295"/>
        <v>2.3879999999999998E-2</v>
      </c>
      <c r="J118" s="93">
        <f t="shared" si="296"/>
        <v>0</v>
      </c>
      <c r="K118" s="310">
        <f t="shared" ref="K118" si="453">E118+E119</f>
        <v>2.6519999999999998E-2</v>
      </c>
      <c r="L118" s="306">
        <f t="shared" ref="L118" si="454">F118+F119</f>
        <v>0</v>
      </c>
      <c r="M118" s="306">
        <f t="shared" ref="M118" si="455">K118+L118</f>
        <v>2.6519999999999998E-2</v>
      </c>
      <c r="N118" s="306">
        <f t="shared" ref="N118" si="456">H118+H119</f>
        <v>0</v>
      </c>
      <c r="O118" s="306">
        <f t="shared" ref="O118" si="457">M118-N118</f>
        <v>2.6519999999999998E-2</v>
      </c>
      <c r="P118" s="307">
        <f t="shared" ref="P118" si="458">N118/M118</f>
        <v>0</v>
      </c>
    </row>
    <row r="119" spans="2:16" x14ac:dyDescent="0.2">
      <c r="B119" s="368"/>
      <c r="C119" s="345"/>
      <c r="D119" s="123" t="s">
        <v>64</v>
      </c>
      <c r="E119" s="91">
        <v>2.64E-3</v>
      </c>
      <c r="F119" s="92"/>
      <c r="G119" s="92">
        <f t="shared" ref="G119" si="459">E119+F119+I118</f>
        <v>2.6519999999999998E-2</v>
      </c>
      <c r="H119" s="91"/>
      <c r="I119" s="92">
        <f t="shared" si="295"/>
        <v>2.6519999999999998E-2</v>
      </c>
      <c r="J119" s="93">
        <f t="shared" si="296"/>
        <v>0</v>
      </c>
      <c r="K119" s="310"/>
      <c r="L119" s="306"/>
      <c r="M119" s="306"/>
      <c r="N119" s="306"/>
      <c r="O119" s="306"/>
      <c r="P119" s="307"/>
    </row>
    <row r="120" spans="2:16" x14ac:dyDescent="0.2">
      <c r="B120" s="368"/>
      <c r="C120" s="345" t="s">
        <v>39</v>
      </c>
      <c r="D120" s="123" t="s">
        <v>63</v>
      </c>
      <c r="E120" s="91">
        <f>116.09931+3.582+3.582+5.373</f>
        <v>128.63630999999998</v>
      </c>
      <c r="F120" s="92">
        <f>Hoja1!I13</f>
        <v>15.3534004</v>
      </c>
      <c r="G120" s="92">
        <f t="shared" ref="G120" si="460">E120+F120</f>
        <v>143.98971039999998</v>
      </c>
      <c r="H120" s="91">
        <v>114.248</v>
      </c>
      <c r="I120" s="92">
        <f t="shared" si="295"/>
        <v>29.741710399999974</v>
      </c>
      <c r="J120" s="93">
        <f t="shared" si="296"/>
        <v>0.79344558498396722</v>
      </c>
      <c r="K120" s="310">
        <f t="shared" ref="K120" si="461">E120+E121</f>
        <v>142.85740999999999</v>
      </c>
      <c r="L120" s="306">
        <f t="shared" ref="L120" si="462">F120+F121</f>
        <v>15.3534004</v>
      </c>
      <c r="M120" s="306">
        <f t="shared" ref="M120" si="463">K120+L120</f>
        <v>158.21081039999999</v>
      </c>
      <c r="N120" s="306">
        <f t="shared" ref="N120" si="464">H120+H121</f>
        <v>114.248</v>
      </c>
      <c r="O120" s="306">
        <f t="shared" ref="O120" si="465">M120-N120</f>
        <v>43.962810399999981</v>
      </c>
      <c r="P120" s="307">
        <f t="shared" ref="P120" si="466">N120/M120</f>
        <v>0.72212511718478634</v>
      </c>
    </row>
    <row r="121" spans="2:16" x14ac:dyDescent="0.2">
      <c r="B121" s="368"/>
      <c r="C121" s="345"/>
      <c r="D121" s="123" t="s">
        <v>64</v>
      </c>
      <c r="E121" s="91">
        <f>12.8351+0.396+0.396+0.594</f>
        <v>14.221100000000002</v>
      </c>
      <c r="F121" s="92"/>
      <c r="G121" s="92">
        <f t="shared" ref="G121" si="467">E121+F121+I120</f>
        <v>43.962810399999974</v>
      </c>
      <c r="H121" s="91"/>
      <c r="I121" s="92">
        <f t="shared" si="295"/>
        <v>43.962810399999974</v>
      </c>
      <c r="J121" s="93">
        <f t="shared" si="296"/>
        <v>0</v>
      </c>
      <c r="K121" s="310"/>
      <c r="L121" s="306"/>
      <c r="M121" s="306"/>
      <c r="N121" s="306"/>
      <c r="O121" s="306"/>
      <c r="P121" s="307"/>
    </row>
    <row r="122" spans="2:16" x14ac:dyDescent="0.2">
      <c r="B122" s="368"/>
      <c r="C122" s="345" t="s">
        <v>40</v>
      </c>
      <c r="D122" s="123" t="s">
        <v>63</v>
      </c>
      <c r="E122" s="91">
        <f>0.60241+3.582</f>
        <v>4.1844099999999997</v>
      </c>
      <c r="F122" s="92"/>
      <c r="G122" s="92">
        <f t="shared" ref="G122" si="468">E122+F122</f>
        <v>4.1844099999999997</v>
      </c>
      <c r="H122" s="91"/>
      <c r="I122" s="92">
        <f t="shared" si="295"/>
        <v>4.1844099999999997</v>
      </c>
      <c r="J122" s="93">
        <f t="shared" si="296"/>
        <v>0</v>
      </c>
      <c r="K122" s="310">
        <f t="shared" ref="K122" si="469">E122+E123</f>
        <v>4.6470099999999999</v>
      </c>
      <c r="L122" s="306">
        <f t="shared" ref="L122" si="470">F122+F123</f>
        <v>0</v>
      </c>
      <c r="M122" s="306">
        <f t="shared" ref="M122" si="471">K122+L122</f>
        <v>4.6470099999999999</v>
      </c>
      <c r="N122" s="306">
        <f t="shared" ref="N122" si="472">H122+H123</f>
        <v>0</v>
      </c>
      <c r="O122" s="306">
        <f t="shared" ref="O122" si="473">M122-N122</f>
        <v>4.6470099999999999</v>
      </c>
      <c r="P122" s="307">
        <f t="shared" ref="P122" si="474">N122/M122</f>
        <v>0</v>
      </c>
    </row>
    <row r="123" spans="2:16" x14ac:dyDescent="0.2">
      <c r="B123" s="368"/>
      <c r="C123" s="345"/>
      <c r="D123" s="123" t="s">
        <v>64</v>
      </c>
      <c r="E123" s="91">
        <f>0.0666+0.396</f>
        <v>0.46260000000000001</v>
      </c>
      <c r="F123" s="92"/>
      <c r="G123" s="92">
        <f t="shared" ref="G123" si="475">E123+F123+I122</f>
        <v>4.6470099999999999</v>
      </c>
      <c r="H123" s="91"/>
      <c r="I123" s="92">
        <f t="shared" si="295"/>
        <v>4.6470099999999999</v>
      </c>
      <c r="J123" s="93">
        <f t="shared" si="296"/>
        <v>0</v>
      </c>
      <c r="K123" s="310"/>
      <c r="L123" s="306"/>
      <c r="M123" s="306"/>
      <c r="N123" s="306"/>
      <c r="O123" s="306"/>
      <c r="P123" s="307"/>
    </row>
    <row r="124" spans="2:16" x14ac:dyDescent="0.2">
      <c r="B124" s="368"/>
      <c r="C124" s="345" t="s">
        <v>41</v>
      </c>
      <c r="D124" s="123" t="s">
        <v>63</v>
      </c>
      <c r="E124" s="91">
        <v>3.73563</v>
      </c>
      <c r="F124" s="92"/>
      <c r="G124" s="92">
        <f t="shared" ref="G124" si="476">E124+F124</f>
        <v>3.73563</v>
      </c>
      <c r="H124" s="91">
        <v>3.6</v>
      </c>
      <c r="I124" s="92">
        <f t="shared" si="295"/>
        <v>0.13562999999999992</v>
      </c>
      <c r="J124" s="93">
        <f t="shared" si="296"/>
        <v>0.9636928710819862</v>
      </c>
      <c r="K124" s="310">
        <f t="shared" ref="K124" si="477">E124+E125</f>
        <v>4.1486099999999997</v>
      </c>
      <c r="L124" s="306">
        <f t="shared" ref="L124" si="478">F124+F125</f>
        <v>0</v>
      </c>
      <c r="M124" s="306">
        <f t="shared" ref="M124" si="479">K124+L124</f>
        <v>4.1486099999999997</v>
      </c>
      <c r="N124" s="306">
        <f t="shared" ref="N124" si="480">H124+H125</f>
        <v>3.6</v>
      </c>
      <c r="O124" s="306">
        <f t="shared" ref="O124" si="481">M124-N124</f>
        <v>0.5486099999999996</v>
      </c>
      <c r="P124" s="307">
        <f t="shared" ref="P124" si="482">N124/M124</f>
        <v>0.86776052701989348</v>
      </c>
    </row>
    <row r="125" spans="2:16" x14ac:dyDescent="0.2">
      <c r="B125" s="368"/>
      <c r="C125" s="345"/>
      <c r="D125" s="123" t="s">
        <v>64</v>
      </c>
      <c r="E125" s="91">
        <v>0.41298000000000001</v>
      </c>
      <c r="F125" s="92"/>
      <c r="G125" s="92">
        <f t="shared" ref="G125" si="483">E125+F125+I124</f>
        <v>0.54860999999999993</v>
      </c>
      <c r="H125" s="91"/>
      <c r="I125" s="92">
        <f t="shared" si="295"/>
        <v>0.54860999999999993</v>
      </c>
      <c r="J125" s="93">
        <f t="shared" si="296"/>
        <v>0</v>
      </c>
      <c r="K125" s="310"/>
      <c r="L125" s="306"/>
      <c r="M125" s="306"/>
      <c r="N125" s="306"/>
      <c r="O125" s="306"/>
      <c r="P125" s="307"/>
    </row>
    <row r="126" spans="2:16" x14ac:dyDescent="0.2">
      <c r="B126" s="368"/>
      <c r="C126" s="345" t="s">
        <v>42</v>
      </c>
      <c r="D126" s="123" t="s">
        <v>63</v>
      </c>
      <c r="E126" s="91">
        <v>2.2598400000000001</v>
      </c>
      <c r="F126" s="92"/>
      <c r="G126" s="92">
        <f t="shared" ref="G126" si="484">E126+F126</f>
        <v>2.2598400000000001</v>
      </c>
      <c r="H126" s="91"/>
      <c r="I126" s="92">
        <f t="shared" si="295"/>
        <v>2.2598400000000001</v>
      </c>
      <c r="J126" s="93">
        <f t="shared" si="296"/>
        <v>0</v>
      </c>
      <c r="K126" s="310">
        <f t="shared" ref="K126" si="485">E126+E127</f>
        <v>2.5096699999999998</v>
      </c>
      <c r="L126" s="306">
        <f t="shared" ref="L126" si="486">F126+F127</f>
        <v>0</v>
      </c>
      <c r="M126" s="306">
        <f t="shared" ref="M126" si="487">K126+L126</f>
        <v>2.5096699999999998</v>
      </c>
      <c r="N126" s="306">
        <f t="shared" ref="N126" si="488">H126+H127</f>
        <v>0</v>
      </c>
      <c r="O126" s="306">
        <f t="shared" ref="O126" si="489">M126-N126</f>
        <v>2.5096699999999998</v>
      </c>
      <c r="P126" s="307">
        <f t="shared" ref="P126" si="490">N126/M126</f>
        <v>0</v>
      </c>
    </row>
    <row r="127" spans="2:16" x14ac:dyDescent="0.2">
      <c r="B127" s="368"/>
      <c r="C127" s="345"/>
      <c r="D127" s="123" t="s">
        <v>64</v>
      </c>
      <c r="E127" s="91">
        <v>0.24983</v>
      </c>
      <c r="F127" s="92"/>
      <c r="G127" s="92">
        <f t="shared" ref="G127" si="491">E127+F127+I126</f>
        <v>2.5096699999999998</v>
      </c>
      <c r="H127" s="91"/>
      <c r="I127" s="92">
        <f t="shared" si="295"/>
        <v>2.5096699999999998</v>
      </c>
      <c r="J127" s="93">
        <f t="shared" si="296"/>
        <v>0</v>
      </c>
      <c r="K127" s="310"/>
      <c r="L127" s="306"/>
      <c r="M127" s="306"/>
      <c r="N127" s="306"/>
      <c r="O127" s="306"/>
      <c r="P127" s="307"/>
    </row>
    <row r="128" spans="2:16" x14ac:dyDescent="0.2">
      <c r="B128" s="368"/>
      <c r="C128" s="345" t="s">
        <v>43</v>
      </c>
      <c r="D128" s="123" t="s">
        <v>63</v>
      </c>
      <c r="E128" s="91">
        <f>120.80972+29.38139+24.80185+1.194+1.194+1.194+2.388+2.388+2.388+2.388+2.388+2.388+1.8706+1.7114+3.582+3.582+3.582+3.582+2.0298+1.7353+5.97+9.552+8.1192</f>
        <v>238.21925999999996</v>
      </c>
      <c r="F128" s="92">
        <f>-Hoja1!I12-Hoja1!I20+30.59356</f>
        <v>1.1226796000000014</v>
      </c>
      <c r="G128" s="92">
        <f t="shared" ref="G128" si="492">E128+F128</f>
        <v>239.34193959999996</v>
      </c>
      <c r="H128" s="91">
        <f>19.879+6.674+36.183+58.214</f>
        <v>120.95</v>
      </c>
      <c r="I128" s="92">
        <f t="shared" si="295"/>
        <v>118.39193959999996</v>
      </c>
      <c r="J128" s="93">
        <f t="shared" si="296"/>
        <v>0.50534394516120995</v>
      </c>
      <c r="K128" s="310">
        <f t="shared" ref="K128" si="493">E128+E129</f>
        <v>264.55500999999998</v>
      </c>
      <c r="L128" s="306">
        <f t="shared" ref="L128" si="494">F128+F129</f>
        <v>1.1226796000000014</v>
      </c>
      <c r="M128" s="306">
        <f t="shared" ref="M128" si="495">K128+L128</f>
        <v>265.67768960000001</v>
      </c>
      <c r="N128" s="306">
        <f t="shared" ref="N128" si="496">H128+H129</f>
        <v>138.56299999999999</v>
      </c>
      <c r="O128" s="306">
        <f t="shared" ref="O128" si="497">M128-N128</f>
        <v>127.11468960000002</v>
      </c>
      <c r="P128" s="307">
        <f t="shared" ref="P128" si="498">N128/M128</f>
        <v>0.52154548697189507</v>
      </c>
    </row>
    <row r="129" spans="2:16" x14ac:dyDescent="0.2">
      <c r="B129" s="368"/>
      <c r="C129" s="345"/>
      <c r="D129" s="123" t="s">
        <v>64</v>
      </c>
      <c r="E129" s="91">
        <f>13.35585+3.24819+2.74191+0.132+0.132+0.132+0.264+0.264+0.264+0.264+0.264+0.264+0.2068+0.1892+0.396+0.396+0.396+0.396+0.2244+0.1918+0.66+1.056+0.8976</f>
        <v>26.335750000000008</v>
      </c>
      <c r="F129" s="92"/>
      <c r="G129" s="92">
        <f t="shared" ref="G129" si="499">E129+F129+I128</f>
        <v>144.72768959999996</v>
      </c>
      <c r="H129" s="91">
        <v>17.613</v>
      </c>
      <c r="I129" s="92">
        <f t="shared" si="295"/>
        <v>127.11468959999996</v>
      </c>
      <c r="J129" s="93">
        <f t="shared" si="296"/>
        <v>0.12169751378384475</v>
      </c>
      <c r="K129" s="310"/>
      <c r="L129" s="306"/>
      <c r="M129" s="306"/>
      <c r="N129" s="306"/>
      <c r="O129" s="306"/>
      <c r="P129" s="307"/>
    </row>
    <row r="130" spans="2:16" x14ac:dyDescent="0.2">
      <c r="B130" s="368"/>
      <c r="C130" s="345" t="s">
        <v>44</v>
      </c>
      <c r="D130" s="123" t="s">
        <v>63</v>
      </c>
      <c r="E130" s="91">
        <f>1.23356</f>
        <v>1.23356</v>
      </c>
      <c r="F130" s="92"/>
      <c r="G130" s="92">
        <f t="shared" ref="G130" si="500">E130+F130</f>
        <v>1.23356</v>
      </c>
      <c r="H130" s="91"/>
      <c r="I130" s="92">
        <f t="shared" si="295"/>
        <v>1.23356</v>
      </c>
      <c r="J130" s="93">
        <f t="shared" si="296"/>
        <v>0</v>
      </c>
      <c r="K130" s="310">
        <f t="shared" ref="K130" si="501">E130+E131</f>
        <v>1.3699300000000001</v>
      </c>
      <c r="L130" s="306">
        <f t="shared" ref="L130" si="502">F130+F131</f>
        <v>0</v>
      </c>
      <c r="M130" s="306">
        <f t="shared" ref="M130" si="503">K130+L130</f>
        <v>1.3699300000000001</v>
      </c>
      <c r="N130" s="306">
        <f t="shared" ref="N130" si="504">H130+H131</f>
        <v>0</v>
      </c>
      <c r="O130" s="306">
        <f t="shared" ref="O130" si="505">M130-N130</f>
        <v>1.3699300000000001</v>
      </c>
      <c r="P130" s="307">
        <f t="shared" ref="P130" si="506">N130/M130</f>
        <v>0</v>
      </c>
    </row>
    <row r="131" spans="2:16" x14ac:dyDescent="0.2">
      <c r="B131" s="368"/>
      <c r="C131" s="345"/>
      <c r="D131" s="123" t="s">
        <v>64</v>
      </c>
      <c r="E131" s="91">
        <v>0.13636999999999999</v>
      </c>
      <c r="F131" s="92"/>
      <c r="G131" s="92">
        <f t="shared" ref="G131" si="507">E131+F131+I130</f>
        <v>1.3699300000000001</v>
      </c>
      <c r="H131" s="91"/>
      <c r="I131" s="92">
        <f t="shared" si="295"/>
        <v>1.3699300000000001</v>
      </c>
      <c r="J131" s="93">
        <f t="shared" si="296"/>
        <v>0</v>
      </c>
      <c r="K131" s="310"/>
      <c r="L131" s="306"/>
      <c r="M131" s="306"/>
      <c r="N131" s="306"/>
      <c r="O131" s="306"/>
      <c r="P131" s="307"/>
    </row>
    <row r="132" spans="2:16" x14ac:dyDescent="0.2">
      <c r="B132" s="368"/>
      <c r="C132" s="345" t="s">
        <v>45</v>
      </c>
      <c r="D132" s="123" t="s">
        <v>63</v>
      </c>
      <c r="E132" s="91">
        <v>25.858619999999998</v>
      </c>
      <c r="F132" s="92"/>
      <c r="G132" s="92">
        <f t="shared" ref="G132" si="508">E132+F132</f>
        <v>25.858619999999998</v>
      </c>
      <c r="H132" s="91"/>
      <c r="I132" s="92">
        <f t="shared" si="295"/>
        <v>25.858619999999998</v>
      </c>
      <c r="J132" s="93">
        <f t="shared" si="296"/>
        <v>0</v>
      </c>
      <c r="K132" s="310">
        <f t="shared" ref="K132" si="509">E132+E133</f>
        <v>28.717359999999999</v>
      </c>
      <c r="L132" s="306">
        <f t="shared" ref="L132" si="510">F132+F133</f>
        <v>0</v>
      </c>
      <c r="M132" s="306">
        <f t="shared" ref="M132" si="511">K132+L132</f>
        <v>28.717359999999999</v>
      </c>
      <c r="N132" s="306">
        <f t="shared" ref="N132" si="512">H132+H133</f>
        <v>0</v>
      </c>
      <c r="O132" s="306">
        <f t="shared" ref="O132" si="513">M132-N132</f>
        <v>28.717359999999999</v>
      </c>
      <c r="P132" s="307">
        <f t="shared" ref="P132" si="514">N132/M132</f>
        <v>0</v>
      </c>
    </row>
    <row r="133" spans="2:16" x14ac:dyDescent="0.2">
      <c r="B133" s="368"/>
      <c r="C133" s="345"/>
      <c r="D133" s="123" t="s">
        <v>64</v>
      </c>
      <c r="E133" s="91">
        <v>2.8587400000000001</v>
      </c>
      <c r="F133" s="92"/>
      <c r="G133" s="92">
        <f t="shared" ref="G133" si="515">E133+F133+I132</f>
        <v>28.717359999999999</v>
      </c>
      <c r="H133" s="91"/>
      <c r="I133" s="92">
        <f t="shared" si="295"/>
        <v>28.717359999999999</v>
      </c>
      <c r="J133" s="93">
        <f t="shared" si="296"/>
        <v>0</v>
      </c>
      <c r="K133" s="310"/>
      <c r="L133" s="306"/>
      <c r="M133" s="306"/>
      <c r="N133" s="306"/>
      <c r="O133" s="306"/>
      <c r="P133" s="307"/>
    </row>
    <row r="134" spans="2:16" x14ac:dyDescent="0.2">
      <c r="B134" s="368"/>
      <c r="C134" s="345" t="s">
        <v>46</v>
      </c>
      <c r="D134" s="123" t="s">
        <v>63</v>
      </c>
      <c r="E134" s="91">
        <v>2.3879999999999998E-2</v>
      </c>
      <c r="F134" s="92"/>
      <c r="G134" s="92">
        <f t="shared" ref="G134" si="516">E134+F134</f>
        <v>2.3879999999999998E-2</v>
      </c>
      <c r="H134" s="91"/>
      <c r="I134" s="92">
        <f t="shared" si="295"/>
        <v>2.3879999999999998E-2</v>
      </c>
      <c r="J134" s="93">
        <f t="shared" si="296"/>
        <v>0</v>
      </c>
      <c r="K134" s="310">
        <f t="shared" ref="K134" si="517">E134+E135</f>
        <v>2.6519999999999998E-2</v>
      </c>
      <c r="L134" s="306">
        <f t="shared" ref="L134" si="518">F134+F135</f>
        <v>0</v>
      </c>
      <c r="M134" s="306">
        <f t="shared" ref="M134" si="519">K134+L134</f>
        <v>2.6519999999999998E-2</v>
      </c>
      <c r="N134" s="306">
        <f t="shared" ref="N134" si="520">H134+H135</f>
        <v>0</v>
      </c>
      <c r="O134" s="306">
        <f t="shared" ref="O134" si="521">M134-N134</f>
        <v>2.6519999999999998E-2</v>
      </c>
      <c r="P134" s="307">
        <f t="shared" ref="P134" si="522">N134/M134</f>
        <v>0</v>
      </c>
    </row>
    <row r="135" spans="2:16" x14ac:dyDescent="0.2">
      <c r="B135" s="368"/>
      <c r="C135" s="345"/>
      <c r="D135" s="123" t="s">
        <v>64</v>
      </c>
      <c r="E135" s="91">
        <v>2.64E-3</v>
      </c>
      <c r="F135" s="92"/>
      <c r="G135" s="92">
        <f t="shared" ref="G135" si="523">E135+F135+I134</f>
        <v>2.6519999999999998E-2</v>
      </c>
      <c r="H135" s="91"/>
      <c r="I135" s="92">
        <f t="shared" si="295"/>
        <v>2.6519999999999998E-2</v>
      </c>
      <c r="J135" s="93">
        <f t="shared" si="296"/>
        <v>0</v>
      </c>
      <c r="K135" s="310"/>
      <c r="L135" s="306"/>
      <c r="M135" s="306"/>
      <c r="N135" s="306"/>
      <c r="O135" s="306"/>
      <c r="P135" s="307"/>
    </row>
    <row r="136" spans="2:16" x14ac:dyDescent="0.2">
      <c r="B136" s="368"/>
      <c r="C136" s="345" t="s">
        <v>47</v>
      </c>
      <c r="D136" s="123" t="s">
        <v>63</v>
      </c>
      <c r="E136" s="91">
        <v>1.592E-2</v>
      </c>
      <c r="F136" s="92">
        <f>Hoja1!I14</f>
        <v>15.487945199999999</v>
      </c>
      <c r="G136" s="92">
        <f t="shared" ref="G136" si="524">E136+F136</f>
        <v>15.503865199999998</v>
      </c>
      <c r="H136" s="91"/>
      <c r="I136" s="92">
        <f t="shared" si="295"/>
        <v>15.503865199999998</v>
      </c>
      <c r="J136" s="93">
        <f t="shared" si="296"/>
        <v>0</v>
      </c>
      <c r="K136" s="310">
        <f t="shared" ref="K136" si="525">E136+E137</f>
        <v>1.7680000000000001E-2</v>
      </c>
      <c r="L136" s="306">
        <f t="shared" ref="L136" si="526">F136+F137</f>
        <v>15.487945199999999</v>
      </c>
      <c r="M136" s="306">
        <f t="shared" ref="M136" si="527">K136+L136</f>
        <v>15.505625199999999</v>
      </c>
      <c r="N136" s="306">
        <f t="shared" ref="N136" si="528">H136+H137</f>
        <v>0</v>
      </c>
      <c r="O136" s="306">
        <f t="shared" ref="O136" si="529">M136-N136</f>
        <v>15.505625199999999</v>
      </c>
      <c r="P136" s="307">
        <f t="shared" ref="P136" si="530">N136/M136</f>
        <v>0</v>
      </c>
    </row>
    <row r="137" spans="2:16" x14ac:dyDescent="0.2">
      <c r="B137" s="368"/>
      <c r="C137" s="345"/>
      <c r="D137" s="123" t="s">
        <v>64</v>
      </c>
      <c r="E137" s="91">
        <v>1.7600000000000001E-3</v>
      </c>
      <c r="F137" s="92"/>
      <c r="G137" s="92">
        <f t="shared" ref="G137" si="531">E137+F137+I136</f>
        <v>15.505625199999999</v>
      </c>
      <c r="H137" s="91"/>
      <c r="I137" s="92">
        <f t="shared" si="295"/>
        <v>15.505625199999999</v>
      </c>
      <c r="J137" s="93">
        <f t="shared" si="296"/>
        <v>0</v>
      </c>
      <c r="K137" s="310"/>
      <c r="L137" s="306"/>
      <c r="M137" s="306"/>
      <c r="N137" s="306"/>
      <c r="O137" s="306"/>
      <c r="P137" s="307"/>
    </row>
    <row r="138" spans="2:16" x14ac:dyDescent="0.2">
      <c r="B138" s="368"/>
      <c r="C138" s="345" t="s">
        <v>48</v>
      </c>
      <c r="D138" s="123" t="s">
        <v>63</v>
      </c>
      <c r="E138" s="91">
        <v>14.473269999999999</v>
      </c>
      <c r="F138" s="92">
        <f>-Hoja1!I13</f>
        <v>-15.3534004</v>
      </c>
      <c r="G138" s="92">
        <f t="shared" ref="G138" si="532">E138+F138</f>
        <v>-0.88013040000000053</v>
      </c>
      <c r="H138" s="91"/>
      <c r="I138" s="92">
        <f t="shared" si="295"/>
        <v>-0.88013040000000053</v>
      </c>
      <c r="J138" s="93">
        <f t="shared" si="296"/>
        <v>0</v>
      </c>
      <c r="K138" s="310">
        <f t="shared" ref="K138" si="533">E138+E139</f>
        <v>16.073276</v>
      </c>
      <c r="L138" s="306">
        <f t="shared" ref="L138" si="534">F138+F139</f>
        <v>-15.3534004</v>
      </c>
      <c r="M138" s="306">
        <f t="shared" ref="M138" si="535">K138+L138</f>
        <v>0.71987559999999995</v>
      </c>
      <c r="N138" s="306">
        <f t="shared" ref="N138" si="536">H138+H139</f>
        <v>0</v>
      </c>
      <c r="O138" s="306">
        <f t="shared" ref="O138" si="537">M138-N138</f>
        <v>0.71987559999999995</v>
      </c>
      <c r="P138" s="307">
        <f t="shared" ref="P138" si="538">N138/M138</f>
        <v>0</v>
      </c>
    </row>
    <row r="139" spans="2:16" x14ac:dyDescent="0.2">
      <c r="B139" s="368"/>
      <c r="C139" s="345"/>
      <c r="D139" s="123" t="s">
        <v>64</v>
      </c>
      <c r="E139" s="91">
        <v>1.600006</v>
      </c>
      <c r="F139" s="92"/>
      <c r="G139" s="92">
        <f t="shared" ref="G139" si="539">E139+F139+I138</f>
        <v>0.7198755999999995</v>
      </c>
      <c r="H139" s="91"/>
      <c r="I139" s="92">
        <f t="shared" si="295"/>
        <v>0.7198755999999995</v>
      </c>
      <c r="J139" s="93">
        <f t="shared" si="296"/>
        <v>0</v>
      </c>
      <c r="K139" s="310"/>
      <c r="L139" s="306"/>
      <c r="M139" s="306"/>
      <c r="N139" s="306"/>
      <c r="O139" s="306"/>
      <c r="P139" s="307"/>
    </row>
    <row r="140" spans="2:16" x14ac:dyDescent="0.2">
      <c r="B140" s="368"/>
      <c r="C140" s="345" t="s">
        <v>49</v>
      </c>
      <c r="D140" s="123" t="s">
        <v>63</v>
      </c>
      <c r="E140" s="91">
        <v>7.9600000000000001E-3</v>
      </c>
      <c r="F140" s="92"/>
      <c r="G140" s="92">
        <f t="shared" ref="G140" si="540">E140+F140</f>
        <v>7.9600000000000001E-3</v>
      </c>
      <c r="H140" s="91"/>
      <c r="I140" s="92">
        <f t="shared" si="295"/>
        <v>7.9600000000000001E-3</v>
      </c>
      <c r="J140" s="93">
        <f t="shared" si="296"/>
        <v>0</v>
      </c>
      <c r="K140" s="310">
        <f t="shared" ref="K140" si="541">E140+E141</f>
        <v>8.8400000000000006E-3</v>
      </c>
      <c r="L140" s="306">
        <f t="shared" ref="L140" si="542">F140+F141</f>
        <v>0</v>
      </c>
      <c r="M140" s="306">
        <f t="shared" ref="M140" si="543">K140+L140</f>
        <v>8.8400000000000006E-3</v>
      </c>
      <c r="N140" s="306">
        <f t="shared" ref="N140" si="544">H140+H141</f>
        <v>0</v>
      </c>
      <c r="O140" s="306">
        <f t="shared" ref="O140" si="545">M140-N140</f>
        <v>8.8400000000000006E-3</v>
      </c>
      <c r="P140" s="307">
        <f t="shared" ref="P140" si="546">N140/M140</f>
        <v>0</v>
      </c>
    </row>
    <row r="141" spans="2:16" x14ac:dyDescent="0.2">
      <c r="B141" s="368"/>
      <c r="C141" s="345"/>
      <c r="D141" s="123" t="s">
        <v>64</v>
      </c>
      <c r="E141" s="91">
        <v>8.8000000000000003E-4</v>
      </c>
      <c r="F141" s="92"/>
      <c r="G141" s="92">
        <f t="shared" ref="G141" si="547">E141+F141+I140</f>
        <v>8.8400000000000006E-3</v>
      </c>
      <c r="H141" s="91"/>
      <c r="I141" s="92">
        <f t="shared" si="295"/>
        <v>8.8400000000000006E-3</v>
      </c>
      <c r="J141" s="93">
        <f t="shared" si="296"/>
        <v>0</v>
      </c>
      <c r="K141" s="310"/>
      <c r="L141" s="306"/>
      <c r="M141" s="306"/>
      <c r="N141" s="306"/>
      <c r="O141" s="306"/>
      <c r="P141" s="307"/>
    </row>
    <row r="142" spans="2:16" x14ac:dyDescent="0.2">
      <c r="B142" s="368"/>
      <c r="C142" s="345" t="s">
        <v>50</v>
      </c>
      <c r="D142" s="123" t="s">
        <v>63</v>
      </c>
      <c r="E142" s="91">
        <v>0.21492</v>
      </c>
      <c r="F142" s="92">
        <f>-Hoja1!I17</f>
        <v>-0.11491999999999999</v>
      </c>
      <c r="G142" s="92">
        <f t="shared" ref="G142" si="548">E142+F142</f>
        <v>0.1</v>
      </c>
      <c r="H142" s="91"/>
      <c r="I142" s="92">
        <f t="shared" si="295"/>
        <v>0.1</v>
      </c>
      <c r="J142" s="93">
        <f t="shared" si="296"/>
        <v>0</v>
      </c>
      <c r="K142" s="310">
        <f t="shared" ref="K142" si="549">E142+E143</f>
        <v>0.23868</v>
      </c>
      <c r="L142" s="306">
        <f t="shared" ref="L142" si="550">F142+F143</f>
        <v>-0.11491999999999999</v>
      </c>
      <c r="M142" s="306">
        <f t="shared" ref="M142" si="551">K142+L142</f>
        <v>0.12376000000000001</v>
      </c>
      <c r="N142" s="306">
        <f t="shared" ref="N142" si="552">H142+H143</f>
        <v>0</v>
      </c>
      <c r="O142" s="306">
        <f t="shared" ref="O142" si="553">M142-N142</f>
        <v>0.12376000000000001</v>
      </c>
      <c r="P142" s="307">
        <f t="shared" ref="P142" si="554">N142/M142</f>
        <v>0</v>
      </c>
    </row>
    <row r="143" spans="2:16" x14ac:dyDescent="0.2">
      <c r="B143" s="368"/>
      <c r="C143" s="345"/>
      <c r="D143" s="123" t="s">
        <v>64</v>
      </c>
      <c r="E143" s="91">
        <v>2.376E-2</v>
      </c>
      <c r="F143" s="92"/>
      <c r="G143" s="92">
        <f t="shared" ref="G143" si="555">E143+F143+I142</f>
        <v>0.12376000000000001</v>
      </c>
      <c r="H143" s="91"/>
      <c r="I143" s="92">
        <f t="shared" si="295"/>
        <v>0.12376000000000001</v>
      </c>
      <c r="J143" s="93">
        <f t="shared" si="296"/>
        <v>0</v>
      </c>
      <c r="K143" s="310"/>
      <c r="L143" s="306"/>
      <c r="M143" s="306"/>
      <c r="N143" s="306"/>
      <c r="O143" s="306"/>
      <c r="P143" s="307"/>
    </row>
    <row r="144" spans="2:16" x14ac:dyDescent="0.2">
      <c r="B144" s="368"/>
      <c r="C144" s="345" t="s">
        <v>148</v>
      </c>
      <c r="D144" s="165" t="s">
        <v>63</v>
      </c>
      <c r="E144" s="91">
        <v>0</v>
      </c>
      <c r="F144" s="92">
        <f>Hoja1!I10</f>
        <v>0.19448000000000001</v>
      </c>
      <c r="G144" s="92">
        <f t="shared" ref="G144" si="556">E144+F144</f>
        <v>0.19448000000000001</v>
      </c>
      <c r="H144" s="91"/>
      <c r="I144" s="92">
        <f t="shared" ref="I144:I145" si="557">G144-H144</f>
        <v>0.19448000000000001</v>
      </c>
      <c r="J144" s="93">
        <f t="shared" ref="J144:J145" si="558">H144/G144</f>
        <v>0</v>
      </c>
      <c r="K144" s="310">
        <f t="shared" ref="K144" si="559">E144+E145</f>
        <v>0</v>
      </c>
      <c r="L144" s="306">
        <f t="shared" ref="L144" si="560">F144+F145</f>
        <v>0.19448000000000001</v>
      </c>
      <c r="M144" s="306">
        <f t="shared" ref="M144" si="561">K144+L144</f>
        <v>0.19448000000000001</v>
      </c>
      <c r="N144" s="306">
        <f t="shared" ref="N144" si="562">H144+H145</f>
        <v>0</v>
      </c>
      <c r="O144" s="306">
        <f t="shared" ref="O144" si="563">M144-N144</f>
        <v>0.19448000000000001</v>
      </c>
      <c r="P144" s="307">
        <f t="shared" ref="P144" si="564">N144/M144</f>
        <v>0</v>
      </c>
    </row>
    <row r="145" spans="2:16" x14ac:dyDescent="0.2">
      <c r="B145" s="368"/>
      <c r="C145" s="345"/>
      <c r="D145" s="165" t="s">
        <v>64</v>
      </c>
      <c r="E145" s="91">
        <v>0</v>
      </c>
      <c r="F145" s="92"/>
      <c r="G145" s="92">
        <f t="shared" ref="G145" si="565">E145+F145+I144</f>
        <v>0.19448000000000001</v>
      </c>
      <c r="H145" s="91"/>
      <c r="I145" s="92">
        <f t="shared" si="557"/>
        <v>0.19448000000000001</v>
      </c>
      <c r="J145" s="93">
        <f t="shared" si="558"/>
        <v>0</v>
      </c>
      <c r="K145" s="310"/>
      <c r="L145" s="306"/>
      <c r="M145" s="306"/>
      <c r="N145" s="306"/>
      <c r="O145" s="306"/>
      <c r="P145" s="307"/>
    </row>
    <row r="146" spans="2:16" x14ac:dyDescent="0.2">
      <c r="B146" s="368"/>
      <c r="C146" s="361" t="s">
        <v>180</v>
      </c>
      <c r="D146" s="209" t="s">
        <v>63</v>
      </c>
      <c r="E146" s="91">
        <v>0</v>
      </c>
      <c r="F146" s="92">
        <f>Hoja1!I17</f>
        <v>0.11491999999999999</v>
      </c>
      <c r="G146" s="92">
        <f t="shared" ref="G146" si="566">E146+F146</f>
        <v>0.11491999999999999</v>
      </c>
      <c r="H146" s="91"/>
      <c r="I146" s="92">
        <f t="shared" ref="I146:I147" si="567">G146-H146</f>
        <v>0.11491999999999999</v>
      </c>
      <c r="J146" s="93">
        <f t="shared" ref="J146:J147" si="568">H146/G146</f>
        <v>0</v>
      </c>
      <c r="K146" s="310">
        <f t="shared" ref="K146" si="569">E146+E147</f>
        <v>0</v>
      </c>
      <c r="L146" s="306">
        <f t="shared" ref="L146" si="570">F146+F147</f>
        <v>0.11491999999999999</v>
      </c>
      <c r="M146" s="306">
        <f t="shared" ref="M146" si="571">K146+L146</f>
        <v>0.11491999999999999</v>
      </c>
      <c r="N146" s="306">
        <f t="shared" ref="N146" si="572">H146+H147</f>
        <v>0</v>
      </c>
      <c r="O146" s="306">
        <f t="shared" ref="O146" si="573">M146-N146</f>
        <v>0.11491999999999999</v>
      </c>
      <c r="P146" s="307">
        <f t="shared" ref="P146" si="574">N146/M146</f>
        <v>0</v>
      </c>
    </row>
    <row r="147" spans="2:16" x14ac:dyDescent="0.2">
      <c r="B147" s="368"/>
      <c r="C147" s="362"/>
      <c r="D147" s="209" t="s">
        <v>64</v>
      </c>
      <c r="E147" s="91">
        <v>0</v>
      </c>
      <c r="F147" s="92"/>
      <c r="G147" s="92">
        <f t="shared" ref="G147" si="575">E147+F147+I146</f>
        <v>0.11491999999999999</v>
      </c>
      <c r="H147" s="91"/>
      <c r="I147" s="92">
        <f t="shared" si="567"/>
        <v>0.11491999999999999</v>
      </c>
      <c r="J147" s="93">
        <f t="shared" si="568"/>
        <v>0</v>
      </c>
      <c r="K147" s="310"/>
      <c r="L147" s="306"/>
      <c r="M147" s="306"/>
      <c r="N147" s="306"/>
      <c r="O147" s="306"/>
      <c r="P147" s="307"/>
    </row>
    <row r="148" spans="2:16" x14ac:dyDescent="0.2">
      <c r="B148" s="368"/>
      <c r="C148" s="345" t="s">
        <v>51</v>
      </c>
      <c r="D148" s="123" t="s">
        <v>63</v>
      </c>
      <c r="E148" s="91">
        <f>0.00796+1.0109</f>
        <v>1.0188599999999999</v>
      </c>
      <c r="F148" s="92">
        <f>Hoja1!I20-30.59356</f>
        <v>-1.1226796000000014</v>
      </c>
      <c r="G148" s="92">
        <f t="shared" ref="G148" si="576">E148+F148</f>
        <v>-0.10381960000000157</v>
      </c>
      <c r="H148" s="91"/>
      <c r="I148" s="92">
        <f t="shared" si="295"/>
        <v>-0.10381960000000157</v>
      </c>
      <c r="J148" s="93">
        <f t="shared" si="296"/>
        <v>0</v>
      </c>
      <c r="K148" s="310">
        <f t="shared" ref="K148" si="577">E148+E149</f>
        <v>1.1315399999999998</v>
      </c>
      <c r="L148" s="306">
        <f t="shared" ref="L148" si="578">F148+F149</f>
        <v>-1.1226796000000014</v>
      </c>
      <c r="M148" s="306">
        <f t="shared" ref="M148" si="579">K148+L148</f>
        <v>8.8603999999983252E-3</v>
      </c>
      <c r="N148" s="306">
        <f t="shared" ref="N148" si="580">H148+H149</f>
        <v>0</v>
      </c>
      <c r="O148" s="306">
        <f t="shared" ref="O148" si="581">M148-N148</f>
        <v>8.8603999999983252E-3</v>
      </c>
      <c r="P148" s="307">
        <f t="shared" ref="P148" si="582">N148/M148</f>
        <v>0</v>
      </c>
    </row>
    <row r="149" spans="2:16" ht="13.5" thickBot="1" x14ac:dyDescent="0.25">
      <c r="B149" s="369"/>
      <c r="C149" s="360"/>
      <c r="D149" s="124" t="s">
        <v>64</v>
      </c>
      <c r="E149" s="98">
        <f>0.00088+0.1118</f>
        <v>0.11268</v>
      </c>
      <c r="F149" s="99"/>
      <c r="G149" s="99">
        <f t="shared" ref="G149" si="583">E149+F149+I148</f>
        <v>8.8603999999984362E-3</v>
      </c>
      <c r="H149" s="98"/>
      <c r="I149" s="99">
        <f t="shared" si="295"/>
        <v>8.8603999999984362E-3</v>
      </c>
      <c r="J149" s="100">
        <f t="shared" si="296"/>
        <v>0</v>
      </c>
      <c r="K149" s="336"/>
      <c r="L149" s="324"/>
      <c r="M149" s="324"/>
      <c r="N149" s="324"/>
      <c r="O149" s="324"/>
      <c r="P149" s="325"/>
    </row>
    <row r="150" spans="2:16" x14ac:dyDescent="0.2">
      <c r="B150" s="342" t="s">
        <v>56</v>
      </c>
      <c r="C150" s="338" t="s">
        <v>36</v>
      </c>
      <c r="D150" s="125" t="s">
        <v>63</v>
      </c>
      <c r="E150" s="95">
        <f>218.6395+5.7408+17.664</f>
        <v>242.04430000000002</v>
      </c>
      <c r="F150" s="96"/>
      <c r="G150" s="96">
        <f t="shared" ref="G150" si="584">E150+F150</f>
        <v>242.04430000000002</v>
      </c>
      <c r="H150" s="95">
        <v>202.71299999999999</v>
      </c>
      <c r="I150" s="96">
        <f t="shared" si="295"/>
        <v>39.331300000000027</v>
      </c>
      <c r="J150" s="97">
        <f t="shared" si="296"/>
        <v>0.83750371316325145</v>
      </c>
      <c r="K150" s="321">
        <f t="shared" ref="K150" si="585">E150+E151</f>
        <v>268.84673000000004</v>
      </c>
      <c r="L150" s="321">
        <f t="shared" ref="L150" si="586">F150+F151</f>
        <v>0</v>
      </c>
      <c r="M150" s="321">
        <f t="shared" ref="M150" si="587">K150+L150</f>
        <v>268.84673000000004</v>
      </c>
      <c r="N150" s="321">
        <f t="shared" ref="N150" si="588">H150+H151</f>
        <v>202.71299999999999</v>
      </c>
      <c r="O150" s="321">
        <f t="shared" ref="O150" si="589">M150-N150</f>
        <v>66.133730000000043</v>
      </c>
      <c r="P150" s="322">
        <f t="shared" ref="P150" si="590">N150/M150</f>
        <v>0.75400954290944866</v>
      </c>
    </row>
    <row r="151" spans="2:16" x14ac:dyDescent="0.2">
      <c r="B151" s="343"/>
      <c r="C151" s="337"/>
      <c r="D151" s="126" t="s">
        <v>64</v>
      </c>
      <c r="E151" s="91">
        <f>24.21073+0.6357+1.956</f>
        <v>26.802430000000001</v>
      </c>
      <c r="F151" s="92"/>
      <c r="G151" s="92">
        <f t="shared" ref="G151" si="591">E151+F151+I150</f>
        <v>66.133730000000028</v>
      </c>
      <c r="H151" s="91"/>
      <c r="I151" s="92">
        <f t="shared" si="295"/>
        <v>66.133730000000028</v>
      </c>
      <c r="J151" s="93">
        <f t="shared" si="296"/>
        <v>0</v>
      </c>
      <c r="K151" s="306"/>
      <c r="L151" s="306"/>
      <c r="M151" s="306"/>
      <c r="N151" s="306"/>
      <c r="O151" s="306"/>
      <c r="P151" s="307"/>
    </row>
    <row r="152" spans="2:16" x14ac:dyDescent="0.2">
      <c r="B152" s="343"/>
      <c r="C152" s="337" t="s">
        <v>37</v>
      </c>
      <c r="D152" s="126" t="s">
        <v>63</v>
      </c>
      <c r="E152" s="91">
        <f>83.32712+107.80472+25.78988+187.72681+0.8832+8.832+19.872+12.144+7.0656</f>
        <v>453.44533000000007</v>
      </c>
      <c r="F152" s="92">
        <f>-Hoja1!J10-Hoja1!J14</f>
        <v>-29.005390499999997</v>
      </c>
      <c r="G152" s="92">
        <f t="shared" ref="G152" si="592">E152+F152</f>
        <v>424.43993950000009</v>
      </c>
      <c r="H152" s="91">
        <f>211.588+31.604</f>
        <v>243.19200000000001</v>
      </c>
      <c r="I152" s="92">
        <f t="shared" ref="I152:I228" si="593">G152-H152</f>
        <v>181.24793950000009</v>
      </c>
      <c r="J152" s="93">
        <f t="shared" ref="J152:J228" si="594">H152/G152</f>
        <v>0.57297152639896642</v>
      </c>
      <c r="K152" s="306">
        <f t="shared" ref="K152" si="595">E152+E153</f>
        <v>503.65705000000008</v>
      </c>
      <c r="L152" s="306">
        <f t="shared" ref="L152" si="596">F152+F153</f>
        <v>-29.005390499999997</v>
      </c>
      <c r="M152" s="306">
        <f t="shared" ref="M152" si="597">K152+L152</f>
        <v>474.65165950000011</v>
      </c>
      <c r="N152" s="306">
        <f t="shared" ref="N152" si="598">H152+H153</f>
        <v>316.666</v>
      </c>
      <c r="O152" s="306">
        <f t="shared" ref="O152" si="599">M152-N152</f>
        <v>157.98565950000011</v>
      </c>
      <c r="P152" s="307">
        <f t="shared" ref="P152" si="600">N152/M152</f>
        <v>0.66715451987164054</v>
      </c>
    </row>
    <row r="153" spans="2:16" x14ac:dyDescent="0.2">
      <c r="B153" s="343"/>
      <c r="C153" s="337"/>
      <c r="D153" s="126" t="s">
        <v>64</v>
      </c>
      <c r="E153" s="91">
        <f>9.22712+11.93761+2.85581+20.78768+0.0978+0.978+2.2005+1.3448+0.7824</f>
        <v>50.21172</v>
      </c>
      <c r="F153" s="92"/>
      <c r="G153" s="92">
        <f t="shared" ref="G153" si="601">E153+F153+I152</f>
        <v>231.4596595000001</v>
      </c>
      <c r="H153" s="91">
        <v>73.474000000000004</v>
      </c>
      <c r="I153" s="92">
        <f t="shared" si="593"/>
        <v>157.98565950000011</v>
      </c>
      <c r="J153" s="93">
        <f t="shared" si="594"/>
        <v>0.31743760514777725</v>
      </c>
      <c r="K153" s="306"/>
      <c r="L153" s="306"/>
      <c r="M153" s="306"/>
      <c r="N153" s="306"/>
      <c r="O153" s="306"/>
      <c r="P153" s="307"/>
    </row>
    <row r="154" spans="2:16" x14ac:dyDescent="0.2">
      <c r="B154" s="343"/>
      <c r="C154" s="337" t="s">
        <v>38</v>
      </c>
      <c r="D154" s="126" t="s">
        <v>63</v>
      </c>
      <c r="E154" s="91">
        <v>4.4159999999999998E-2</v>
      </c>
      <c r="F154" s="92"/>
      <c r="G154" s="92">
        <f t="shared" ref="G154" si="602">E154+F154</f>
        <v>4.4159999999999998E-2</v>
      </c>
      <c r="H154" s="91"/>
      <c r="I154" s="92">
        <f t="shared" si="593"/>
        <v>4.4159999999999998E-2</v>
      </c>
      <c r="J154" s="93">
        <f t="shared" si="594"/>
        <v>0</v>
      </c>
      <c r="K154" s="306">
        <f t="shared" ref="K154" si="603">E154+E155</f>
        <v>4.9049999999999996E-2</v>
      </c>
      <c r="L154" s="306">
        <f t="shared" ref="L154" si="604">F154+F155</f>
        <v>0</v>
      </c>
      <c r="M154" s="306">
        <f t="shared" ref="M154" si="605">K154+L154</f>
        <v>4.9049999999999996E-2</v>
      </c>
      <c r="N154" s="306">
        <f t="shared" ref="N154" si="606">H154+H155</f>
        <v>0</v>
      </c>
      <c r="O154" s="306">
        <f t="shared" ref="O154" si="607">M154-N154</f>
        <v>4.9049999999999996E-2</v>
      </c>
      <c r="P154" s="307">
        <f t="shared" ref="P154" si="608">N154/M154</f>
        <v>0</v>
      </c>
    </row>
    <row r="155" spans="2:16" x14ac:dyDescent="0.2">
      <c r="B155" s="343"/>
      <c r="C155" s="337"/>
      <c r="D155" s="126" t="s">
        <v>64</v>
      </c>
      <c r="E155" s="91">
        <v>4.8900000000000002E-3</v>
      </c>
      <c r="F155" s="92"/>
      <c r="G155" s="92">
        <f t="shared" ref="G155" si="609">E155+F155+I154</f>
        <v>4.9049999999999996E-2</v>
      </c>
      <c r="H155" s="91"/>
      <c r="I155" s="92">
        <f t="shared" si="593"/>
        <v>4.9049999999999996E-2</v>
      </c>
      <c r="J155" s="93">
        <f t="shared" si="594"/>
        <v>0</v>
      </c>
      <c r="K155" s="306"/>
      <c r="L155" s="306"/>
      <c r="M155" s="306"/>
      <c r="N155" s="306"/>
      <c r="O155" s="306"/>
      <c r="P155" s="307"/>
    </row>
    <row r="156" spans="2:16" x14ac:dyDescent="0.2">
      <c r="B156" s="343"/>
      <c r="C156" s="337" t="s">
        <v>39</v>
      </c>
      <c r="D156" s="126" t="s">
        <v>63</v>
      </c>
      <c r="E156" s="91">
        <f>214.6962+6.624+6.624+9.936</f>
        <v>237.8802</v>
      </c>
      <c r="F156" s="92">
        <f>Hoja1!J13</f>
        <v>28.396843500000003</v>
      </c>
      <c r="G156" s="92">
        <f t="shared" ref="G156" si="610">E156+F156</f>
        <v>266.27704349999999</v>
      </c>
      <c r="H156" s="91">
        <v>193.56200000000001</v>
      </c>
      <c r="I156" s="92">
        <f t="shared" si="593"/>
        <v>72.715043499999979</v>
      </c>
      <c r="J156" s="93">
        <f t="shared" si="594"/>
        <v>0.72691959267603934</v>
      </c>
      <c r="K156" s="306">
        <f t="shared" ref="K156" si="611">E156+E157</f>
        <v>264.22160000000002</v>
      </c>
      <c r="L156" s="306">
        <f t="shared" ref="L156" si="612">F156+F157</f>
        <v>28.396843500000003</v>
      </c>
      <c r="M156" s="306">
        <f t="shared" ref="M156" si="613">K156+L156</f>
        <v>292.61844350000001</v>
      </c>
      <c r="N156" s="306">
        <f t="shared" ref="N156" si="614">H156+H157</f>
        <v>193.56200000000001</v>
      </c>
      <c r="O156" s="306">
        <f t="shared" ref="O156" si="615">M156-N156</f>
        <v>99.0564435</v>
      </c>
      <c r="P156" s="307">
        <f t="shared" ref="P156" si="616">N156/M156</f>
        <v>0.66148256987772547</v>
      </c>
    </row>
    <row r="157" spans="2:16" x14ac:dyDescent="0.2">
      <c r="B157" s="343"/>
      <c r="C157" s="337"/>
      <c r="D157" s="126" t="s">
        <v>64</v>
      </c>
      <c r="E157" s="91">
        <f>23.7741+0.7335+0.7335+1.1003</f>
        <v>26.3414</v>
      </c>
      <c r="F157" s="92"/>
      <c r="G157" s="92">
        <f t="shared" ref="G157" si="617">E157+F157+I156</f>
        <v>99.056443499999972</v>
      </c>
      <c r="H157" s="91"/>
      <c r="I157" s="92">
        <f t="shared" si="593"/>
        <v>99.056443499999972</v>
      </c>
      <c r="J157" s="93">
        <f t="shared" si="594"/>
        <v>0</v>
      </c>
      <c r="K157" s="306"/>
      <c r="L157" s="306"/>
      <c r="M157" s="306"/>
      <c r="N157" s="306"/>
      <c r="O157" s="306"/>
      <c r="P157" s="307"/>
    </row>
    <row r="158" spans="2:16" x14ac:dyDescent="0.2">
      <c r="B158" s="343"/>
      <c r="C158" s="337" t="s">
        <v>40</v>
      </c>
      <c r="D158" s="126" t="s">
        <v>63</v>
      </c>
      <c r="E158" s="91">
        <f>1.11404+6.624</f>
        <v>7.7380399999999998</v>
      </c>
      <c r="F158" s="92">
        <f>-1.08054-0.9396</f>
        <v>-2.02014</v>
      </c>
      <c r="G158" s="92">
        <f t="shared" ref="G158" si="618">E158+F158</f>
        <v>5.7179000000000002</v>
      </c>
      <c r="H158" s="91">
        <f>0.63+0.25</f>
        <v>0.88</v>
      </c>
      <c r="I158" s="92">
        <f t="shared" si="593"/>
        <v>4.8379000000000003</v>
      </c>
      <c r="J158" s="93">
        <f t="shared" si="594"/>
        <v>0.15390265656971966</v>
      </c>
      <c r="K158" s="306">
        <f t="shared" ref="K158" si="619">E158+E159</f>
        <v>8.5948999999999991</v>
      </c>
      <c r="L158" s="306">
        <f t="shared" ref="L158" si="620">F158+F159</f>
        <v>-2.02014</v>
      </c>
      <c r="M158" s="306">
        <f t="shared" ref="M158" si="621">K158+L158</f>
        <v>6.5747599999999995</v>
      </c>
      <c r="N158" s="306">
        <f t="shared" ref="N158" si="622">H158+H159</f>
        <v>1.548</v>
      </c>
      <c r="O158" s="306">
        <f t="shared" ref="O158" si="623">M158-N158</f>
        <v>5.0267599999999995</v>
      </c>
      <c r="P158" s="307">
        <f t="shared" ref="P158" si="624">N158/M158</f>
        <v>0.2354458565787953</v>
      </c>
    </row>
    <row r="159" spans="2:16" x14ac:dyDescent="0.2">
      <c r="B159" s="343"/>
      <c r="C159" s="337"/>
      <c r="D159" s="126" t="s">
        <v>64</v>
      </c>
      <c r="E159" s="91">
        <f>0.12336+0.7335</f>
        <v>0.85686000000000007</v>
      </c>
      <c r="F159" s="92"/>
      <c r="G159" s="92">
        <f t="shared" ref="G159" si="625">E159+F159+I158</f>
        <v>5.6947600000000005</v>
      </c>
      <c r="H159" s="91">
        <v>0.66800000000000004</v>
      </c>
      <c r="I159" s="92">
        <f t="shared" si="593"/>
        <v>5.0267600000000003</v>
      </c>
      <c r="J159" s="93">
        <f t="shared" si="594"/>
        <v>0.11730081689131763</v>
      </c>
      <c r="K159" s="306"/>
      <c r="L159" s="306"/>
      <c r="M159" s="306"/>
      <c r="N159" s="306"/>
      <c r="O159" s="306"/>
      <c r="P159" s="307"/>
    </row>
    <row r="160" spans="2:16" x14ac:dyDescent="0.2">
      <c r="B160" s="343"/>
      <c r="C160" s="337" t="s">
        <v>41</v>
      </c>
      <c r="D160" s="126" t="s">
        <v>63</v>
      </c>
      <c r="E160" s="91">
        <v>6.9081000000000001</v>
      </c>
      <c r="F160" s="92"/>
      <c r="G160" s="92">
        <f t="shared" ref="G160" si="626">E160+F160</f>
        <v>6.9081000000000001</v>
      </c>
      <c r="H160" s="91">
        <v>3.1819999999999999</v>
      </c>
      <c r="I160" s="92">
        <f t="shared" si="593"/>
        <v>3.7261000000000002</v>
      </c>
      <c r="J160" s="93">
        <f t="shared" si="594"/>
        <v>0.4606186939969022</v>
      </c>
      <c r="K160" s="306">
        <f t="shared" ref="K160" si="627">E160+E161</f>
        <v>7.6730600000000004</v>
      </c>
      <c r="L160" s="306">
        <f t="shared" ref="L160" si="628">F160+F161</f>
        <v>0</v>
      </c>
      <c r="M160" s="306">
        <f t="shared" ref="M160" si="629">K160+L160</f>
        <v>7.6730600000000004</v>
      </c>
      <c r="N160" s="306">
        <f t="shared" ref="N160" si="630">H160+H161</f>
        <v>3.1819999999999999</v>
      </c>
      <c r="O160" s="306">
        <f t="shared" ref="O160" si="631">M160-N160</f>
        <v>4.4910600000000009</v>
      </c>
      <c r="P160" s="307">
        <f t="shared" ref="P160" si="632">N160/M160</f>
        <v>0.41469765647603429</v>
      </c>
    </row>
    <row r="161" spans="2:16" x14ac:dyDescent="0.2">
      <c r="B161" s="343"/>
      <c r="C161" s="337"/>
      <c r="D161" s="126" t="s">
        <v>64</v>
      </c>
      <c r="E161" s="91">
        <v>0.76495999999999997</v>
      </c>
      <c r="F161" s="92"/>
      <c r="G161" s="92">
        <f t="shared" ref="G161" si="633">E161+F161+I160</f>
        <v>4.4910600000000001</v>
      </c>
      <c r="H161" s="91"/>
      <c r="I161" s="92">
        <f t="shared" si="593"/>
        <v>4.4910600000000001</v>
      </c>
      <c r="J161" s="93">
        <f t="shared" si="594"/>
        <v>0</v>
      </c>
      <c r="K161" s="306"/>
      <c r="L161" s="306"/>
      <c r="M161" s="306"/>
      <c r="N161" s="306"/>
      <c r="O161" s="306"/>
      <c r="P161" s="307"/>
    </row>
    <row r="162" spans="2:16" x14ac:dyDescent="0.2">
      <c r="B162" s="343"/>
      <c r="C162" s="337" t="s">
        <v>42</v>
      </c>
      <c r="D162" s="126" t="s">
        <v>63</v>
      </c>
      <c r="E162" s="91">
        <v>4.1790099999999999</v>
      </c>
      <c r="F162" s="92"/>
      <c r="G162" s="92">
        <f t="shared" ref="G162" si="634">E162+F162</f>
        <v>4.1790099999999999</v>
      </c>
      <c r="H162" s="91"/>
      <c r="I162" s="92">
        <f t="shared" si="593"/>
        <v>4.1790099999999999</v>
      </c>
      <c r="J162" s="93">
        <f t="shared" si="594"/>
        <v>0</v>
      </c>
      <c r="K162" s="306">
        <f t="shared" ref="K162" si="635">E162+E163</f>
        <v>4.6417700000000002</v>
      </c>
      <c r="L162" s="306">
        <f t="shared" ref="L162" si="636">F162+F163</f>
        <v>0</v>
      </c>
      <c r="M162" s="306">
        <f t="shared" ref="M162" si="637">K162+L162</f>
        <v>4.6417700000000002</v>
      </c>
      <c r="N162" s="306">
        <f t="shared" ref="N162" si="638">H162+H163</f>
        <v>0</v>
      </c>
      <c r="O162" s="306">
        <f t="shared" ref="O162" si="639">M162-N162</f>
        <v>4.6417700000000002</v>
      </c>
      <c r="P162" s="307">
        <f t="shared" ref="P162" si="640">N162/M162</f>
        <v>0</v>
      </c>
    </row>
    <row r="163" spans="2:16" x14ac:dyDescent="0.2">
      <c r="B163" s="343"/>
      <c r="C163" s="337"/>
      <c r="D163" s="126" t="s">
        <v>64</v>
      </c>
      <c r="E163" s="91">
        <v>0.46276</v>
      </c>
      <c r="F163" s="92"/>
      <c r="G163" s="92">
        <f t="shared" ref="G163" si="641">E163+F163+I162</f>
        <v>4.6417700000000002</v>
      </c>
      <c r="H163" s="91"/>
      <c r="I163" s="92">
        <f t="shared" si="593"/>
        <v>4.6417700000000002</v>
      </c>
      <c r="J163" s="93">
        <f t="shared" si="594"/>
        <v>0</v>
      </c>
      <c r="K163" s="306"/>
      <c r="L163" s="306"/>
      <c r="M163" s="306"/>
      <c r="N163" s="306"/>
      <c r="O163" s="306"/>
      <c r="P163" s="307"/>
    </row>
    <row r="164" spans="2:16" x14ac:dyDescent="0.2">
      <c r="B164" s="343"/>
      <c r="C164" s="337" t="s">
        <v>43</v>
      </c>
      <c r="D164" s="126" t="s">
        <v>63</v>
      </c>
      <c r="E164" s="91">
        <f>223.40691+54.33343+45.86472+2.208+2.208+2.208+4.416+4.416+4.416+4.416+4.416+4.416+3.4592+3.1648+6.624+6.624+6.624+6.624+3.7536+3.209+11.04+17.664+15.0144</f>
        <v>440.5260600000002</v>
      </c>
      <c r="F164" s="92">
        <f>-Hoja1!J12-Hoja1!J20+56.58424</f>
        <v>2.0764464999999959</v>
      </c>
      <c r="G164" s="92">
        <f t="shared" ref="G164" si="642">E164+F164</f>
        <v>442.60250650000017</v>
      </c>
      <c r="H164" s="91">
        <f>247.914+50.465+132.592</f>
        <v>430.971</v>
      </c>
      <c r="I164" s="92">
        <f t="shared" si="593"/>
        <v>11.631506500000171</v>
      </c>
      <c r="J164" s="93">
        <f t="shared" si="594"/>
        <v>0.97372019740245153</v>
      </c>
      <c r="K164" s="306">
        <f t="shared" ref="K164" si="643">E164+E165</f>
        <v>489.30724000000021</v>
      </c>
      <c r="L164" s="306">
        <f t="shared" ref="L164" si="644">F164+F165</f>
        <v>2.0764464999999959</v>
      </c>
      <c r="M164" s="306">
        <f t="shared" ref="M164" si="645">K164+L164</f>
        <v>491.38368650000018</v>
      </c>
      <c r="N164" s="306">
        <f t="shared" ref="N164" si="646">H164+H165</f>
        <v>462.50400000000002</v>
      </c>
      <c r="O164" s="306">
        <f t="shared" ref="O164" si="647">M164-N164</f>
        <v>28.879686500000162</v>
      </c>
      <c r="P164" s="307">
        <f t="shared" ref="P164" si="648">N164/M164</f>
        <v>0.94122782808338068</v>
      </c>
    </row>
    <row r="165" spans="2:16" x14ac:dyDescent="0.2">
      <c r="B165" s="343"/>
      <c r="C165" s="337"/>
      <c r="D165" s="126" t="s">
        <v>64</v>
      </c>
      <c r="E165" s="91">
        <f>24.73867+6.01654+5.07877+0.2445+0.2445+0.2445+0.489+0.489+0.489+0.489+0.489+0.489+0.3831+0.3505+0.7335+0.7335+0.7335+0.7335+0.4157+0.3553+1.2225+1.956+1.6626</f>
        <v>48.781179999999978</v>
      </c>
      <c r="F165" s="92"/>
      <c r="G165" s="92">
        <f t="shared" ref="G165" si="649">E165+F165+I164</f>
        <v>60.412686500000149</v>
      </c>
      <c r="H165" s="91">
        <f>3.125+28.408</f>
        <v>31.533000000000001</v>
      </c>
      <c r="I165" s="92">
        <f t="shared" si="593"/>
        <v>28.879686500000147</v>
      </c>
      <c r="J165" s="93">
        <f t="shared" si="594"/>
        <v>0.52195990323985875</v>
      </c>
      <c r="K165" s="306"/>
      <c r="L165" s="306"/>
      <c r="M165" s="306"/>
      <c r="N165" s="306"/>
      <c r="O165" s="306"/>
      <c r="P165" s="307"/>
    </row>
    <row r="166" spans="2:16" x14ac:dyDescent="0.2">
      <c r="B166" s="343"/>
      <c r="C166" s="337" t="s">
        <v>44</v>
      </c>
      <c r="D166" s="126" t="s">
        <v>63</v>
      </c>
      <c r="E166" s="91">
        <v>2.2811599999999999</v>
      </c>
      <c r="F166" s="92"/>
      <c r="G166" s="92">
        <f t="shared" ref="G166" si="650">E166+F166</f>
        <v>2.2811599999999999</v>
      </c>
      <c r="H166" s="91"/>
      <c r="I166" s="92">
        <f t="shared" si="593"/>
        <v>2.2811599999999999</v>
      </c>
      <c r="J166" s="93">
        <f t="shared" si="594"/>
        <v>0</v>
      </c>
      <c r="K166" s="306">
        <f t="shared" ref="K166" si="651">E166+E167</f>
        <v>2.53376</v>
      </c>
      <c r="L166" s="306">
        <f t="shared" ref="L166" si="652">F166+F167</f>
        <v>0</v>
      </c>
      <c r="M166" s="306">
        <f t="shared" ref="M166" si="653">K166+L166</f>
        <v>2.53376</v>
      </c>
      <c r="N166" s="306">
        <f t="shared" ref="N166" si="654">H166+H167</f>
        <v>0</v>
      </c>
      <c r="O166" s="306">
        <f t="shared" ref="O166" si="655">M166-N166</f>
        <v>2.53376</v>
      </c>
      <c r="P166" s="307">
        <f t="shared" ref="P166" si="656">N166/M166</f>
        <v>0</v>
      </c>
    </row>
    <row r="167" spans="2:16" x14ac:dyDescent="0.2">
      <c r="B167" s="343"/>
      <c r="C167" s="337"/>
      <c r="D167" s="126" t="s">
        <v>64</v>
      </c>
      <c r="E167" s="91">
        <v>0.25259999999999999</v>
      </c>
      <c r="F167" s="92"/>
      <c r="G167" s="92">
        <f t="shared" ref="G167" si="657">E167+F167+I166</f>
        <v>2.53376</v>
      </c>
      <c r="H167" s="91"/>
      <c r="I167" s="92">
        <f t="shared" si="593"/>
        <v>2.53376</v>
      </c>
      <c r="J167" s="93">
        <f t="shared" si="594"/>
        <v>0</v>
      </c>
      <c r="K167" s="306"/>
      <c r="L167" s="306"/>
      <c r="M167" s="306"/>
      <c r="N167" s="306"/>
      <c r="O167" s="306"/>
      <c r="P167" s="307"/>
    </row>
    <row r="168" spans="2:16" x14ac:dyDescent="0.2">
      <c r="B168" s="343"/>
      <c r="C168" s="337" t="s">
        <v>45</v>
      </c>
      <c r="D168" s="126" t="s">
        <v>63</v>
      </c>
      <c r="E168" s="91">
        <v>47.818950000000001</v>
      </c>
      <c r="F168" s="92"/>
      <c r="G168" s="92">
        <f t="shared" ref="G168" si="658">E168+F168</f>
        <v>47.818950000000001</v>
      </c>
      <c r="H168" s="91"/>
      <c r="I168" s="92">
        <f t="shared" si="593"/>
        <v>47.818950000000001</v>
      </c>
      <c r="J168" s="93">
        <f t="shared" si="594"/>
        <v>0</v>
      </c>
      <c r="K168" s="306">
        <f t="shared" ref="K168" si="659">E168+E169</f>
        <v>53.11412</v>
      </c>
      <c r="L168" s="306">
        <f t="shared" ref="L168" si="660">F168+F169</f>
        <v>0</v>
      </c>
      <c r="M168" s="306">
        <f t="shared" ref="M168" si="661">K168+L168</f>
        <v>53.11412</v>
      </c>
      <c r="N168" s="306">
        <f t="shared" ref="N168" si="662">H168+H169</f>
        <v>0</v>
      </c>
      <c r="O168" s="306">
        <f t="shared" ref="O168" si="663">M168-N168</f>
        <v>53.11412</v>
      </c>
      <c r="P168" s="307">
        <f t="shared" ref="P168" si="664">N168/M168</f>
        <v>0</v>
      </c>
    </row>
    <row r="169" spans="2:16" x14ac:dyDescent="0.2">
      <c r="B169" s="343"/>
      <c r="C169" s="337"/>
      <c r="D169" s="126" t="s">
        <v>64</v>
      </c>
      <c r="E169" s="91">
        <v>5.2951699999999997</v>
      </c>
      <c r="F169" s="92"/>
      <c r="G169" s="92">
        <f t="shared" ref="G169" si="665">E169+F169+I168</f>
        <v>53.11412</v>
      </c>
      <c r="H169" s="91"/>
      <c r="I169" s="92">
        <f t="shared" si="593"/>
        <v>53.11412</v>
      </c>
      <c r="J169" s="93">
        <f t="shared" si="594"/>
        <v>0</v>
      </c>
      <c r="K169" s="306"/>
      <c r="L169" s="306"/>
      <c r="M169" s="306"/>
      <c r="N169" s="306"/>
      <c r="O169" s="306"/>
      <c r="P169" s="307"/>
    </row>
    <row r="170" spans="2:16" x14ac:dyDescent="0.2">
      <c r="B170" s="343"/>
      <c r="C170" s="337" t="s">
        <v>46</v>
      </c>
      <c r="D170" s="126" t="s">
        <v>63</v>
      </c>
      <c r="E170" s="91">
        <v>4.4159999999999998E-2</v>
      </c>
      <c r="F170" s="92"/>
      <c r="G170" s="92">
        <f t="shared" ref="G170" si="666">E170+F170</f>
        <v>4.4159999999999998E-2</v>
      </c>
      <c r="H170" s="91"/>
      <c r="I170" s="92">
        <f t="shared" si="593"/>
        <v>4.4159999999999998E-2</v>
      </c>
      <c r="J170" s="93">
        <f t="shared" si="594"/>
        <v>0</v>
      </c>
      <c r="K170" s="306">
        <f t="shared" ref="K170" si="667">E170+E171</f>
        <v>4.9049999999999996E-2</v>
      </c>
      <c r="L170" s="306">
        <f t="shared" ref="L170" si="668">F170+F171</f>
        <v>0</v>
      </c>
      <c r="M170" s="306">
        <f t="shared" ref="M170" si="669">K170+L170</f>
        <v>4.9049999999999996E-2</v>
      </c>
      <c r="N170" s="306">
        <f t="shared" ref="N170" si="670">H170+H171</f>
        <v>0</v>
      </c>
      <c r="O170" s="306">
        <f t="shared" ref="O170" si="671">M170-N170</f>
        <v>4.9049999999999996E-2</v>
      </c>
      <c r="P170" s="307">
        <f t="shared" ref="P170" si="672">N170/M170</f>
        <v>0</v>
      </c>
    </row>
    <row r="171" spans="2:16" x14ac:dyDescent="0.2">
      <c r="B171" s="343"/>
      <c r="C171" s="337"/>
      <c r="D171" s="126" t="s">
        <v>64</v>
      </c>
      <c r="E171" s="91">
        <v>4.8900000000000002E-3</v>
      </c>
      <c r="F171" s="92"/>
      <c r="G171" s="92">
        <f t="shared" ref="G171" si="673">E171+F171+I170</f>
        <v>4.9049999999999996E-2</v>
      </c>
      <c r="H171" s="91"/>
      <c r="I171" s="92">
        <f t="shared" si="593"/>
        <v>4.9049999999999996E-2</v>
      </c>
      <c r="J171" s="93">
        <f t="shared" si="594"/>
        <v>0</v>
      </c>
      <c r="K171" s="306"/>
      <c r="L171" s="306"/>
      <c r="M171" s="306"/>
      <c r="N171" s="306"/>
      <c r="O171" s="306"/>
      <c r="P171" s="307"/>
    </row>
    <row r="172" spans="2:16" x14ac:dyDescent="0.2">
      <c r="B172" s="343"/>
      <c r="C172" s="337" t="s">
        <v>47</v>
      </c>
      <c r="D172" s="126" t="s">
        <v>63</v>
      </c>
      <c r="E172" s="91">
        <v>2.9440000000000001E-2</v>
      </c>
      <c r="F172" s="92">
        <f>Hoja1!J14</f>
        <v>28.645690499999997</v>
      </c>
      <c r="G172" s="92">
        <f t="shared" ref="G172" si="674">E172+F172</f>
        <v>28.675130499999998</v>
      </c>
      <c r="H172" s="91"/>
      <c r="I172" s="92">
        <f t="shared" si="593"/>
        <v>28.675130499999998</v>
      </c>
      <c r="J172" s="93">
        <f t="shared" si="594"/>
        <v>0</v>
      </c>
      <c r="K172" s="306">
        <f t="shared" ref="K172" si="675">E172+E173</f>
        <v>3.27E-2</v>
      </c>
      <c r="L172" s="306">
        <f t="shared" ref="L172" si="676">F172+F173</f>
        <v>28.645690499999997</v>
      </c>
      <c r="M172" s="306">
        <f t="shared" ref="M172" si="677">K172+L172</f>
        <v>28.678390499999995</v>
      </c>
      <c r="N172" s="306">
        <f t="shared" ref="N172" si="678">H172+H173</f>
        <v>0</v>
      </c>
      <c r="O172" s="306">
        <f t="shared" ref="O172" si="679">M172-N172</f>
        <v>28.678390499999995</v>
      </c>
      <c r="P172" s="307">
        <f t="shared" ref="P172" si="680">N172/M172</f>
        <v>0</v>
      </c>
    </row>
    <row r="173" spans="2:16" x14ac:dyDescent="0.2">
      <c r="B173" s="343"/>
      <c r="C173" s="337"/>
      <c r="D173" s="126" t="s">
        <v>64</v>
      </c>
      <c r="E173" s="91">
        <v>3.2599999999999999E-3</v>
      </c>
      <c r="F173" s="92"/>
      <c r="G173" s="92">
        <f t="shared" ref="G173" si="681">E173+F173+I172</f>
        <v>28.678390499999999</v>
      </c>
      <c r="H173" s="91"/>
      <c r="I173" s="92">
        <f t="shared" si="593"/>
        <v>28.678390499999999</v>
      </c>
      <c r="J173" s="93">
        <f t="shared" si="594"/>
        <v>0</v>
      </c>
      <c r="K173" s="306"/>
      <c r="L173" s="306"/>
      <c r="M173" s="306"/>
      <c r="N173" s="306"/>
      <c r="O173" s="306"/>
      <c r="P173" s="307"/>
    </row>
    <row r="174" spans="2:16" x14ac:dyDescent="0.2">
      <c r="B174" s="343"/>
      <c r="C174" s="337" t="s">
        <v>48</v>
      </c>
      <c r="D174" s="126" t="s">
        <v>63</v>
      </c>
      <c r="E174" s="91">
        <v>26.76464</v>
      </c>
      <c r="F174" s="92">
        <f>-Hoja1!J13</f>
        <v>-28.396843500000003</v>
      </c>
      <c r="G174" s="92">
        <f t="shared" ref="G174" si="682">E174+F174</f>
        <v>-1.6322035000000028</v>
      </c>
      <c r="H174" s="91">
        <v>0.71199999999999997</v>
      </c>
      <c r="I174" s="92">
        <f t="shared" si="593"/>
        <v>-2.3442035000000025</v>
      </c>
      <c r="J174" s="93">
        <f t="shared" si="594"/>
        <v>-0.43622011593529775</v>
      </c>
      <c r="K174" s="306">
        <f t="shared" ref="K174" si="683">E174+E175</f>
        <v>29.728390000000001</v>
      </c>
      <c r="L174" s="306">
        <f t="shared" ref="L174" si="684">F174+F175</f>
        <v>-28.396843500000003</v>
      </c>
      <c r="M174" s="306">
        <f t="shared" ref="M174" si="685">K174+L174</f>
        <v>1.3315464999999982</v>
      </c>
      <c r="N174" s="306">
        <f t="shared" ref="N174" si="686">H174+H175</f>
        <v>0.73099999999999998</v>
      </c>
      <c r="O174" s="306">
        <f t="shared" ref="O174" si="687">M174-N174</f>
        <v>0.60054649999999821</v>
      </c>
      <c r="P174" s="307">
        <f t="shared" ref="P174" si="688">N174/M174</f>
        <v>0.54898570947390946</v>
      </c>
    </row>
    <row r="175" spans="2:16" x14ac:dyDescent="0.2">
      <c r="B175" s="343"/>
      <c r="C175" s="337"/>
      <c r="D175" s="126" t="s">
        <v>64</v>
      </c>
      <c r="E175" s="91">
        <v>2.9637500000000001</v>
      </c>
      <c r="F175" s="92"/>
      <c r="G175" s="92">
        <f t="shared" ref="G175" si="689">E175+F175+I174</f>
        <v>0.61954649999999756</v>
      </c>
      <c r="H175" s="91">
        <v>1.9E-2</v>
      </c>
      <c r="I175" s="92">
        <f t="shared" si="593"/>
        <v>0.60054649999999754</v>
      </c>
      <c r="J175" s="93">
        <f t="shared" si="594"/>
        <v>3.0667593150796712E-2</v>
      </c>
      <c r="K175" s="306"/>
      <c r="L175" s="306"/>
      <c r="M175" s="306"/>
      <c r="N175" s="306"/>
      <c r="O175" s="306"/>
      <c r="P175" s="307"/>
    </row>
    <row r="176" spans="2:16" x14ac:dyDescent="0.2">
      <c r="B176" s="343"/>
      <c r="C176" s="337" t="s">
        <v>49</v>
      </c>
      <c r="D176" s="126" t="s">
        <v>63</v>
      </c>
      <c r="E176" s="91">
        <v>1.472E-2</v>
      </c>
      <c r="F176" s="92"/>
      <c r="G176" s="92">
        <f t="shared" ref="G176" si="690">E176+F176</f>
        <v>1.472E-2</v>
      </c>
      <c r="H176" s="129"/>
      <c r="I176" s="92">
        <f t="shared" si="593"/>
        <v>1.472E-2</v>
      </c>
      <c r="J176" s="93">
        <f t="shared" si="594"/>
        <v>0</v>
      </c>
      <c r="K176" s="306">
        <f t="shared" ref="K176" si="691">E176+E177</f>
        <v>1.635E-2</v>
      </c>
      <c r="L176" s="306">
        <f t="shared" ref="L176" si="692">F176+F177</f>
        <v>0</v>
      </c>
      <c r="M176" s="306">
        <f t="shared" ref="M176" si="693">K176+L176</f>
        <v>1.635E-2</v>
      </c>
      <c r="N176" s="306">
        <f t="shared" ref="N176" si="694">H176+H177</f>
        <v>0</v>
      </c>
      <c r="O176" s="306">
        <f t="shared" ref="O176" si="695">M176-N176</f>
        <v>1.635E-2</v>
      </c>
      <c r="P176" s="307">
        <f t="shared" ref="P176" si="696">N176/M176</f>
        <v>0</v>
      </c>
    </row>
    <row r="177" spans="2:16" x14ac:dyDescent="0.2">
      <c r="B177" s="343"/>
      <c r="C177" s="337"/>
      <c r="D177" s="126" t="s">
        <v>64</v>
      </c>
      <c r="E177" s="91">
        <v>1.6299999999999999E-3</v>
      </c>
      <c r="F177" s="92"/>
      <c r="G177" s="92">
        <f t="shared" ref="G177" si="697">E177+F177+I176</f>
        <v>1.635E-2</v>
      </c>
      <c r="H177" s="129"/>
      <c r="I177" s="92">
        <f t="shared" si="593"/>
        <v>1.635E-2</v>
      </c>
      <c r="J177" s="93">
        <f t="shared" si="594"/>
        <v>0</v>
      </c>
      <c r="K177" s="306"/>
      <c r="L177" s="306"/>
      <c r="M177" s="306"/>
      <c r="N177" s="306"/>
      <c r="O177" s="306"/>
      <c r="P177" s="307"/>
    </row>
    <row r="178" spans="2:16" x14ac:dyDescent="0.2">
      <c r="B178" s="343"/>
      <c r="C178" s="337" t="s">
        <v>50</v>
      </c>
      <c r="D178" s="126" t="s">
        <v>63</v>
      </c>
      <c r="E178" s="91">
        <v>0.39744000000000002</v>
      </c>
      <c r="F178" s="92">
        <f>-Hoja1!J17</f>
        <v>-0.21254999999999999</v>
      </c>
      <c r="G178" s="92">
        <f t="shared" ref="G178" si="698">E178+F178</f>
        <v>0.18489000000000003</v>
      </c>
      <c r="H178" s="129"/>
      <c r="I178" s="92">
        <f t="shared" si="593"/>
        <v>0.18489000000000003</v>
      </c>
      <c r="J178" s="93">
        <f t="shared" si="594"/>
        <v>0</v>
      </c>
      <c r="K178" s="306">
        <f t="shared" ref="K178" si="699">E178+E179</f>
        <v>0.44145000000000001</v>
      </c>
      <c r="L178" s="306">
        <f t="shared" ref="L178" si="700">F178+F179</f>
        <v>-0.21254999999999999</v>
      </c>
      <c r="M178" s="306">
        <f t="shared" ref="M178" si="701">K178+L178</f>
        <v>0.22890000000000002</v>
      </c>
      <c r="N178" s="306">
        <f t="shared" ref="N178" si="702">H178+H179</f>
        <v>0</v>
      </c>
      <c r="O178" s="306">
        <f t="shared" ref="O178" si="703">M178-N178</f>
        <v>0.22890000000000002</v>
      </c>
      <c r="P178" s="307">
        <f t="shared" ref="P178" si="704">N178/M178</f>
        <v>0</v>
      </c>
    </row>
    <row r="179" spans="2:16" x14ac:dyDescent="0.2">
      <c r="B179" s="343"/>
      <c r="C179" s="337"/>
      <c r="D179" s="126" t="s">
        <v>64</v>
      </c>
      <c r="E179" s="91">
        <v>4.4010000000000001E-2</v>
      </c>
      <c r="F179" s="92"/>
      <c r="G179" s="92">
        <f t="shared" ref="G179" si="705">E179+F179+I178</f>
        <v>0.22890000000000002</v>
      </c>
      <c r="H179" s="129"/>
      <c r="I179" s="92">
        <f t="shared" si="593"/>
        <v>0.22890000000000002</v>
      </c>
      <c r="J179" s="93">
        <f t="shared" si="594"/>
        <v>0</v>
      </c>
      <c r="K179" s="306"/>
      <c r="L179" s="306"/>
      <c r="M179" s="306"/>
      <c r="N179" s="306"/>
      <c r="O179" s="306"/>
      <c r="P179" s="307"/>
    </row>
    <row r="180" spans="2:16" x14ac:dyDescent="0.2">
      <c r="B180" s="343"/>
      <c r="C180" s="337" t="s">
        <v>51</v>
      </c>
      <c r="D180" s="126" t="s">
        <v>63</v>
      </c>
      <c r="E180" s="91">
        <f>0.01472+1.8694</f>
        <v>1.88412</v>
      </c>
      <c r="F180" s="92">
        <f>Hoja1!J20-56.58424</f>
        <v>-2.0764464999999959</v>
      </c>
      <c r="G180" s="92">
        <f t="shared" ref="G180:G188" si="706">E180+F180</f>
        <v>-0.19232649999999585</v>
      </c>
      <c r="H180" s="129"/>
      <c r="I180" s="92">
        <f t="shared" si="593"/>
        <v>-0.19232649999999585</v>
      </c>
      <c r="J180" s="93">
        <f t="shared" si="594"/>
        <v>0</v>
      </c>
      <c r="K180" s="306">
        <f>E180+E181</f>
        <v>2.0927500000000001</v>
      </c>
      <c r="L180" s="306">
        <f>F180+F181</f>
        <v>-2.0764464999999959</v>
      </c>
      <c r="M180" s="306">
        <f t="shared" ref="M180" si="707">K180+L180</f>
        <v>1.6303500000004245E-2</v>
      </c>
      <c r="N180" s="306">
        <f>H180+H181</f>
        <v>0</v>
      </c>
      <c r="O180" s="306">
        <f t="shared" ref="O180" si="708">M180-N180</f>
        <v>1.6303500000004245E-2</v>
      </c>
      <c r="P180" s="307">
        <f t="shared" ref="P180" si="709">N180/M180</f>
        <v>0</v>
      </c>
    </row>
    <row r="181" spans="2:16" x14ac:dyDescent="0.2">
      <c r="B181" s="343"/>
      <c r="C181" s="337"/>
      <c r="D181" s="126" t="s">
        <v>64</v>
      </c>
      <c r="E181" s="91">
        <f>0.00163+0.207</f>
        <v>0.20862999999999998</v>
      </c>
      <c r="F181" s="92"/>
      <c r="G181" s="92">
        <f>E181+F181+I180</f>
        <v>1.6303500000004134E-2</v>
      </c>
      <c r="H181" s="129"/>
      <c r="I181" s="92">
        <f t="shared" si="593"/>
        <v>1.6303500000004134E-2</v>
      </c>
      <c r="J181" s="93">
        <f t="shared" si="594"/>
        <v>0</v>
      </c>
      <c r="K181" s="306"/>
      <c r="L181" s="306"/>
      <c r="M181" s="306"/>
      <c r="N181" s="306"/>
      <c r="O181" s="306"/>
      <c r="P181" s="307"/>
    </row>
    <row r="182" spans="2:16" x14ac:dyDescent="0.2">
      <c r="B182" s="343"/>
      <c r="C182" s="337" t="s">
        <v>107</v>
      </c>
      <c r="D182" s="126" t="s">
        <v>63</v>
      </c>
      <c r="E182" s="91">
        <v>0</v>
      </c>
      <c r="F182" s="92">
        <v>1.0805400000000001</v>
      </c>
      <c r="G182" s="92">
        <f t="shared" si="706"/>
        <v>1.0805400000000001</v>
      </c>
      <c r="H182" s="129"/>
      <c r="I182" s="92">
        <f t="shared" si="593"/>
        <v>1.0805400000000001</v>
      </c>
      <c r="J182" s="93">
        <f t="shared" si="594"/>
        <v>0</v>
      </c>
      <c r="K182" s="306">
        <f>E182+E183</f>
        <v>0</v>
      </c>
      <c r="L182" s="306">
        <f>F182+F183</f>
        <v>1.0805400000000001</v>
      </c>
      <c r="M182" s="306">
        <f t="shared" ref="M182" si="710">K182+L182</f>
        <v>1.0805400000000001</v>
      </c>
      <c r="N182" s="306">
        <f>H182+H183</f>
        <v>0</v>
      </c>
      <c r="O182" s="306">
        <f t="shared" ref="O182" si="711">M182-N182</f>
        <v>1.0805400000000001</v>
      </c>
      <c r="P182" s="307">
        <f t="shared" ref="P182" si="712">N182/M182</f>
        <v>0</v>
      </c>
    </row>
    <row r="183" spans="2:16" x14ac:dyDescent="0.2">
      <c r="B183" s="343"/>
      <c r="C183" s="337"/>
      <c r="D183" s="126" t="s">
        <v>64</v>
      </c>
      <c r="E183" s="91">
        <v>0</v>
      </c>
      <c r="F183" s="92"/>
      <c r="G183" s="92">
        <f>E183+F183+I182</f>
        <v>1.0805400000000001</v>
      </c>
      <c r="H183" s="129"/>
      <c r="I183" s="92">
        <f t="shared" si="593"/>
        <v>1.0805400000000001</v>
      </c>
      <c r="J183" s="93">
        <f t="shared" si="594"/>
        <v>0</v>
      </c>
      <c r="K183" s="306"/>
      <c r="L183" s="306"/>
      <c r="M183" s="306"/>
      <c r="N183" s="306"/>
      <c r="O183" s="306"/>
      <c r="P183" s="307"/>
    </row>
    <row r="184" spans="2:16" x14ac:dyDescent="0.2">
      <c r="B184" s="343"/>
      <c r="C184" s="337" t="s">
        <v>148</v>
      </c>
      <c r="D184" s="168" t="s">
        <v>63</v>
      </c>
      <c r="E184" s="91">
        <v>0</v>
      </c>
      <c r="F184" s="92">
        <f>Hoja1!J10</f>
        <v>0.35970000000000002</v>
      </c>
      <c r="G184" s="92">
        <f t="shared" ref="G184" si="713">E184+F184</f>
        <v>0.35970000000000002</v>
      </c>
      <c r="H184" s="129"/>
      <c r="I184" s="92">
        <f t="shared" ref="I184:I185" si="714">G184-H184</f>
        <v>0.35970000000000002</v>
      </c>
      <c r="J184" s="93">
        <f t="shared" ref="J184:J185" si="715">H184/G184</f>
        <v>0</v>
      </c>
      <c r="K184" s="306">
        <f>E184+E185</f>
        <v>0</v>
      </c>
      <c r="L184" s="306">
        <f>F184+F185</f>
        <v>0.35970000000000002</v>
      </c>
      <c r="M184" s="306">
        <f t="shared" ref="M184" si="716">K184+L184</f>
        <v>0.35970000000000002</v>
      </c>
      <c r="N184" s="306">
        <f>H184+H185</f>
        <v>0</v>
      </c>
      <c r="O184" s="306">
        <f t="shared" ref="O184" si="717">M184-N184</f>
        <v>0.35970000000000002</v>
      </c>
      <c r="P184" s="307">
        <f t="shared" ref="P184" si="718">N184/M184</f>
        <v>0</v>
      </c>
    </row>
    <row r="185" spans="2:16" x14ac:dyDescent="0.2">
      <c r="B185" s="343"/>
      <c r="C185" s="337"/>
      <c r="D185" s="168" t="s">
        <v>64</v>
      </c>
      <c r="E185" s="91">
        <v>0</v>
      </c>
      <c r="F185" s="92"/>
      <c r="G185" s="92">
        <f>E185+F185+I184</f>
        <v>0.35970000000000002</v>
      </c>
      <c r="H185" s="129"/>
      <c r="I185" s="92">
        <f t="shared" si="714"/>
        <v>0.35970000000000002</v>
      </c>
      <c r="J185" s="93">
        <f t="shared" si="715"/>
        <v>0</v>
      </c>
      <c r="K185" s="306"/>
      <c r="L185" s="306"/>
      <c r="M185" s="306"/>
      <c r="N185" s="306"/>
      <c r="O185" s="306"/>
      <c r="P185" s="307"/>
    </row>
    <row r="186" spans="2:16" ht="12.75" customHeight="1" x14ac:dyDescent="0.2">
      <c r="B186" s="343"/>
      <c r="C186" s="304" t="s">
        <v>180</v>
      </c>
      <c r="D186" s="204" t="s">
        <v>63</v>
      </c>
      <c r="E186" s="91">
        <v>0</v>
      </c>
      <c r="F186" s="92">
        <f>Hoja1!J17</f>
        <v>0.21254999999999999</v>
      </c>
      <c r="G186" s="92">
        <f t="shared" ref="G186" si="719">E186+F186</f>
        <v>0.21254999999999999</v>
      </c>
      <c r="H186" s="129"/>
      <c r="I186" s="92">
        <f t="shared" ref="I186:I187" si="720">G186-H186</f>
        <v>0.21254999999999999</v>
      </c>
      <c r="J186" s="93">
        <f t="shared" ref="J186:J187" si="721">H186/G186</f>
        <v>0</v>
      </c>
      <c r="K186" s="306">
        <f>E186+E187</f>
        <v>0</v>
      </c>
      <c r="L186" s="306">
        <f>F186+F187</f>
        <v>0.21254999999999999</v>
      </c>
      <c r="M186" s="306">
        <f t="shared" ref="M186" si="722">K186+L186</f>
        <v>0.21254999999999999</v>
      </c>
      <c r="N186" s="306">
        <f>H186+H187</f>
        <v>0</v>
      </c>
      <c r="O186" s="306">
        <f t="shared" ref="O186" si="723">M186-N186</f>
        <v>0.21254999999999999</v>
      </c>
      <c r="P186" s="307">
        <f t="shared" ref="P186" si="724">N186/M186</f>
        <v>0</v>
      </c>
    </row>
    <row r="187" spans="2:16" x14ac:dyDescent="0.2">
      <c r="B187" s="343"/>
      <c r="C187" s="305"/>
      <c r="D187" s="204" t="s">
        <v>64</v>
      </c>
      <c r="E187" s="91">
        <v>0</v>
      </c>
      <c r="F187" s="92"/>
      <c r="G187" s="92">
        <f>E187+F187+I186</f>
        <v>0.21254999999999999</v>
      </c>
      <c r="H187" s="129"/>
      <c r="I187" s="92">
        <f t="shared" si="720"/>
        <v>0.21254999999999999</v>
      </c>
      <c r="J187" s="93">
        <f t="shared" si="721"/>
        <v>0</v>
      </c>
      <c r="K187" s="306"/>
      <c r="L187" s="306"/>
      <c r="M187" s="306"/>
      <c r="N187" s="306"/>
      <c r="O187" s="306"/>
      <c r="P187" s="307"/>
    </row>
    <row r="188" spans="2:16" x14ac:dyDescent="0.2">
      <c r="B188" s="343"/>
      <c r="C188" s="304" t="s">
        <v>125</v>
      </c>
      <c r="D188" s="126" t="s">
        <v>63</v>
      </c>
      <c r="E188" s="91">
        <v>0</v>
      </c>
      <c r="F188" s="92">
        <f>0.9396</f>
        <v>0.93959999999999999</v>
      </c>
      <c r="G188" s="92">
        <f t="shared" si="706"/>
        <v>0.93959999999999999</v>
      </c>
      <c r="H188" s="129"/>
      <c r="I188" s="92">
        <f t="shared" si="593"/>
        <v>0.93959999999999999</v>
      </c>
      <c r="J188" s="93">
        <f t="shared" si="594"/>
        <v>0</v>
      </c>
      <c r="K188" s="306">
        <f>E188+E189</f>
        <v>0</v>
      </c>
      <c r="L188" s="306">
        <f>F188+F189</f>
        <v>0.93959999999999999</v>
      </c>
      <c r="M188" s="306">
        <f t="shared" ref="M188" si="725">K188+L188</f>
        <v>0.93959999999999999</v>
      </c>
      <c r="N188" s="306">
        <f>H188+H189</f>
        <v>0</v>
      </c>
      <c r="O188" s="306">
        <f t="shared" ref="O188" si="726">M188-N188</f>
        <v>0.93959999999999999</v>
      </c>
      <c r="P188" s="307">
        <f t="shared" ref="P188" si="727">N188/M188</f>
        <v>0</v>
      </c>
    </row>
    <row r="189" spans="2:16" ht="13.5" thickBot="1" x14ac:dyDescent="0.25">
      <c r="B189" s="344"/>
      <c r="C189" s="341"/>
      <c r="D189" s="127" t="s">
        <v>64</v>
      </c>
      <c r="E189" s="98">
        <v>0</v>
      </c>
      <c r="F189" s="99"/>
      <c r="G189" s="99">
        <f>E189+F189+I188</f>
        <v>0.93959999999999999</v>
      </c>
      <c r="H189" s="130"/>
      <c r="I189" s="99">
        <f t="shared" si="593"/>
        <v>0.93959999999999999</v>
      </c>
      <c r="J189" s="100">
        <f t="shared" si="594"/>
        <v>0</v>
      </c>
      <c r="K189" s="324"/>
      <c r="L189" s="324"/>
      <c r="M189" s="324"/>
      <c r="N189" s="324"/>
      <c r="O189" s="324"/>
      <c r="P189" s="325"/>
    </row>
    <row r="190" spans="2:16" x14ac:dyDescent="0.2">
      <c r="B190" s="350" t="s">
        <v>57</v>
      </c>
      <c r="C190" s="370" t="s">
        <v>36</v>
      </c>
      <c r="D190" s="119" t="s">
        <v>63</v>
      </c>
      <c r="E190" s="95">
        <f>84.51476+2.2191+6.828</f>
        <v>93.561859999999996</v>
      </c>
      <c r="F190" s="96"/>
      <c r="G190" s="96">
        <f t="shared" ref="G190" si="728">E190+F190</f>
        <v>93.561859999999996</v>
      </c>
      <c r="H190" s="128"/>
      <c r="I190" s="96">
        <f t="shared" si="593"/>
        <v>93.561859999999996</v>
      </c>
      <c r="J190" s="97">
        <f t="shared" si="594"/>
        <v>0</v>
      </c>
      <c r="K190" s="321">
        <f t="shared" ref="K190" si="729">E190+E191</f>
        <v>103.92107999999999</v>
      </c>
      <c r="L190" s="321">
        <f t="shared" ref="L190" si="730">F190+F191</f>
        <v>0</v>
      </c>
      <c r="M190" s="321">
        <f t="shared" ref="M190" si="731">K190+L190</f>
        <v>103.92107999999999</v>
      </c>
      <c r="N190" s="321">
        <f t="shared" ref="N190" si="732">H190+H191</f>
        <v>0</v>
      </c>
      <c r="O190" s="321">
        <f t="shared" ref="O190" si="733">M190-N190</f>
        <v>103.92107999999999</v>
      </c>
      <c r="P190" s="322">
        <f t="shared" ref="P190" si="734">N190/M190</f>
        <v>0</v>
      </c>
    </row>
    <row r="191" spans="2:16" x14ac:dyDescent="0.2">
      <c r="B191" s="351"/>
      <c r="C191" s="355"/>
      <c r="D191" s="120" t="s">
        <v>64</v>
      </c>
      <c r="E191" s="91">
        <f>9.35752+0.2457+0.756</f>
        <v>10.359219999999999</v>
      </c>
      <c r="F191" s="92"/>
      <c r="G191" s="92">
        <f t="shared" ref="G191" si="735">E191+F191+I190</f>
        <v>103.92107999999999</v>
      </c>
      <c r="H191" s="129"/>
      <c r="I191" s="92">
        <f t="shared" si="593"/>
        <v>103.92107999999999</v>
      </c>
      <c r="J191" s="93">
        <f t="shared" si="594"/>
        <v>0</v>
      </c>
      <c r="K191" s="306"/>
      <c r="L191" s="306"/>
      <c r="M191" s="306"/>
      <c r="N191" s="306"/>
      <c r="O191" s="306"/>
      <c r="P191" s="307"/>
    </row>
    <row r="192" spans="2:16" x14ac:dyDescent="0.2">
      <c r="B192" s="351"/>
      <c r="C192" s="355" t="s">
        <v>37</v>
      </c>
      <c r="D192" s="120" t="s">
        <v>63</v>
      </c>
      <c r="E192" s="91">
        <f>32.21001+41.6718+9.96905+72.56559+0.3414+3.414+7.6815+4.6943+2.7312</f>
        <v>175.27884999999998</v>
      </c>
      <c r="F192" s="92">
        <f>-Hoja1!K10-Hoja1!K14</f>
        <v>-11.211869599999998</v>
      </c>
      <c r="G192" s="92">
        <f t="shared" ref="G192" si="736">E192+F192</f>
        <v>164.06698039999998</v>
      </c>
      <c r="H192" s="129"/>
      <c r="I192" s="92">
        <f t="shared" si="593"/>
        <v>164.06698039999998</v>
      </c>
      <c r="J192" s="93">
        <f t="shared" si="594"/>
        <v>0</v>
      </c>
      <c r="K192" s="306">
        <f t="shared" ref="K192" si="737">E192+E193</f>
        <v>194.68585999999999</v>
      </c>
      <c r="L192" s="306">
        <f t="shared" ref="L192" si="738">F192+F193</f>
        <v>-11.211869599999998</v>
      </c>
      <c r="M192" s="306">
        <f t="shared" ref="M192" si="739">K192+L192</f>
        <v>183.47399039999999</v>
      </c>
      <c r="N192" s="306">
        <f t="shared" ref="N192" si="740">H192+H193</f>
        <v>0</v>
      </c>
      <c r="O192" s="306">
        <f t="shared" ref="O192" si="741">M192-N192</f>
        <v>183.47399039999999</v>
      </c>
      <c r="P192" s="307">
        <f t="shared" ref="P192" si="742">N192/M192</f>
        <v>0</v>
      </c>
    </row>
    <row r="193" spans="2:16" x14ac:dyDescent="0.2">
      <c r="B193" s="351"/>
      <c r="C193" s="355"/>
      <c r="D193" s="120" t="s">
        <v>64</v>
      </c>
      <c r="E193" s="91">
        <f>3.56631+4.61392+1.10378+8.0345+0.0378+0.378+0.8505+0.5198+0.3024</f>
        <v>19.40701</v>
      </c>
      <c r="F193" s="92"/>
      <c r="G193" s="92">
        <f t="shared" ref="G193" si="743">E193+F193+I192</f>
        <v>183.47399039999999</v>
      </c>
      <c r="H193" s="129"/>
      <c r="I193" s="92">
        <f t="shared" si="593"/>
        <v>183.47399039999999</v>
      </c>
      <c r="J193" s="93">
        <f t="shared" si="594"/>
        <v>0</v>
      </c>
      <c r="K193" s="306"/>
      <c r="L193" s="306"/>
      <c r="M193" s="306"/>
      <c r="N193" s="306"/>
      <c r="O193" s="306"/>
      <c r="P193" s="307"/>
    </row>
    <row r="194" spans="2:16" x14ac:dyDescent="0.2">
      <c r="B194" s="351"/>
      <c r="C194" s="355" t="s">
        <v>38</v>
      </c>
      <c r="D194" s="120" t="s">
        <v>63</v>
      </c>
      <c r="E194" s="91">
        <v>1.7069999999999998E-2</v>
      </c>
      <c r="F194" s="92"/>
      <c r="G194" s="92">
        <f t="shared" ref="G194" si="744">E194+F194</f>
        <v>1.7069999999999998E-2</v>
      </c>
      <c r="H194" s="91"/>
      <c r="I194" s="92">
        <f t="shared" si="593"/>
        <v>1.7069999999999998E-2</v>
      </c>
      <c r="J194" s="93">
        <f t="shared" si="594"/>
        <v>0</v>
      </c>
      <c r="K194" s="306">
        <f t="shared" ref="K194" si="745">E194+E195</f>
        <v>1.8959999999999998E-2</v>
      </c>
      <c r="L194" s="306">
        <f t="shared" ref="L194" si="746">F194+F195</f>
        <v>0</v>
      </c>
      <c r="M194" s="306">
        <f t="shared" ref="M194" si="747">K194+L194</f>
        <v>1.8959999999999998E-2</v>
      </c>
      <c r="N194" s="306">
        <f t="shared" ref="N194" si="748">H194+H195</f>
        <v>0</v>
      </c>
      <c r="O194" s="306">
        <f t="shared" ref="O194" si="749">M194-N194</f>
        <v>1.8959999999999998E-2</v>
      </c>
      <c r="P194" s="307">
        <f t="shared" ref="P194" si="750">N194/M194</f>
        <v>0</v>
      </c>
    </row>
    <row r="195" spans="2:16" x14ac:dyDescent="0.2">
      <c r="B195" s="351"/>
      <c r="C195" s="355"/>
      <c r="D195" s="120" t="s">
        <v>64</v>
      </c>
      <c r="E195" s="91">
        <v>1.89E-3</v>
      </c>
      <c r="F195" s="92"/>
      <c r="G195" s="92">
        <f t="shared" ref="G195" si="751">E195+F195+I194</f>
        <v>1.8959999999999998E-2</v>
      </c>
      <c r="H195" s="91"/>
      <c r="I195" s="92">
        <f t="shared" si="593"/>
        <v>1.8959999999999998E-2</v>
      </c>
      <c r="J195" s="93">
        <f t="shared" si="594"/>
        <v>0</v>
      </c>
      <c r="K195" s="306"/>
      <c r="L195" s="306"/>
      <c r="M195" s="306"/>
      <c r="N195" s="306"/>
      <c r="O195" s="306"/>
      <c r="P195" s="307"/>
    </row>
    <row r="196" spans="2:16" x14ac:dyDescent="0.2">
      <c r="B196" s="351"/>
      <c r="C196" s="355" t="s">
        <v>39</v>
      </c>
      <c r="D196" s="120" t="s">
        <v>63</v>
      </c>
      <c r="E196" s="91">
        <f>82.99058+2.5605+2.5605+3.8408</f>
        <v>91.952380000000005</v>
      </c>
      <c r="F196" s="92">
        <f>Hoja1!K13</f>
        <v>10.976639200000001</v>
      </c>
      <c r="G196" s="92">
        <f t="shared" ref="G196" si="752">E196+F196</f>
        <v>102.9290192</v>
      </c>
      <c r="H196" s="91">
        <v>20.951000000000001</v>
      </c>
      <c r="I196" s="92">
        <f t="shared" si="593"/>
        <v>81.978019200000006</v>
      </c>
      <c r="J196" s="93">
        <f t="shared" si="594"/>
        <v>0.20354803886055101</v>
      </c>
      <c r="K196" s="306">
        <f t="shared" ref="K196" si="753">E196+E197</f>
        <v>102.13344000000001</v>
      </c>
      <c r="L196" s="306">
        <f t="shared" ref="L196" si="754">F196+F197</f>
        <v>10.976639200000001</v>
      </c>
      <c r="M196" s="306">
        <f t="shared" ref="M196" si="755">K196+L196</f>
        <v>113.1100792</v>
      </c>
      <c r="N196" s="306">
        <f t="shared" ref="N196" si="756">H196+H197</f>
        <v>20.951000000000001</v>
      </c>
      <c r="O196" s="306">
        <f t="shared" ref="O196" si="757">M196-N196</f>
        <v>92.159079200000008</v>
      </c>
      <c r="P196" s="307">
        <f t="shared" ref="P196" si="758">N196/M196</f>
        <v>0.18522664070418227</v>
      </c>
    </row>
    <row r="197" spans="2:16" x14ac:dyDescent="0.2">
      <c r="B197" s="351"/>
      <c r="C197" s="355"/>
      <c r="D197" s="120" t="s">
        <v>64</v>
      </c>
      <c r="E197" s="91">
        <f>9.18876+0.2835+0.2835+0.4253</f>
        <v>10.18106</v>
      </c>
      <c r="F197" s="92"/>
      <c r="G197" s="92">
        <f t="shared" ref="G197" si="759">E197+F197+I196</f>
        <v>92.159079200000008</v>
      </c>
      <c r="H197" s="91"/>
      <c r="I197" s="92">
        <f t="shared" si="593"/>
        <v>92.159079200000008</v>
      </c>
      <c r="J197" s="93">
        <f t="shared" si="594"/>
        <v>0</v>
      </c>
      <c r="K197" s="306"/>
      <c r="L197" s="306"/>
      <c r="M197" s="306"/>
      <c r="N197" s="306"/>
      <c r="O197" s="306"/>
      <c r="P197" s="307"/>
    </row>
    <row r="198" spans="2:16" x14ac:dyDescent="0.2">
      <c r="B198" s="351"/>
      <c r="C198" s="355" t="s">
        <v>40</v>
      </c>
      <c r="D198" s="120" t="s">
        <v>63</v>
      </c>
      <c r="E198" s="91">
        <f>0.43062+2.5605</f>
        <v>2.9911200000000004</v>
      </c>
      <c r="F198" s="92">
        <f>-0.18792-0.09396</f>
        <v>-0.28188000000000002</v>
      </c>
      <c r="G198" s="92">
        <f t="shared" ref="G198" si="760">E198+F198</f>
        <v>2.7092400000000003</v>
      </c>
      <c r="H198" s="91">
        <f>1.771+0.298</f>
        <v>2.069</v>
      </c>
      <c r="I198" s="92">
        <f t="shared" si="593"/>
        <v>0.64024000000000036</v>
      </c>
      <c r="J198" s="93">
        <f t="shared" si="594"/>
        <v>0.76368280403360345</v>
      </c>
      <c r="K198" s="306">
        <f>E198+E199</f>
        <v>3.3223000000000003</v>
      </c>
      <c r="L198" s="306">
        <f>F198+F199</f>
        <v>-0.28188000000000002</v>
      </c>
      <c r="M198" s="306">
        <f>K198+L198</f>
        <v>3.0404200000000001</v>
      </c>
      <c r="N198" s="306">
        <f t="shared" ref="N198" si="761">H198+H199</f>
        <v>2.2690000000000001</v>
      </c>
      <c r="O198" s="306">
        <f t="shared" ref="O198" si="762">M198-N198</f>
        <v>0.77141999999999999</v>
      </c>
      <c r="P198" s="307">
        <f t="shared" ref="P198" si="763">N198/M198</f>
        <v>0.74627847468441866</v>
      </c>
    </row>
    <row r="199" spans="2:16" x14ac:dyDescent="0.2">
      <c r="B199" s="351"/>
      <c r="C199" s="355"/>
      <c r="D199" s="120" t="s">
        <v>64</v>
      </c>
      <c r="E199" s="91">
        <f>0.04768+0.2835</f>
        <v>0.33117999999999997</v>
      </c>
      <c r="F199" s="92"/>
      <c r="G199" s="92">
        <f t="shared" ref="G199" si="764">E199+F199+I198</f>
        <v>0.97142000000000039</v>
      </c>
      <c r="H199" s="91">
        <v>0.2</v>
      </c>
      <c r="I199" s="92">
        <f t="shared" si="593"/>
        <v>0.77142000000000044</v>
      </c>
      <c r="J199" s="93">
        <f t="shared" si="594"/>
        <v>0.20588416956620198</v>
      </c>
      <c r="K199" s="306"/>
      <c r="L199" s="306"/>
      <c r="M199" s="306"/>
      <c r="N199" s="306"/>
      <c r="O199" s="306"/>
      <c r="P199" s="307"/>
    </row>
    <row r="200" spans="2:16" x14ac:dyDescent="0.2">
      <c r="B200" s="351"/>
      <c r="C200" s="355" t="s">
        <v>41</v>
      </c>
      <c r="D200" s="120" t="s">
        <v>63</v>
      </c>
      <c r="E200" s="91">
        <v>2.6703199999999998</v>
      </c>
      <c r="F200" s="92"/>
      <c r="G200" s="92">
        <f t="shared" ref="G200" si="765">E200+F200</f>
        <v>2.6703199999999998</v>
      </c>
      <c r="H200" s="91"/>
      <c r="I200" s="92">
        <f t="shared" si="593"/>
        <v>2.6703199999999998</v>
      </c>
      <c r="J200" s="93">
        <f t="shared" si="594"/>
        <v>0</v>
      </c>
      <c r="K200" s="306">
        <f t="shared" ref="K200" si="766">E200+E201</f>
        <v>2.9659799999999996</v>
      </c>
      <c r="L200" s="306">
        <f t="shared" ref="L200" si="767">F200+F201</f>
        <v>0</v>
      </c>
      <c r="M200" s="306">
        <f t="shared" ref="M200" si="768">K200+L200</f>
        <v>2.9659799999999996</v>
      </c>
      <c r="N200" s="306">
        <f t="shared" ref="N200" si="769">H200+H201</f>
        <v>0</v>
      </c>
      <c r="O200" s="306">
        <f t="shared" ref="O200" si="770">M200-N200</f>
        <v>2.9659799999999996</v>
      </c>
      <c r="P200" s="307">
        <f t="shared" ref="P200" si="771">N200/M200</f>
        <v>0</v>
      </c>
    </row>
    <row r="201" spans="2:16" x14ac:dyDescent="0.2">
      <c r="B201" s="351"/>
      <c r="C201" s="355"/>
      <c r="D201" s="120" t="s">
        <v>64</v>
      </c>
      <c r="E201" s="91">
        <v>0.29565999999999998</v>
      </c>
      <c r="F201" s="92"/>
      <c r="G201" s="92">
        <f t="shared" ref="G201" si="772">E201+F201+I200</f>
        <v>2.9659799999999996</v>
      </c>
      <c r="H201" s="91"/>
      <c r="I201" s="92">
        <f t="shared" si="593"/>
        <v>2.9659799999999996</v>
      </c>
      <c r="J201" s="93">
        <f t="shared" si="594"/>
        <v>0</v>
      </c>
      <c r="K201" s="306"/>
      <c r="L201" s="306"/>
      <c r="M201" s="306"/>
      <c r="N201" s="306"/>
      <c r="O201" s="306"/>
      <c r="P201" s="307"/>
    </row>
    <row r="202" spans="2:16" x14ac:dyDescent="0.2">
      <c r="B202" s="351"/>
      <c r="C202" s="355" t="s">
        <v>42</v>
      </c>
      <c r="D202" s="120" t="s">
        <v>63</v>
      </c>
      <c r="E202" s="91">
        <v>1.6153900000000001</v>
      </c>
      <c r="F202" s="92"/>
      <c r="G202" s="92">
        <f t="shared" ref="G202" si="773">E202+F202</f>
        <v>1.6153900000000001</v>
      </c>
      <c r="H202" s="91"/>
      <c r="I202" s="92">
        <f t="shared" si="593"/>
        <v>1.6153900000000001</v>
      </c>
      <c r="J202" s="93">
        <f t="shared" si="594"/>
        <v>0</v>
      </c>
      <c r="K202" s="306">
        <f t="shared" ref="K202" si="774">E202+E203</f>
        <v>1.7942500000000001</v>
      </c>
      <c r="L202" s="306">
        <f t="shared" ref="L202" si="775">F202+F203</f>
        <v>0</v>
      </c>
      <c r="M202" s="306">
        <f t="shared" ref="M202" si="776">K202+L202</f>
        <v>1.7942500000000001</v>
      </c>
      <c r="N202" s="306">
        <f t="shared" ref="N202" si="777">H202+H203</f>
        <v>0</v>
      </c>
      <c r="O202" s="306">
        <f t="shared" ref="O202" si="778">M202-N202</f>
        <v>1.7942500000000001</v>
      </c>
      <c r="P202" s="307">
        <f t="shared" ref="P202" si="779">N202/M202</f>
        <v>0</v>
      </c>
    </row>
    <row r="203" spans="2:16" x14ac:dyDescent="0.2">
      <c r="B203" s="351"/>
      <c r="C203" s="355"/>
      <c r="D203" s="120" t="s">
        <v>64</v>
      </c>
      <c r="E203" s="91">
        <v>0.17885999999999999</v>
      </c>
      <c r="F203" s="92"/>
      <c r="G203" s="92">
        <f t="shared" ref="G203" si="780">E203+F203+I202</f>
        <v>1.7942500000000001</v>
      </c>
      <c r="H203" s="91"/>
      <c r="I203" s="92">
        <f t="shared" si="593"/>
        <v>1.7942500000000001</v>
      </c>
      <c r="J203" s="93">
        <f t="shared" si="594"/>
        <v>0</v>
      </c>
      <c r="K203" s="306"/>
      <c r="L203" s="306"/>
      <c r="M203" s="306"/>
      <c r="N203" s="306"/>
      <c r="O203" s="306"/>
      <c r="P203" s="307"/>
    </row>
    <row r="204" spans="2:16" x14ac:dyDescent="0.2">
      <c r="B204" s="351"/>
      <c r="C204" s="355" t="s">
        <v>43</v>
      </c>
      <c r="D204" s="120" t="s">
        <v>63</v>
      </c>
      <c r="E204" s="91">
        <f>86.3577+21.00253+17.72896+0.8535+0.8535+0.8535+1.707+1.707+1.707+1.707+1.707+1.707+1.3372+1.2234+2.5605+2.5605+2.5605+2.5605+1.451+1.2404+4.2675+6.828+5.8038</f>
        <v>170.28498999999991</v>
      </c>
      <c r="F204" s="92">
        <f>-Hoja1!K12-Hoja1!K20+21.87232</f>
        <v>0.80264079999999893</v>
      </c>
      <c r="G204" s="92">
        <f t="shared" ref="G204" si="781">E204+F204</f>
        <v>171.08763079999991</v>
      </c>
      <c r="H204" s="91">
        <f>48.205+47.187</f>
        <v>95.391999999999996</v>
      </c>
      <c r="I204" s="92">
        <f t="shared" si="593"/>
        <v>75.695630799999918</v>
      </c>
      <c r="J204" s="93">
        <f t="shared" si="594"/>
        <v>0.55756222442236336</v>
      </c>
      <c r="K204" s="306">
        <f t="shared" ref="K204" si="782">E204+E205</f>
        <v>189.13912999999991</v>
      </c>
      <c r="L204" s="306">
        <f t="shared" ref="L204" si="783">F204+F205</f>
        <v>0.80264079999999893</v>
      </c>
      <c r="M204" s="306">
        <f t="shared" ref="M204" si="784">K204+L204</f>
        <v>189.94177079999992</v>
      </c>
      <c r="N204" s="306">
        <f t="shared" ref="N204" si="785">H204+H205</f>
        <v>125.251</v>
      </c>
      <c r="O204" s="306">
        <f t="shared" ref="O204" si="786">M204-N204</f>
        <v>64.69077079999991</v>
      </c>
      <c r="P204" s="307">
        <f t="shared" ref="P204" si="787">N204/M204</f>
        <v>0.65941788092458942</v>
      </c>
    </row>
    <row r="205" spans="2:16" x14ac:dyDescent="0.2">
      <c r="B205" s="351"/>
      <c r="C205" s="355"/>
      <c r="D205" s="120" t="s">
        <v>64</v>
      </c>
      <c r="E205" s="91">
        <f>9.56157+2.32541+1.96296+0.0945+0.0945+0.0945+0.189+0.189+0.189+0.189+0.189+0.189+0.1481+0.1355+0.2835+0.2835+0.2835+0.2835+0.1607+0.1373+0.4725+0.756+0.6426</f>
        <v>18.854140000000001</v>
      </c>
      <c r="F205" s="92"/>
      <c r="G205" s="92">
        <f t="shared" ref="G205" si="788">E205+F205+I204</f>
        <v>94.549770799999919</v>
      </c>
      <c r="H205" s="91">
        <v>29.859000000000002</v>
      </c>
      <c r="I205" s="92">
        <f t="shared" si="593"/>
        <v>64.69077079999991</v>
      </c>
      <c r="J205" s="93">
        <f t="shared" si="594"/>
        <v>0.31580192894555409</v>
      </c>
      <c r="K205" s="306"/>
      <c r="L205" s="306"/>
      <c r="M205" s="306"/>
      <c r="N205" s="306"/>
      <c r="O205" s="306"/>
      <c r="P205" s="307"/>
    </row>
    <row r="206" spans="2:16" x14ac:dyDescent="0.2">
      <c r="B206" s="351"/>
      <c r="C206" s="355" t="s">
        <v>44</v>
      </c>
      <c r="D206" s="120" t="s">
        <v>63</v>
      </c>
      <c r="E206" s="91">
        <v>0.88178000000000001</v>
      </c>
      <c r="F206" s="92"/>
      <c r="G206" s="92">
        <f t="shared" ref="G206" si="789">E206+F206</f>
        <v>0.88178000000000001</v>
      </c>
      <c r="H206" s="91"/>
      <c r="I206" s="92">
        <f t="shared" si="593"/>
        <v>0.88178000000000001</v>
      </c>
      <c r="J206" s="93">
        <f t="shared" si="594"/>
        <v>0</v>
      </c>
      <c r="K206" s="306">
        <f t="shared" ref="K206" si="790">E206+E207</f>
        <v>0.97941</v>
      </c>
      <c r="L206" s="306">
        <f t="shared" ref="L206" si="791">F206+F207</f>
        <v>0</v>
      </c>
      <c r="M206" s="306">
        <f t="shared" ref="M206" si="792">K206+L206</f>
        <v>0.97941</v>
      </c>
      <c r="N206" s="306">
        <f t="shared" ref="N206" si="793">H206+H207</f>
        <v>0</v>
      </c>
      <c r="O206" s="306">
        <f t="shared" ref="O206" si="794">M206-N206</f>
        <v>0.97941</v>
      </c>
      <c r="P206" s="307">
        <f t="shared" ref="P206" si="795">N206/M206</f>
        <v>0</v>
      </c>
    </row>
    <row r="207" spans="2:16" x14ac:dyDescent="0.2">
      <c r="B207" s="351"/>
      <c r="C207" s="355"/>
      <c r="D207" s="120" t="s">
        <v>64</v>
      </c>
      <c r="E207" s="91">
        <v>9.7629999999999995E-2</v>
      </c>
      <c r="F207" s="92"/>
      <c r="G207" s="92">
        <f t="shared" ref="G207" si="796">E207+F207+I206</f>
        <v>0.97941</v>
      </c>
      <c r="H207" s="91"/>
      <c r="I207" s="92">
        <f t="shared" si="593"/>
        <v>0.97941</v>
      </c>
      <c r="J207" s="93">
        <f t="shared" si="594"/>
        <v>0</v>
      </c>
      <c r="K207" s="306"/>
      <c r="L207" s="306"/>
      <c r="M207" s="306"/>
      <c r="N207" s="306"/>
      <c r="O207" s="306"/>
      <c r="P207" s="307"/>
    </row>
    <row r="208" spans="2:16" x14ac:dyDescent="0.2">
      <c r="B208" s="351"/>
      <c r="C208" s="355" t="s">
        <v>45</v>
      </c>
      <c r="D208" s="120" t="s">
        <v>63</v>
      </c>
      <c r="E208" s="91">
        <v>18.484359999999999</v>
      </c>
      <c r="F208" s="92"/>
      <c r="G208" s="92">
        <f t="shared" ref="G208" si="797">E208+F208</f>
        <v>18.484359999999999</v>
      </c>
      <c r="H208" s="91"/>
      <c r="I208" s="92">
        <f t="shared" si="593"/>
        <v>18.484359999999999</v>
      </c>
      <c r="J208" s="93">
        <f t="shared" si="594"/>
        <v>0</v>
      </c>
      <c r="K208" s="306">
        <f t="shared" ref="K208" si="798">E208+E209</f>
        <v>20.53096</v>
      </c>
      <c r="L208" s="306">
        <f t="shared" ref="L208" si="799">F208+F209</f>
        <v>0</v>
      </c>
      <c r="M208" s="306">
        <f t="shared" ref="M208" si="800">K208+L208</f>
        <v>20.53096</v>
      </c>
      <c r="N208" s="306">
        <f t="shared" ref="N208" si="801">H208+H209</f>
        <v>0</v>
      </c>
      <c r="O208" s="306">
        <f t="shared" ref="O208" si="802">M208-N208</f>
        <v>20.53096</v>
      </c>
      <c r="P208" s="307">
        <f t="shared" ref="P208" si="803">N208/M208</f>
        <v>0</v>
      </c>
    </row>
    <row r="209" spans="2:16" x14ac:dyDescent="0.2">
      <c r="B209" s="351"/>
      <c r="C209" s="355"/>
      <c r="D209" s="120" t="s">
        <v>64</v>
      </c>
      <c r="E209" s="91">
        <v>2.0466000000000002</v>
      </c>
      <c r="F209" s="92"/>
      <c r="G209" s="92">
        <f t="shared" ref="G209" si="804">E209+F209+I208</f>
        <v>20.53096</v>
      </c>
      <c r="H209" s="91"/>
      <c r="I209" s="92">
        <f t="shared" si="593"/>
        <v>20.53096</v>
      </c>
      <c r="J209" s="93">
        <f t="shared" si="594"/>
        <v>0</v>
      </c>
      <c r="K209" s="306"/>
      <c r="L209" s="306"/>
      <c r="M209" s="306"/>
      <c r="N209" s="306"/>
      <c r="O209" s="306"/>
      <c r="P209" s="307"/>
    </row>
    <row r="210" spans="2:16" x14ac:dyDescent="0.2">
      <c r="B210" s="351"/>
      <c r="C210" s="355" t="s">
        <v>46</v>
      </c>
      <c r="D210" s="120" t="s">
        <v>63</v>
      </c>
      <c r="E210" s="91">
        <v>1.7069999999999998E-2</v>
      </c>
      <c r="F210" s="92"/>
      <c r="G210" s="92">
        <f t="shared" ref="G210" si="805">E210+F210</f>
        <v>1.7069999999999998E-2</v>
      </c>
      <c r="H210" s="91"/>
      <c r="I210" s="92">
        <f t="shared" si="593"/>
        <v>1.7069999999999998E-2</v>
      </c>
      <c r="J210" s="93">
        <f t="shared" si="594"/>
        <v>0</v>
      </c>
      <c r="K210" s="306">
        <f t="shared" ref="K210" si="806">E210+E211</f>
        <v>1.8959999999999998E-2</v>
      </c>
      <c r="L210" s="306">
        <f t="shared" ref="L210" si="807">F210+F211</f>
        <v>0</v>
      </c>
      <c r="M210" s="306">
        <f t="shared" ref="M210" si="808">K210+L210</f>
        <v>1.8959999999999998E-2</v>
      </c>
      <c r="N210" s="306">
        <f t="shared" ref="N210" si="809">H210+H211</f>
        <v>0</v>
      </c>
      <c r="O210" s="306">
        <f t="shared" ref="O210" si="810">M210-N210</f>
        <v>1.8959999999999998E-2</v>
      </c>
      <c r="P210" s="307">
        <f t="shared" ref="P210" si="811">N210/M210</f>
        <v>0</v>
      </c>
    </row>
    <row r="211" spans="2:16" x14ac:dyDescent="0.2">
      <c r="B211" s="351"/>
      <c r="C211" s="355"/>
      <c r="D211" s="120" t="s">
        <v>64</v>
      </c>
      <c r="E211" s="91">
        <v>1.89E-3</v>
      </c>
      <c r="F211" s="92"/>
      <c r="G211" s="92">
        <f t="shared" ref="G211" si="812">E211+F211+I210</f>
        <v>1.8959999999999998E-2</v>
      </c>
      <c r="H211" s="91"/>
      <c r="I211" s="92">
        <f t="shared" si="593"/>
        <v>1.8959999999999998E-2</v>
      </c>
      <c r="J211" s="93">
        <f t="shared" si="594"/>
        <v>0</v>
      </c>
      <c r="K211" s="306"/>
      <c r="L211" s="306"/>
      <c r="M211" s="306"/>
      <c r="N211" s="306"/>
      <c r="O211" s="306"/>
      <c r="P211" s="307"/>
    </row>
    <row r="212" spans="2:16" x14ac:dyDescent="0.2">
      <c r="B212" s="351"/>
      <c r="C212" s="355" t="s">
        <v>47</v>
      </c>
      <c r="D212" s="120" t="s">
        <v>63</v>
      </c>
      <c r="E212" s="91">
        <v>1.1379999999999999E-2</v>
      </c>
      <c r="F212" s="92">
        <f>Hoja1!K14</f>
        <v>11.072829599999999</v>
      </c>
      <c r="G212" s="92">
        <f t="shared" ref="G212" si="813">E212+F212</f>
        <v>11.084209599999999</v>
      </c>
      <c r="H212" s="91"/>
      <c r="I212" s="92">
        <f t="shared" si="593"/>
        <v>11.084209599999999</v>
      </c>
      <c r="J212" s="93">
        <f t="shared" si="594"/>
        <v>0</v>
      </c>
      <c r="K212" s="306">
        <f t="shared" ref="K212" si="814">E212+E213</f>
        <v>1.264E-2</v>
      </c>
      <c r="L212" s="306">
        <f t="shared" ref="L212" si="815">F212+F213</f>
        <v>11.072829599999999</v>
      </c>
      <c r="M212" s="306">
        <f t="shared" ref="M212" si="816">K212+L212</f>
        <v>11.085469599999998</v>
      </c>
      <c r="N212" s="306">
        <f t="shared" ref="N212" si="817">H212+H213</f>
        <v>0</v>
      </c>
      <c r="O212" s="306">
        <f t="shared" ref="O212" si="818">M212-N212</f>
        <v>11.085469599999998</v>
      </c>
      <c r="P212" s="307">
        <f t="shared" ref="P212" si="819">N212/M212</f>
        <v>0</v>
      </c>
    </row>
    <row r="213" spans="2:16" x14ac:dyDescent="0.2">
      <c r="B213" s="351"/>
      <c r="C213" s="355"/>
      <c r="D213" s="120" t="s">
        <v>64</v>
      </c>
      <c r="E213" s="91">
        <v>1.2600000000000001E-3</v>
      </c>
      <c r="F213" s="92"/>
      <c r="G213" s="92">
        <f t="shared" ref="G213" si="820">E213+F213+I212</f>
        <v>11.0854696</v>
      </c>
      <c r="H213" s="91"/>
      <c r="I213" s="92">
        <f t="shared" si="593"/>
        <v>11.0854696</v>
      </c>
      <c r="J213" s="93">
        <f t="shared" si="594"/>
        <v>0</v>
      </c>
      <c r="K213" s="306"/>
      <c r="L213" s="306"/>
      <c r="M213" s="306"/>
      <c r="N213" s="306"/>
      <c r="O213" s="306"/>
      <c r="P213" s="307"/>
    </row>
    <row r="214" spans="2:16" x14ac:dyDescent="0.2">
      <c r="B214" s="351"/>
      <c r="C214" s="353" t="s">
        <v>48</v>
      </c>
      <c r="D214" s="120" t="s">
        <v>63</v>
      </c>
      <c r="E214" s="91">
        <v>10.345840000000001</v>
      </c>
      <c r="F214" s="92">
        <f>-Hoja1!K13</f>
        <v>-10.976639200000001</v>
      </c>
      <c r="G214" s="92">
        <f t="shared" ref="G214" si="821">E214+F214</f>
        <v>-0.63079920000000023</v>
      </c>
      <c r="H214" s="91">
        <v>0.439</v>
      </c>
      <c r="I214" s="92">
        <f t="shared" si="593"/>
        <v>-1.0697992000000003</v>
      </c>
      <c r="J214" s="93">
        <f t="shared" si="594"/>
        <v>-0.69594254399815325</v>
      </c>
      <c r="K214" s="346">
        <f t="shared" ref="K214" si="822">E214+E215</f>
        <v>11.491340000000001</v>
      </c>
      <c r="L214" s="346">
        <f t="shared" ref="L214" si="823">F214+F215</f>
        <v>-10.976639200000001</v>
      </c>
      <c r="M214" s="346">
        <f t="shared" ref="M214" si="824">K214+L214</f>
        <v>0.51470079999999996</v>
      </c>
      <c r="N214" s="346">
        <f t="shared" ref="N214" si="825">H214+H215</f>
        <v>0.47599999999999998</v>
      </c>
      <c r="O214" s="346">
        <f t="shared" ref="O214" si="826">M214-N214</f>
        <v>3.870079999999998E-2</v>
      </c>
      <c r="P214" s="348">
        <f t="shared" ref="P214" si="827">N214/M214</f>
        <v>0.9248091318295989</v>
      </c>
    </row>
    <row r="215" spans="2:16" x14ac:dyDescent="0.2">
      <c r="B215" s="351"/>
      <c r="C215" s="357"/>
      <c r="D215" s="120" t="s">
        <v>64</v>
      </c>
      <c r="E215" s="91">
        <v>1.1455</v>
      </c>
      <c r="F215" s="92"/>
      <c r="G215" s="92">
        <f t="shared" ref="G215" si="828">E215+F215+I214</f>
        <v>7.5700799999999679E-2</v>
      </c>
      <c r="H215" s="91">
        <v>3.6999999999999998E-2</v>
      </c>
      <c r="I215" s="92">
        <f t="shared" si="593"/>
        <v>3.8700799999999681E-2</v>
      </c>
      <c r="J215" s="93">
        <f t="shared" si="594"/>
        <v>0.48876630101663593</v>
      </c>
      <c r="K215" s="347"/>
      <c r="L215" s="347"/>
      <c r="M215" s="347"/>
      <c r="N215" s="347"/>
      <c r="O215" s="347"/>
      <c r="P215" s="349"/>
    </row>
    <row r="216" spans="2:16" x14ac:dyDescent="0.2">
      <c r="B216" s="351"/>
      <c r="C216" s="355" t="s">
        <v>49</v>
      </c>
      <c r="D216" s="120" t="s">
        <v>63</v>
      </c>
      <c r="E216" s="91">
        <v>5.6899999999999997E-3</v>
      </c>
      <c r="F216" s="92"/>
      <c r="G216" s="92">
        <f>E216+F216</f>
        <v>5.6899999999999997E-3</v>
      </c>
      <c r="H216" s="91"/>
      <c r="I216" s="92">
        <f t="shared" si="593"/>
        <v>5.6899999999999997E-3</v>
      </c>
      <c r="J216" s="93">
        <f t="shared" si="594"/>
        <v>0</v>
      </c>
      <c r="K216" s="306">
        <f t="shared" ref="K216" si="829">E216+E217</f>
        <v>6.3200000000000001E-3</v>
      </c>
      <c r="L216" s="306">
        <f t="shared" ref="L216" si="830">F216+F217</f>
        <v>0</v>
      </c>
      <c r="M216" s="306">
        <f t="shared" ref="M216" si="831">K216+L216</f>
        <v>6.3200000000000001E-3</v>
      </c>
      <c r="N216" s="306">
        <f t="shared" ref="N216" si="832">H216+H217</f>
        <v>0</v>
      </c>
      <c r="O216" s="306">
        <f t="shared" ref="O216" si="833">M216-N216</f>
        <v>6.3200000000000001E-3</v>
      </c>
      <c r="P216" s="307">
        <f t="shared" ref="P216" si="834">N216/M216</f>
        <v>0</v>
      </c>
    </row>
    <row r="217" spans="2:16" x14ac:dyDescent="0.2">
      <c r="B217" s="351"/>
      <c r="C217" s="355"/>
      <c r="D217" s="120" t="s">
        <v>64</v>
      </c>
      <c r="E217" s="91">
        <v>6.3000000000000003E-4</v>
      </c>
      <c r="F217" s="92"/>
      <c r="G217" s="92">
        <f>E217+F217+I216</f>
        <v>6.3200000000000001E-3</v>
      </c>
      <c r="H217" s="91"/>
      <c r="I217" s="92">
        <f t="shared" si="593"/>
        <v>6.3200000000000001E-3</v>
      </c>
      <c r="J217" s="93">
        <f t="shared" si="594"/>
        <v>0</v>
      </c>
      <c r="K217" s="306"/>
      <c r="L217" s="306"/>
      <c r="M217" s="306"/>
      <c r="N217" s="306"/>
      <c r="O217" s="306"/>
      <c r="P217" s="307"/>
    </row>
    <row r="218" spans="2:16" x14ac:dyDescent="0.2">
      <c r="B218" s="351"/>
      <c r="C218" s="355" t="s">
        <v>50</v>
      </c>
      <c r="D218" s="120" t="s">
        <v>63</v>
      </c>
      <c r="E218" s="91">
        <v>0.15362999999999999</v>
      </c>
      <c r="F218" s="92">
        <f>-Hoja1!K17</f>
        <v>-8.2159999999999997E-2</v>
      </c>
      <c r="G218" s="92">
        <f t="shared" ref="G218" si="835">E218+F218</f>
        <v>7.1469999999999992E-2</v>
      </c>
      <c r="H218" s="91"/>
      <c r="I218" s="92">
        <f t="shared" si="593"/>
        <v>7.1469999999999992E-2</v>
      </c>
      <c r="J218" s="93">
        <f t="shared" si="594"/>
        <v>0</v>
      </c>
      <c r="K218" s="306">
        <f t="shared" ref="K218" si="836">E218+E219</f>
        <v>0.17063999999999999</v>
      </c>
      <c r="L218" s="306">
        <f t="shared" ref="L218" si="837">F218+F219</f>
        <v>-8.2159999999999997E-2</v>
      </c>
      <c r="M218" s="306">
        <f t="shared" ref="M218" si="838">K218+L218</f>
        <v>8.8479999999999989E-2</v>
      </c>
      <c r="N218" s="306">
        <f t="shared" ref="N218" si="839">H218+H219</f>
        <v>0</v>
      </c>
      <c r="O218" s="306">
        <f t="shared" ref="O218" si="840">M218-N218</f>
        <v>8.8479999999999989E-2</v>
      </c>
      <c r="P218" s="307">
        <f t="shared" ref="P218" si="841">N218/M218</f>
        <v>0</v>
      </c>
    </row>
    <row r="219" spans="2:16" x14ac:dyDescent="0.2">
      <c r="B219" s="351"/>
      <c r="C219" s="355"/>
      <c r="D219" s="120" t="s">
        <v>64</v>
      </c>
      <c r="E219" s="91">
        <v>1.7010000000000001E-2</v>
      </c>
      <c r="F219" s="92"/>
      <c r="G219" s="92">
        <f t="shared" ref="G219" si="842">E219+F219+I218</f>
        <v>8.8479999999999989E-2</v>
      </c>
      <c r="H219" s="91"/>
      <c r="I219" s="92">
        <f t="shared" si="593"/>
        <v>8.8479999999999989E-2</v>
      </c>
      <c r="J219" s="93">
        <f t="shared" si="594"/>
        <v>0</v>
      </c>
      <c r="K219" s="306"/>
      <c r="L219" s="306"/>
      <c r="M219" s="306"/>
      <c r="N219" s="306"/>
      <c r="O219" s="306"/>
      <c r="P219" s="307"/>
    </row>
    <row r="220" spans="2:16" x14ac:dyDescent="0.2">
      <c r="B220" s="351"/>
      <c r="C220" s="355" t="s">
        <v>51</v>
      </c>
      <c r="D220" s="120" t="s">
        <v>63</v>
      </c>
      <c r="E220" s="91">
        <f>0.00569+0.7226</f>
        <v>0.72828999999999999</v>
      </c>
      <c r="F220" s="92">
        <f>Hoja1!K20-21.87232</f>
        <v>-0.80264079999999893</v>
      </c>
      <c r="G220" s="92">
        <f t="shared" ref="G220:G228" si="843">E220+F220</f>
        <v>-7.435079999999894E-2</v>
      </c>
      <c r="H220" s="91"/>
      <c r="I220" s="92">
        <f t="shared" si="593"/>
        <v>-7.435079999999894E-2</v>
      </c>
      <c r="J220" s="93">
        <f t="shared" si="594"/>
        <v>0</v>
      </c>
      <c r="K220" s="306">
        <f>E220+E221</f>
        <v>0.80891999999999997</v>
      </c>
      <c r="L220" s="306">
        <f>F220+F221</f>
        <v>-0.80264079999999893</v>
      </c>
      <c r="M220" s="306">
        <f t="shared" ref="M220" si="844">K220+L220</f>
        <v>6.2792000000010395E-3</v>
      </c>
      <c r="N220" s="306">
        <f>H220+H221</f>
        <v>0</v>
      </c>
      <c r="O220" s="306">
        <f t="shared" ref="O220" si="845">M220-N220</f>
        <v>6.2792000000010395E-3</v>
      </c>
      <c r="P220" s="307">
        <f t="shared" ref="P220" si="846">N220/M220</f>
        <v>0</v>
      </c>
    </row>
    <row r="221" spans="2:16" x14ac:dyDescent="0.2">
      <c r="B221" s="351"/>
      <c r="C221" s="355"/>
      <c r="D221" s="120" t="s">
        <v>64</v>
      </c>
      <c r="E221" s="91">
        <f>0.00063+0.08</f>
        <v>8.0630000000000007E-2</v>
      </c>
      <c r="F221" s="92"/>
      <c r="G221" s="92">
        <f>E221+F221+I220</f>
        <v>6.2792000000010673E-3</v>
      </c>
      <c r="H221" s="91"/>
      <c r="I221" s="92">
        <f t="shared" si="593"/>
        <v>6.2792000000010673E-3</v>
      </c>
      <c r="J221" s="93">
        <f t="shared" si="594"/>
        <v>0</v>
      </c>
      <c r="K221" s="306"/>
      <c r="L221" s="306"/>
      <c r="M221" s="306"/>
      <c r="N221" s="306"/>
      <c r="O221" s="306"/>
      <c r="P221" s="307"/>
    </row>
    <row r="222" spans="2:16" x14ac:dyDescent="0.2">
      <c r="B222" s="351"/>
      <c r="C222" s="355" t="s">
        <v>107</v>
      </c>
      <c r="D222" s="120" t="s">
        <v>63</v>
      </c>
      <c r="E222" s="91">
        <v>0</v>
      </c>
      <c r="F222" s="92">
        <v>0.18792</v>
      </c>
      <c r="G222" s="92">
        <f t="shared" si="843"/>
        <v>0.18792</v>
      </c>
      <c r="H222" s="91">
        <v>0.13800000000000001</v>
      </c>
      <c r="I222" s="92">
        <f t="shared" si="593"/>
        <v>4.9919999999999992E-2</v>
      </c>
      <c r="J222" s="93">
        <f t="shared" si="594"/>
        <v>0.73435504469987234</v>
      </c>
      <c r="K222" s="306">
        <f>E222+E223</f>
        <v>0</v>
      </c>
      <c r="L222" s="306">
        <f>F222+F223</f>
        <v>0.18792</v>
      </c>
      <c r="M222" s="306">
        <f t="shared" ref="M222" si="847">K222+L222</f>
        <v>0.18792</v>
      </c>
      <c r="N222" s="306">
        <f>H222+H223</f>
        <v>0.13800000000000001</v>
      </c>
      <c r="O222" s="306">
        <f t="shared" ref="O222" si="848">M222-N222</f>
        <v>4.9919999999999992E-2</v>
      </c>
      <c r="P222" s="307">
        <f t="shared" ref="P222" si="849">N222/M222</f>
        <v>0.73435504469987234</v>
      </c>
    </row>
    <row r="223" spans="2:16" x14ac:dyDescent="0.2">
      <c r="B223" s="351"/>
      <c r="C223" s="355"/>
      <c r="D223" s="120" t="s">
        <v>64</v>
      </c>
      <c r="E223" s="91">
        <v>0</v>
      </c>
      <c r="F223" s="92"/>
      <c r="G223" s="92">
        <f>E223+F223+I222</f>
        <v>4.9919999999999992E-2</v>
      </c>
      <c r="H223" s="91"/>
      <c r="I223" s="92">
        <f t="shared" si="593"/>
        <v>4.9919999999999992E-2</v>
      </c>
      <c r="J223" s="93">
        <f t="shared" si="594"/>
        <v>0</v>
      </c>
      <c r="K223" s="306"/>
      <c r="L223" s="306"/>
      <c r="M223" s="306"/>
      <c r="N223" s="306"/>
      <c r="O223" s="306"/>
      <c r="P223" s="307"/>
    </row>
    <row r="224" spans="2:16" x14ac:dyDescent="0.2">
      <c r="B224" s="351"/>
      <c r="C224" s="355" t="s">
        <v>148</v>
      </c>
      <c r="D224" s="166" t="s">
        <v>63</v>
      </c>
      <c r="E224" s="91">
        <v>0</v>
      </c>
      <c r="F224" s="92">
        <f>Hoja1!K10</f>
        <v>0.13904</v>
      </c>
      <c r="G224" s="92">
        <f t="shared" ref="G224" si="850">E224+F224</f>
        <v>0.13904</v>
      </c>
      <c r="H224" s="91">
        <v>0</v>
      </c>
      <c r="I224" s="92">
        <f t="shared" ref="I224:I225" si="851">G224-H224</f>
        <v>0.13904</v>
      </c>
      <c r="J224" s="93">
        <f t="shared" ref="J224:J225" si="852">H224/G224</f>
        <v>0</v>
      </c>
      <c r="K224" s="306">
        <f>E224+E225</f>
        <v>0</v>
      </c>
      <c r="L224" s="306">
        <f>F224+F225</f>
        <v>0.13904</v>
      </c>
      <c r="M224" s="306">
        <f t="shared" ref="M224" si="853">K224+L224</f>
        <v>0.13904</v>
      </c>
      <c r="N224" s="306">
        <f>H224+H225</f>
        <v>0</v>
      </c>
      <c r="O224" s="306">
        <f t="shared" ref="O224" si="854">M224-N224</f>
        <v>0.13904</v>
      </c>
      <c r="P224" s="307">
        <f t="shared" ref="P224" si="855">N224/M224</f>
        <v>0</v>
      </c>
    </row>
    <row r="225" spans="2:16" x14ac:dyDescent="0.2">
      <c r="B225" s="351"/>
      <c r="C225" s="355"/>
      <c r="D225" s="166" t="s">
        <v>64</v>
      </c>
      <c r="E225" s="91">
        <v>0</v>
      </c>
      <c r="F225" s="92"/>
      <c r="G225" s="92">
        <f>E225+F225+I224</f>
        <v>0.13904</v>
      </c>
      <c r="H225" s="91"/>
      <c r="I225" s="92">
        <f t="shared" si="851"/>
        <v>0.13904</v>
      </c>
      <c r="J225" s="93">
        <f t="shared" si="852"/>
        <v>0</v>
      </c>
      <c r="K225" s="306"/>
      <c r="L225" s="306"/>
      <c r="M225" s="306"/>
      <c r="N225" s="306"/>
      <c r="O225" s="306"/>
      <c r="P225" s="307"/>
    </row>
    <row r="226" spans="2:16" x14ac:dyDescent="0.2">
      <c r="B226" s="351"/>
      <c r="C226" s="355" t="s">
        <v>180</v>
      </c>
      <c r="D226" s="205" t="s">
        <v>63</v>
      </c>
      <c r="E226" s="91">
        <v>0</v>
      </c>
      <c r="F226" s="92">
        <f>Hoja1!K17</f>
        <v>8.2159999999999997E-2</v>
      </c>
      <c r="G226" s="92">
        <f t="shared" ref="G226" si="856">E226+F226</f>
        <v>8.2159999999999997E-2</v>
      </c>
      <c r="H226" s="91">
        <v>0</v>
      </c>
      <c r="I226" s="92">
        <f t="shared" ref="I226:I227" si="857">G226-H226</f>
        <v>8.2159999999999997E-2</v>
      </c>
      <c r="J226" s="93">
        <f t="shared" ref="J226:J227" si="858">H226/G226</f>
        <v>0</v>
      </c>
      <c r="K226" s="306">
        <f>E226+E227</f>
        <v>0</v>
      </c>
      <c r="L226" s="306">
        <f>F226+F227</f>
        <v>8.2159999999999997E-2</v>
      </c>
      <c r="M226" s="306">
        <f t="shared" ref="M226" si="859">K226+L226</f>
        <v>8.2159999999999997E-2</v>
      </c>
      <c r="N226" s="306">
        <f>H226+H227</f>
        <v>0</v>
      </c>
      <c r="O226" s="306">
        <f t="shared" ref="O226" si="860">M226-N226</f>
        <v>8.2159999999999997E-2</v>
      </c>
      <c r="P226" s="307">
        <f t="shared" ref="P226" si="861">N226/M226</f>
        <v>0</v>
      </c>
    </row>
    <row r="227" spans="2:16" x14ac:dyDescent="0.2">
      <c r="B227" s="351"/>
      <c r="C227" s="355"/>
      <c r="D227" s="205" t="s">
        <v>64</v>
      </c>
      <c r="E227" s="91">
        <v>0</v>
      </c>
      <c r="F227" s="92"/>
      <c r="G227" s="92">
        <f>E227+F227+I226</f>
        <v>8.2159999999999997E-2</v>
      </c>
      <c r="H227" s="91"/>
      <c r="I227" s="92">
        <f t="shared" si="857"/>
        <v>8.2159999999999997E-2</v>
      </c>
      <c r="J227" s="93">
        <f t="shared" si="858"/>
        <v>0</v>
      </c>
      <c r="K227" s="306"/>
      <c r="L227" s="306"/>
      <c r="M227" s="306"/>
      <c r="N227" s="306"/>
      <c r="O227" s="306"/>
      <c r="P227" s="307"/>
    </row>
    <row r="228" spans="2:16" x14ac:dyDescent="0.2">
      <c r="B228" s="351"/>
      <c r="C228" s="353" t="s">
        <v>125</v>
      </c>
      <c r="D228" s="120" t="s">
        <v>63</v>
      </c>
      <c r="E228" s="91">
        <v>0</v>
      </c>
      <c r="F228" s="92">
        <f>0.09396</f>
        <v>9.3960000000000002E-2</v>
      </c>
      <c r="G228" s="92">
        <f t="shared" si="843"/>
        <v>9.3960000000000002E-2</v>
      </c>
      <c r="H228" s="91">
        <v>0.05</v>
      </c>
      <c r="I228" s="91">
        <f t="shared" si="593"/>
        <v>4.3959999999999999E-2</v>
      </c>
      <c r="J228" s="93">
        <f t="shared" si="594"/>
        <v>0.53214133673903796</v>
      </c>
      <c r="K228" s="306">
        <f>E228+E229</f>
        <v>0</v>
      </c>
      <c r="L228" s="306">
        <f>F228+F229</f>
        <v>9.3960000000000002E-2</v>
      </c>
      <c r="M228" s="306">
        <f t="shared" ref="M228" si="862">K228+L228</f>
        <v>9.3960000000000002E-2</v>
      </c>
      <c r="N228" s="306">
        <f>H228+H229</f>
        <v>0.05</v>
      </c>
      <c r="O228" s="306">
        <f t="shared" ref="O228" si="863">M228-N228</f>
        <v>4.3959999999999999E-2</v>
      </c>
      <c r="P228" s="307">
        <f t="shared" ref="P228" si="864">N228/M228</f>
        <v>0.53214133673903796</v>
      </c>
    </row>
    <row r="229" spans="2:16" ht="13.5" thickBot="1" x14ac:dyDescent="0.25">
      <c r="B229" s="352"/>
      <c r="C229" s="354"/>
      <c r="D229" s="121" t="s">
        <v>64</v>
      </c>
      <c r="E229" s="98">
        <v>0</v>
      </c>
      <c r="F229" s="99"/>
      <c r="G229" s="99">
        <f>E229+F229+I228</f>
        <v>4.3959999999999999E-2</v>
      </c>
      <c r="H229" s="130"/>
      <c r="I229" s="98">
        <f t="shared" ref="I229" si="865">G229-H229</f>
        <v>4.3959999999999999E-2</v>
      </c>
      <c r="J229" s="100">
        <f t="shared" ref="J229" si="866">H229/G229</f>
        <v>0</v>
      </c>
      <c r="K229" s="324"/>
      <c r="L229" s="324"/>
      <c r="M229" s="324"/>
      <c r="N229" s="324"/>
      <c r="O229" s="324"/>
      <c r="P229" s="325"/>
    </row>
    <row r="230" spans="2:16" s="94" customFormat="1" ht="15" customHeight="1" thickBot="1" x14ac:dyDescent="0.3">
      <c r="B230" s="339" t="s">
        <v>19</v>
      </c>
      <c r="C230" s="340"/>
      <c r="D230" s="340"/>
      <c r="E230" s="107">
        <f>SUM(E6:E229)</f>
        <v>4698.0001059999986</v>
      </c>
      <c r="F230" s="107">
        <f>SUM(F6:F229)</f>
        <v>-106.84699999999999</v>
      </c>
      <c r="G230" s="107">
        <f>E230+F230</f>
        <v>4591.1531059999988</v>
      </c>
      <c r="H230" s="107">
        <f>SUM(H6:H229)</f>
        <v>2844.8859999999991</v>
      </c>
      <c r="I230" s="107">
        <f>G230-H230</f>
        <v>1746.2671059999998</v>
      </c>
      <c r="J230" s="108">
        <f>H230/G230</f>
        <v>0.61964520335471462</v>
      </c>
      <c r="K230" s="107">
        <f>SUM(K6:K229)</f>
        <v>4698.0001060000004</v>
      </c>
      <c r="L230" s="107">
        <f>SUM(L6:L229)</f>
        <v>-106.84699999999999</v>
      </c>
      <c r="M230" s="107">
        <f>K230+L230</f>
        <v>4591.1531060000007</v>
      </c>
      <c r="N230" s="107">
        <f>SUM(N6:N229)</f>
        <v>2844.8859999999995</v>
      </c>
      <c r="O230" s="107">
        <f>M230-N230</f>
        <v>1746.2671060000011</v>
      </c>
      <c r="P230" s="109">
        <f>N230/M230</f>
        <v>0.61964520335471451</v>
      </c>
    </row>
  </sheetData>
  <mergeCells count="793">
    <mergeCell ref="M192:M193"/>
    <mergeCell ref="N192:N193"/>
    <mergeCell ref="O192:O193"/>
    <mergeCell ref="P192:P193"/>
    <mergeCell ref="C226:C227"/>
    <mergeCell ref="K226:K227"/>
    <mergeCell ref="L226:L227"/>
    <mergeCell ref="M226:M227"/>
    <mergeCell ref="N226:N227"/>
    <mergeCell ref="O226:O227"/>
    <mergeCell ref="P226:P227"/>
    <mergeCell ref="M222:M223"/>
    <mergeCell ref="N222:N223"/>
    <mergeCell ref="O222:O223"/>
    <mergeCell ref="P222:P223"/>
    <mergeCell ref="C200:C201"/>
    <mergeCell ref="M194:M195"/>
    <mergeCell ref="N194:N195"/>
    <mergeCell ref="O194:O195"/>
    <mergeCell ref="P194:P195"/>
    <mergeCell ref="K196:K197"/>
    <mergeCell ref="L196:L197"/>
    <mergeCell ref="M196:M197"/>
    <mergeCell ref="N196:N197"/>
    <mergeCell ref="K114:K115"/>
    <mergeCell ref="L114:L115"/>
    <mergeCell ref="M114:M115"/>
    <mergeCell ref="N114:N115"/>
    <mergeCell ref="O114:O115"/>
    <mergeCell ref="P114:P115"/>
    <mergeCell ref="K116:K117"/>
    <mergeCell ref="L116:L117"/>
    <mergeCell ref="M116:M117"/>
    <mergeCell ref="N116:N117"/>
    <mergeCell ref="O116:O117"/>
    <mergeCell ref="P116:P117"/>
    <mergeCell ref="K38:K39"/>
    <mergeCell ref="L38:L39"/>
    <mergeCell ref="M38:M39"/>
    <mergeCell ref="N38:N39"/>
    <mergeCell ref="O38:O39"/>
    <mergeCell ref="P38:P39"/>
    <mergeCell ref="C74:C75"/>
    <mergeCell ref="K74:K75"/>
    <mergeCell ref="L74:L75"/>
    <mergeCell ref="M74:M75"/>
    <mergeCell ref="N74:N75"/>
    <mergeCell ref="O74:O75"/>
    <mergeCell ref="P74:P75"/>
    <mergeCell ref="N40:N41"/>
    <mergeCell ref="O40:O41"/>
    <mergeCell ref="P40:P41"/>
    <mergeCell ref="L42:L43"/>
    <mergeCell ref="M42:M43"/>
    <mergeCell ref="N42:N43"/>
    <mergeCell ref="O42:O43"/>
    <mergeCell ref="P42:P43"/>
    <mergeCell ref="K44:K45"/>
    <mergeCell ref="L44:L45"/>
    <mergeCell ref="M44:M45"/>
    <mergeCell ref="K192:K193"/>
    <mergeCell ref="L192:L193"/>
    <mergeCell ref="K190:K191"/>
    <mergeCell ref="L190:L191"/>
    <mergeCell ref="K174:K175"/>
    <mergeCell ref="L174:L175"/>
    <mergeCell ref="K178:K179"/>
    <mergeCell ref="L178:L179"/>
    <mergeCell ref="L194:L195"/>
    <mergeCell ref="C168:C169"/>
    <mergeCell ref="C170:C171"/>
    <mergeCell ref="C172:C173"/>
    <mergeCell ref="C174:C175"/>
    <mergeCell ref="C176:C177"/>
    <mergeCell ref="C178:C179"/>
    <mergeCell ref="C180:C181"/>
    <mergeCell ref="K170:K171"/>
    <mergeCell ref="L170:L171"/>
    <mergeCell ref="K168:K169"/>
    <mergeCell ref="L168:L169"/>
    <mergeCell ref="M190:M191"/>
    <mergeCell ref="N190:N191"/>
    <mergeCell ref="O190:O191"/>
    <mergeCell ref="P190:P191"/>
    <mergeCell ref="C184:C185"/>
    <mergeCell ref="K184:K185"/>
    <mergeCell ref="L184:L185"/>
    <mergeCell ref="M184:M185"/>
    <mergeCell ref="N184:N185"/>
    <mergeCell ref="O184:O185"/>
    <mergeCell ref="P184:P185"/>
    <mergeCell ref="M186:M187"/>
    <mergeCell ref="N186:N187"/>
    <mergeCell ref="O186:O187"/>
    <mergeCell ref="P186:P187"/>
    <mergeCell ref="C190:C191"/>
    <mergeCell ref="C186:C187"/>
    <mergeCell ref="K186:K187"/>
    <mergeCell ref="L186:L187"/>
    <mergeCell ref="B114:B149"/>
    <mergeCell ref="C80:C81"/>
    <mergeCell ref="C182:C183"/>
    <mergeCell ref="K182:K183"/>
    <mergeCell ref="L182:L183"/>
    <mergeCell ref="M182:M183"/>
    <mergeCell ref="N182:N183"/>
    <mergeCell ref="O182:O183"/>
    <mergeCell ref="P182:P183"/>
    <mergeCell ref="C158:C159"/>
    <mergeCell ref="C160:C161"/>
    <mergeCell ref="C162:C163"/>
    <mergeCell ref="C164:C165"/>
    <mergeCell ref="C166:C167"/>
    <mergeCell ref="K158:K159"/>
    <mergeCell ref="L158:L159"/>
    <mergeCell ref="K162:K163"/>
    <mergeCell ref="L162:L163"/>
    <mergeCell ref="K166:K167"/>
    <mergeCell ref="L166:L167"/>
    <mergeCell ref="C110:C111"/>
    <mergeCell ref="K110:K111"/>
    <mergeCell ref="L110:L111"/>
    <mergeCell ref="M110:M111"/>
    <mergeCell ref="B6:B41"/>
    <mergeCell ref="C58:C59"/>
    <mergeCell ref="C60:C61"/>
    <mergeCell ref="C62:C63"/>
    <mergeCell ref="C64:C65"/>
    <mergeCell ref="C24:C25"/>
    <mergeCell ref="C26:C27"/>
    <mergeCell ref="C28:C29"/>
    <mergeCell ref="C6:C7"/>
    <mergeCell ref="C8:C9"/>
    <mergeCell ref="C10:C11"/>
    <mergeCell ref="C12:C13"/>
    <mergeCell ref="C14:C15"/>
    <mergeCell ref="C16:C17"/>
    <mergeCell ref="C18:C19"/>
    <mergeCell ref="C20:C21"/>
    <mergeCell ref="C22:C23"/>
    <mergeCell ref="C32:C33"/>
    <mergeCell ref="C36:C37"/>
    <mergeCell ref="C38:C39"/>
    <mergeCell ref="C92:C93"/>
    <mergeCell ref="C94:C95"/>
    <mergeCell ref="C96:C97"/>
    <mergeCell ref="C100:C101"/>
    <mergeCell ref="C102:C103"/>
    <mergeCell ref="C78:C79"/>
    <mergeCell ref="C152:C153"/>
    <mergeCell ref="C154:C155"/>
    <mergeCell ref="C156:C157"/>
    <mergeCell ref="C150:C151"/>
    <mergeCell ref="C146:C147"/>
    <mergeCell ref="C82:C83"/>
    <mergeCell ref="C84:C85"/>
    <mergeCell ref="C86:C87"/>
    <mergeCell ref="C112:C113"/>
    <mergeCell ref="C140:C141"/>
    <mergeCell ref="C130:C131"/>
    <mergeCell ref="C132:C133"/>
    <mergeCell ref="C134:C135"/>
    <mergeCell ref="C136:C137"/>
    <mergeCell ref="C138:C139"/>
    <mergeCell ref="C120:C121"/>
    <mergeCell ref="C122:C123"/>
    <mergeCell ref="C124:C125"/>
    <mergeCell ref="C68:C69"/>
    <mergeCell ref="C70:C71"/>
    <mergeCell ref="C76:C77"/>
    <mergeCell ref="C44:C45"/>
    <mergeCell ref="C50:C51"/>
    <mergeCell ref="C52:C53"/>
    <mergeCell ref="C54:C55"/>
    <mergeCell ref="C46:C47"/>
    <mergeCell ref="C66:C67"/>
    <mergeCell ref="C56:C57"/>
    <mergeCell ref="C72:C73"/>
    <mergeCell ref="B230:D230"/>
    <mergeCell ref="B2:P2"/>
    <mergeCell ref="B3:P3"/>
    <mergeCell ref="C212:C213"/>
    <mergeCell ref="C214:C215"/>
    <mergeCell ref="C216:C217"/>
    <mergeCell ref="C218:C219"/>
    <mergeCell ref="C220:C221"/>
    <mergeCell ref="C202:C203"/>
    <mergeCell ref="C204:C205"/>
    <mergeCell ref="C206:C207"/>
    <mergeCell ref="C208:C209"/>
    <mergeCell ref="C210:C211"/>
    <mergeCell ref="C192:C193"/>
    <mergeCell ref="C194:C195"/>
    <mergeCell ref="C196:C197"/>
    <mergeCell ref="C198:C199"/>
    <mergeCell ref="C34:C35"/>
    <mergeCell ref="C40:C41"/>
    <mergeCell ref="C42:C43"/>
    <mergeCell ref="C48:C49"/>
    <mergeCell ref="C142:C143"/>
    <mergeCell ref="C148:C149"/>
    <mergeCell ref="C30:C31"/>
    <mergeCell ref="C126:C127"/>
    <mergeCell ref="C128:C129"/>
    <mergeCell ref="C114:C115"/>
    <mergeCell ref="C116:C117"/>
    <mergeCell ref="C118:C119"/>
    <mergeCell ref="C98:C99"/>
    <mergeCell ref="C108:C109"/>
    <mergeCell ref="C104:C105"/>
    <mergeCell ref="C106:C107"/>
    <mergeCell ref="C88:C89"/>
    <mergeCell ref="C90:C91"/>
    <mergeCell ref="B42:B77"/>
    <mergeCell ref="B78:B113"/>
    <mergeCell ref="O6:O7"/>
    <mergeCell ref="P6:P7"/>
    <mergeCell ref="K8:K9"/>
    <mergeCell ref="L8:L9"/>
    <mergeCell ref="M8:M9"/>
    <mergeCell ref="N8:N9"/>
    <mergeCell ref="O8:O9"/>
    <mergeCell ref="P8:P9"/>
    <mergeCell ref="M10:M11"/>
    <mergeCell ref="N10:N11"/>
    <mergeCell ref="O10:O11"/>
    <mergeCell ref="P10:P11"/>
    <mergeCell ref="M6:M7"/>
    <mergeCell ref="N6:N7"/>
    <mergeCell ref="K6:K7"/>
    <mergeCell ref="L6:L7"/>
    <mergeCell ref="K10:K11"/>
    <mergeCell ref="L10:L11"/>
    <mergeCell ref="O12:O13"/>
    <mergeCell ref="P12:P13"/>
    <mergeCell ref="K12:K13"/>
    <mergeCell ref="L12:L13"/>
    <mergeCell ref="M12:M13"/>
    <mergeCell ref="N12:N13"/>
    <mergeCell ref="K14:K15"/>
    <mergeCell ref="L14:L15"/>
    <mergeCell ref="O18:O19"/>
    <mergeCell ref="P18:P19"/>
    <mergeCell ref="K20:K21"/>
    <mergeCell ref="L20:L21"/>
    <mergeCell ref="M20:M21"/>
    <mergeCell ref="N20:N21"/>
    <mergeCell ref="O20:O21"/>
    <mergeCell ref="P20:P21"/>
    <mergeCell ref="M14:M15"/>
    <mergeCell ref="N14:N15"/>
    <mergeCell ref="O14:O15"/>
    <mergeCell ref="P14:P15"/>
    <mergeCell ref="K16:K17"/>
    <mergeCell ref="L16:L17"/>
    <mergeCell ref="M16:M17"/>
    <mergeCell ref="N16:N17"/>
    <mergeCell ref="O16:O17"/>
    <mergeCell ref="P16:P17"/>
    <mergeCell ref="M22:M23"/>
    <mergeCell ref="N22:N23"/>
    <mergeCell ref="O22:O23"/>
    <mergeCell ref="P22:P23"/>
    <mergeCell ref="M18:M19"/>
    <mergeCell ref="N18:N19"/>
    <mergeCell ref="K18:K19"/>
    <mergeCell ref="L18:L19"/>
    <mergeCell ref="K22:K23"/>
    <mergeCell ref="L22:L23"/>
    <mergeCell ref="O24:O25"/>
    <mergeCell ref="P24:P25"/>
    <mergeCell ref="M26:M27"/>
    <mergeCell ref="N26:N27"/>
    <mergeCell ref="O26:O27"/>
    <mergeCell ref="P26:P27"/>
    <mergeCell ref="K28:K29"/>
    <mergeCell ref="L28:L29"/>
    <mergeCell ref="M28:M29"/>
    <mergeCell ref="N28:N29"/>
    <mergeCell ref="O28:O29"/>
    <mergeCell ref="P28:P29"/>
    <mergeCell ref="K26:K27"/>
    <mergeCell ref="L26:L27"/>
    <mergeCell ref="K24:K25"/>
    <mergeCell ref="L24:L25"/>
    <mergeCell ref="M24:M25"/>
    <mergeCell ref="N24:N25"/>
    <mergeCell ref="O30:O31"/>
    <mergeCell ref="P30:P31"/>
    <mergeCell ref="K32:K33"/>
    <mergeCell ref="L32:L33"/>
    <mergeCell ref="M32:M33"/>
    <mergeCell ref="N32:N33"/>
    <mergeCell ref="O32:O33"/>
    <mergeCell ref="P32:P33"/>
    <mergeCell ref="M34:M35"/>
    <mergeCell ref="N34:N35"/>
    <mergeCell ref="O34:O35"/>
    <mergeCell ref="P34:P35"/>
    <mergeCell ref="K30:K31"/>
    <mergeCell ref="L30:L31"/>
    <mergeCell ref="K34:K35"/>
    <mergeCell ref="L34:L35"/>
    <mergeCell ref="M30:M31"/>
    <mergeCell ref="N30:N31"/>
    <mergeCell ref="N44:N45"/>
    <mergeCell ref="O44:O45"/>
    <mergeCell ref="P44:P45"/>
    <mergeCell ref="K42:K43"/>
    <mergeCell ref="K40:K41"/>
    <mergeCell ref="L40:L41"/>
    <mergeCell ref="M40:M41"/>
    <mergeCell ref="K46:K47"/>
    <mergeCell ref="L46:L47"/>
    <mergeCell ref="M46:M47"/>
    <mergeCell ref="N46:N47"/>
    <mergeCell ref="O46:O47"/>
    <mergeCell ref="P46:P47"/>
    <mergeCell ref="P52:P53"/>
    <mergeCell ref="K54:K55"/>
    <mergeCell ref="L54:L55"/>
    <mergeCell ref="M54:M55"/>
    <mergeCell ref="N54:N55"/>
    <mergeCell ref="O54:O55"/>
    <mergeCell ref="P54:P55"/>
    <mergeCell ref="K48:K49"/>
    <mergeCell ref="L48:L49"/>
    <mergeCell ref="M48:M49"/>
    <mergeCell ref="N48:N49"/>
    <mergeCell ref="O48:O49"/>
    <mergeCell ref="P48:P49"/>
    <mergeCell ref="K50:K51"/>
    <mergeCell ref="L50:L51"/>
    <mergeCell ref="M50:M51"/>
    <mergeCell ref="N50:N51"/>
    <mergeCell ref="O50:O51"/>
    <mergeCell ref="P50:P51"/>
    <mergeCell ref="K64:K65"/>
    <mergeCell ref="L64:L65"/>
    <mergeCell ref="M64:M65"/>
    <mergeCell ref="N64:N65"/>
    <mergeCell ref="O64:O65"/>
    <mergeCell ref="P64:P65"/>
    <mergeCell ref="K58:K59"/>
    <mergeCell ref="L58:L59"/>
    <mergeCell ref="M58:M59"/>
    <mergeCell ref="N58:N59"/>
    <mergeCell ref="O58:O59"/>
    <mergeCell ref="P58:P59"/>
    <mergeCell ref="K60:K61"/>
    <mergeCell ref="L60:L61"/>
    <mergeCell ref="M60:M61"/>
    <mergeCell ref="N60:N61"/>
    <mergeCell ref="O60:O61"/>
    <mergeCell ref="K76:K77"/>
    <mergeCell ref="L76:L77"/>
    <mergeCell ref="M76:M77"/>
    <mergeCell ref="N76:N77"/>
    <mergeCell ref="O76:O77"/>
    <mergeCell ref="P76:P77"/>
    <mergeCell ref="K66:K67"/>
    <mergeCell ref="L66:L67"/>
    <mergeCell ref="M66:M67"/>
    <mergeCell ref="N66:N67"/>
    <mergeCell ref="O66:O67"/>
    <mergeCell ref="P66:P67"/>
    <mergeCell ref="K68:K69"/>
    <mergeCell ref="L68:L69"/>
    <mergeCell ref="M68:M69"/>
    <mergeCell ref="N68:N69"/>
    <mergeCell ref="O68:O69"/>
    <mergeCell ref="P68:P69"/>
    <mergeCell ref="K72:K73"/>
    <mergeCell ref="L72:L73"/>
    <mergeCell ref="M72:M73"/>
    <mergeCell ref="N72:N73"/>
    <mergeCell ref="O72:O73"/>
    <mergeCell ref="P72:P73"/>
    <mergeCell ref="K78:K79"/>
    <mergeCell ref="L78:L79"/>
    <mergeCell ref="M78:M79"/>
    <mergeCell ref="N78:N79"/>
    <mergeCell ref="O78:O79"/>
    <mergeCell ref="P78:P79"/>
    <mergeCell ref="K80:K81"/>
    <mergeCell ref="L80:L81"/>
    <mergeCell ref="M80:M81"/>
    <mergeCell ref="N80:N81"/>
    <mergeCell ref="O80:O81"/>
    <mergeCell ref="P80:P81"/>
    <mergeCell ref="K82:K83"/>
    <mergeCell ref="L82:L83"/>
    <mergeCell ref="M82:M83"/>
    <mergeCell ref="N82:N83"/>
    <mergeCell ref="O82:O83"/>
    <mergeCell ref="P82:P83"/>
    <mergeCell ref="K84:K85"/>
    <mergeCell ref="L84:L85"/>
    <mergeCell ref="M84:M85"/>
    <mergeCell ref="N84:N85"/>
    <mergeCell ref="O84:O85"/>
    <mergeCell ref="P84:P85"/>
    <mergeCell ref="K86:K87"/>
    <mergeCell ref="L86:L87"/>
    <mergeCell ref="M86:M87"/>
    <mergeCell ref="N86:N87"/>
    <mergeCell ref="O86:O87"/>
    <mergeCell ref="P86:P87"/>
    <mergeCell ref="K88:K89"/>
    <mergeCell ref="L88:L89"/>
    <mergeCell ref="M88:M89"/>
    <mergeCell ref="N88:N89"/>
    <mergeCell ref="O88:O89"/>
    <mergeCell ref="P88:P89"/>
    <mergeCell ref="K90:K91"/>
    <mergeCell ref="L90:L91"/>
    <mergeCell ref="M90:M91"/>
    <mergeCell ref="N90:N91"/>
    <mergeCell ref="O90:O91"/>
    <mergeCell ref="P90:P91"/>
    <mergeCell ref="K92:K93"/>
    <mergeCell ref="L92:L93"/>
    <mergeCell ref="M92:M93"/>
    <mergeCell ref="N92:N93"/>
    <mergeCell ref="O92:O93"/>
    <mergeCell ref="P92:P93"/>
    <mergeCell ref="K94:K95"/>
    <mergeCell ref="L94:L95"/>
    <mergeCell ref="M94:M95"/>
    <mergeCell ref="N94:N95"/>
    <mergeCell ref="O94:O95"/>
    <mergeCell ref="P94:P95"/>
    <mergeCell ref="K96:K97"/>
    <mergeCell ref="L96:L97"/>
    <mergeCell ref="M96:M97"/>
    <mergeCell ref="N96:N97"/>
    <mergeCell ref="O96:O97"/>
    <mergeCell ref="P96:P97"/>
    <mergeCell ref="K98:K99"/>
    <mergeCell ref="L98:L99"/>
    <mergeCell ref="M98:M99"/>
    <mergeCell ref="N98:N99"/>
    <mergeCell ref="O98:O99"/>
    <mergeCell ref="P98:P99"/>
    <mergeCell ref="K100:K101"/>
    <mergeCell ref="L100:L101"/>
    <mergeCell ref="M100:M101"/>
    <mergeCell ref="N100:N101"/>
    <mergeCell ref="O100:O101"/>
    <mergeCell ref="P100:P101"/>
    <mergeCell ref="K102:K103"/>
    <mergeCell ref="L102:L103"/>
    <mergeCell ref="M102:M103"/>
    <mergeCell ref="N102:N103"/>
    <mergeCell ref="O102:O103"/>
    <mergeCell ref="P102:P103"/>
    <mergeCell ref="K104:K105"/>
    <mergeCell ref="L104:L105"/>
    <mergeCell ref="M104:M105"/>
    <mergeCell ref="N104:N105"/>
    <mergeCell ref="O104:O105"/>
    <mergeCell ref="P104:P105"/>
    <mergeCell ref="K106:K107"/>
    <mergeCell ref="L106:L107"/>
    <mergeCell ref="M106:M107"/>
    <mergeCell ref="N106:N107"/>
    <mergeCell ref="O106:O107"/>
    <mergeCell ref="P106:P107"/>
    <mergeCell ref="K112:K113"/>
    <mergeCell ref="L112:L113"/>
    <mergeCell ref="M112:M113"/>
    <mergeCell ref="N112:N113"/>
    <mergeCell ref="O112:O113"/>
    <mergeCell ref="P112:P113"/>
    <mergeCell ref="K108:K109"/>
    <mergeCell ref="L108:L109"/>
    <mergeCell ref="M108:M109"/>
    <mergeCell ref="N108:N109"/>
    <mergeCell ref="O108:O109"/>
    <mergeCell ref="P108:P109"/>
    <mergeCell ref="N110:N111"/>
    <mergeCell ref="O110:O111"/>
    <mergeCell ref="P110:P111"/>
    <mergeCell ref="K118:K119"/>
    <mergeCell ref="L118:L119"/>
    <mergeCell ref="M118:M119"/>
    <mergeCell ref="N118:N119"/>
    <mergeCell ref="O118:O119"/>
    <mergeCell ref="P118:P119"/>
    <mergeCell ref="K120:K121"/>
    <mergeCell ref="L120:L121"/>
    <mergeCell ref="M120:M121"/>
    <mergeCell ref="N120:N121"/>
    <mergeCell ref="O120:O121"/>
    <mergeCell ref="P120:P121"/>
    <mergeCell ref="P126:P127"/>
    <mergeCell ref="K128:K129"/>
    <mergeCell ref="L128:L129"/>
    <mergeCell ref="M128:M129"/>
    <mergeCell ref="N128:N129"/>
    <mergeCell ref="O128:O129"/>
    <mergeCell ref="P128:P129"/>
    <mergeCell ref="K122:K123"/>
    <mergeCell ref="L122:L123"/>
    <mergeCell ref="M122:M123"/>
    <mergeCell ref="N122:N123"/>
    <mergeCell ref="O122:O123"/>
    <mergeCell ref="P122:P123"/>
    <mergeCell ref="K124:K125"/>
    <mergeCell ref="L124:L125"/>
    <mergeCell ref="M124:M125"/>
    <mergeCell ref="N124:N125"/>
    <mergeCell ref="O124:O125"/>
    <mergeCell ref="P124:P125"/>
    <mergeCell ref="K134:K135"/>
    <mergeCell ref="L134:L135"/>
    <mergeCell ref="M134:M135"/>
    <mergeCell ref="N134:N135"/>
    <mergeCell ref="K126:K127"/>
    <mergeCell ref="L126:L127"/>
    <mergeCell ref="M126:M127"/>
    <mergeCell ref="N126:N127"/>
    <mergeCell ref="O126:O127"/>
    <mergeCell ref="N130:N131"/>
    <mergeCell ref="O130:O131"/>
    <mergeCell ref="P130:P131"/>
    <mergeCell ref="K132:K133"/>
    <mergeCell ref="L132:L133"/>
    <mergeCell ref="M132:M133"/>
    <mergeCell ref="N132:N133"/>
    <mergeCell ref="O132:O133"/>
    <mergeCell ref="P132:P133"/>
    <mergeCell ref="K148:K149"/>
    <mergeCell ref="L148:L149"/>
    <mergeCell ref="M148:M149"/>
    <mergeCell ref="N148:N149"/>
    <mergeCell ref="O148:O149"/>
    <mergeCell ref="P148:P149"/>
    <mergeCell ref="K138:K139"/>
    <mergeCell ref="L138:L139"/>
    <mergeCell ref="M138:M139"/>
    <mergeCell ref="N138:N139"/>
    <mergeCell ref="O138:O139"/>
    <mergeCell ref="P138:P139"/>
    <mergeCell ref="K140:K141"/>
    <mergeCell ref="L140:L141"/>
    <mergeCell ref="M140:M141"/>
    <mergeCell ref="N140:N141"/>
    <mergeCell ref="O140:O141"/>
    <mergeCell ref="K146:K147"/>
    <mergeCell ref="L146:L147"/>
    <mergeCell ref="M146:M147"/>
    <mergeCell ref="N146:N147"/>
    <mergeCell ref="O146:O147"/>
    <mergeCell ref="P146:P147"/>
    <mergeCell ref="K150:K151"/>
    <mergeCell ref="L150:L151"/>
    <mergeCell ref="M150:M151"/>
    <mergeCell ref="N150:N151"/>
    <mergeCell ref="O150:O151"/>
    <mergeCell ref="P150:P151"/>
    <mergeCell ref="K152:K153"/>
    <mergeCell ref="L152:L153"/>
    <mergeCell ref="M152:M153"/>
    <mergeCell ref="N152:N153"/>
    <mergeCell ref="O152:O153"/>
    <mergeCell ref="P152:P153"/>
    <mergeCell ref="K154:K155"/>
    <mergeCell ref="L154:L155"/>
    <mergeCell ref="M154:M155"/>
    <mergeCell ref="N154:N155"/>
    <mergeCell ref="O154:O155"/>
    <mergeCell ref="P154:P155"/>
    <mergeCell ref="K156:K157"/>
    <mergeCell ref="L156:L157"/>
    <mergeCell ref="M156:M157"/>
    <mergeCell ref="N156:N157"/>
    <mergeCell ref="O156:O157"/>
    <mergeCell ref="P156:P157"/>
    <mergeCell ref="M158:M159"/>
    <mergeCell ref="N158:N159"/>
    <mergeCell ref="O158:O159"/>
    <mergeCell ref="P158:P159"/>
    <mergeCell ref="K160:K161"/>
    <mergeCell ref="L160:L161"/>
    <mergeCell ref="M160:M161"/>
    <mergeCell ref="N160:N161"/>
    <mergeCell ref="O160:O161"/>
    <mergeCell ref="P160:P161"/>
    <mergeCell ref="M162:M163"/>
    <mergeCell ref="N162:N163"/>
    <mergeCell ref="O162:O163"/>
    <mergeCell ref="P162:P163"/>
    <mergeCell ref="K164:K165"/>
    <mergeCell ref="L164:L165"/>
    <mergeCell ref="M164:M165"/>
    <mergeCell ref="N164:N165"/>
    <mergeCell ref="O164:O165"/>
    <mergeCell ref="P164:P165"/>
    <mergeCell ref="M166:M167"/>
    <mergeCell ref="N166:N167"/>
    <mergeCell ref="O166:O167"/>
    <mergeCell ref="P166:P167"/>
    <mergeCell ref="M168:M169"/>
    <mergeCell ref="N168:N169"/>
    <mergeCell ref="O168:O169"/>
    <mergeCell ref="P168:P169"/>
    <mergeCell ref="M170:M171"/>
    <mergeCell ref="N170:N171"/>
    <mergeCell ref="O170:O171"/>
    <mergeCell ref="P170:P171"/>
    <mergeCell ref="K172:K173"/>
    <mergeCell ref="L172:L173"/>
    <mergeCell ref="M172:M173"/>
    <mergeCell ref="N172:N173"/>
    <mergeCell ref="O172:O173"/>
    <mergeCell ref="P172:P173"/>
    <mergeCell ref="M174:M175"/>
    <mergeCell ref="N174:N175"/>
    <mergeCell ref="O174:O175"/>
    <mergeCell ref="P174:P175"/>
    <mergeCell ref="K176:K177"/>
    <mergeCell ref="L176:L177"/>
    <mergeCell ref="M176:M177"/>
    <mergeCell ref="N176:N177"/>
    <mergeCell ref="O176:O177"/>
    <mergeCell ref="P176:P177"/>
    <mergeCell ref="M178:M179"/>
    <mergeCell ref="N178:N179"/>
    <mergeCell ref="O178:O179"/>
    <mergeCell ref="P178:P179"/>
    <mergeCell ref="K180:K181"/>
    <mergeCell ref="L180:L181"/>
    <mergeCell ref="M180:M181"/>
    <mergeCell ref="N180:N181"/>
    <mergeCell ref="O180:O181"/>
    <mergeCell ref="P180:P181"/>
    <mergeCell ref="O196:O197"/>
    <mergeCell ref="P196:P197"/>
    <mergeCell ref="K194:K195"/>
    <mergeCell ref="K198:K199"/>
    <mergeCell ref="L198:L199"/>
    <mergeCell ref="M198:M199"/>
    <mergeCell ref="N198:N199"/>
    <mergeCell ref="O198:O199"/>
    <mergeCell ref="P198:P199"/>
    <mergeCell ref="K200:K201"/>
    <mergeCell ref="L200:L201"/>
    <mergeCell ref="M200:M201"/>
    <mergeCell ref="N200:N201"/>
    <mergeCell ref="O200:O201"/>
    <mergeCell ref="P200:P201"/>
    <mergeCell ref="K202:K203"/>
    <mergeCell ref="L202:L203"/>
    <mergeCell ref="M202:M203"/>
    <mergeCell ref="N202:N203"/>
    <mergeCell ref="O202:O203"/>
    <mergeCell ref="P202:P203"/>
    <mergeCell ref="P210:P211"/>
    <mergeCell ref="K212:K213"/>
    <mergeCell ref="L212:L213"/>
    <mergeCell ref="M212:M213"/>
    <mergeCell ref="N212:N213"/>
    <mergeCell ref="O212:O213"/>
    <mergeCell ref="P212:P213"/>
    <mergeCell ref="K204:K205"/>
    <mergeCell ref="L204:L205"/>
    <mergeCell ref="M204:M205"/>
    <mergeCell ref="N204:N205"/>
    <mergeCell ref="O204:O205"/>
    <mergeCell ref="P204:P205"/>
    <mergeCell ref="K206:K207"/>
    <mergeCell ref="L206:L207"/>
    <mergeCell ref="M206:M207"/>
    <mergeCell ref="N206:N207"/>
    <mergeCell ref="O206:O207"/>
    <mergeCell ref="P206:P207"/>
    <mergeCell ref="M228:M229"/>
    <mergeCell ref="N228:N229"/>
    <mergeCell ref="O228:O229"/>
    <mergeCell ref="P228:P229"/>
    <mergeCell ref="K220:K221"/>
    <mergeCell ref="L220:L221"/>
    <mergeCell ref="C224:C225"/>
    <mergeCell ref="K224:K225"/>
    <mergeCell ref="L224:L225"/>
    <mergeCell ref="M224:M225"/>
    <mergeCell ref="N224:N225"/>
    <mergeCell ref="O224:O225"/>
    <mergeCell ref="P224:P225"/>
    <mergeCell ref="M220:M221"/>
    <mergeCell ref="K222:K223"/>
    <mergeCell ref="L222:L223"/>
    <mergeCell ref="N220:N221"/>
    <mergeCell ref="O220:O221"/>
    <mergeCell ref="P220:P221"/>
    <mergeCell ref="C222:C223"/>
    <mergeCell ref="B150:B189"/>
    <mergeCell ref="C188:C189"/>
    <mergeCell ref="K188:K189"/>
    <mergeCell ref="L188:L189"/>
    <mergeCell ref="M188:M189"/>
    <mergeCell ref="N188:N189"/>
    <mergeCell ref="O188:O189"/>
    <mergeCell ref="P188:P189"/>
    <mergeCell ref="K218:K219"/>
    <mergeCell ref="L218:L219"/>
    <mergeCell ref="M218:M219"/>
    <mergeCell ref="N218:N219"/>
    <mergeCell ref="O218:O219"/>
    <mergeCell ref="P218:P219"/>
    <mergeCell ref="K214:K215"/>
    <mergeCell ref="L214:L215"/>
    <mergeCell ref="M214:M215"/>
    <mergeCell ref="N214:N215"/>
    <mergeCell ref="O214:O215"/>
    <mergeCell ref="P214:P215"/>
    <mergeCell ref="B190:B229"/>
    <mergeCell ref="C228:C229"/>
    <mergeCell ref="K228:K229"/>
    <mergeCell ref="L228:L229"/>
    <mergeCell ref="K70:K71"/>
    <mergeCell ref="L70:L71"/>
    <mergeCell ref="M70:M71"/>
    <mergeCell ref="N70:N71"/>
    <mergeCell ref="O70:O71"/>
    <mergeCell ref="P70:P71"/>
    <mergeCell ref="K142:K143"/>
    <mergeCell ref="L142:L143"/>
    <mergeCell ref="M142:M143"/>
    <mergeCell ref="N142:N143"/>
    <mergeCell ref="O142:O143"/>
    <mergeCell ref="P142:P143"/>
    <mergeCell ref="O134:O135"/>
    <mergeCell ref="P134:P135"/>
    <mergeCell ref="K136:K137"/>
    <mergeCell ref="L136:L137"/>
    <mergeCell ref="M136:M137"/>
    <mergeCell ref="N136:N137"/>
    <mergeCell ref="O136:O137"/>
    <mergeCell ref="P136:P137"/>
    <mergeCell ref="K130:K131"/>
    <mergeCell ref="L130:L131"/>
    <mergeCell ref="M130:M131"/>
    <mergeCell ref="P140:P141"/>
    <mergeCell ref="K36:K37"/>
    <mergeCell ref="L36:L37"/>
    <mergeCell ref="M36:M37"/>
    <mergeCell ref="N36:N37"/>
    <mergeCell ref="O36:O37"/>
    <mergeCell ref="P36:P37"/>
    <mergeCell ref="K62:K63"/>
    <mergeCell ref="L62:L63"/>
    <mergeCell ref="M62:M63"/>
    <mergeCell ref="N62:N63"/>
    <mergeCell ref="O62:O63"/>
    <mergeCell ref="P60:P61"/>
    <mergeCell ref="K56:K57"/>
    <mergeCell ref="L56:L57"/>
    <mergeCell ref="M56:M57"/>
    <mergeCell ref="N56:N57"/>
    <mergeCell ref="O56:O57"/>
    <mergeCell ref="P56:P57"/>
    <mergeCell ref="P62:P63"/>
    <mergeCell ref="K52:K53"/>
    <mergeCell ref="L52:L53"/>
    <mergeCell ref="M52:M53"/>
    <mergeCell ref="N52:N53"/>
    <mergeCell ref="O52:O53"/>
    <mergeCell ref="K216:K217"/>
    <mergeCell ref="L216:L217"/>
    <mergeCell ref="M216:M217"/>
    <mergeCell ref="N216:N217"/>
    <mergeCell ref="O216:O217"/>
    <mergeCell ref="P216:P217"/>
    <mergeCell ref="K210:K211"/>
    <mergeCell ref="C144:C145"/>
    <mergeCell ref="K144:K145"/>
    <mergeCell ref="L144:L145"/>
    <mergeCell ref="M144:M145"/>
    <mergeCell ref="N144:N145"/>
    <mergeCell ref="O144:O145"/>
    <mergeCell ref="P144:P145"/>
    <mergeCell ref="K208:K209"/>
    <mergeCell ref="L208:L209"/>
    <mergeCell ref="M208:M209"/>
    <mergeCell ref="N208:N209"/>
    <mergeCell ref="O208:O209"/>
    <mergeCell ref="P208:P209"/>
    <mergeCell ref="L210:L211"/>
    <mergeCell ref="M210:M211"/>
    <mergeCell ref="N210:N211"/>
    <mergeCell ref="O210:O211"/>
  </mergeCells>
  <conditionalFormatting sqref="J6:J229">
    <cfRule type="cellIs" dxfId="2" priority="6" operator="greaterThan">
      <formula>100%</formula>
    </cfRule>
  </conditionalFormatting>
  <conditionalFormatting sqref="P6:P229">
    <cfRule type="cellIs" dxfId="1" priority="3" operator="greaterThan">
      <formula>95%</formula>
    </cfRule>
  </conditionalFormatting>
  <conditionalFormatting sqref="P6:P230">
    <cfRule type="dataBar" priority="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{B473E5E6-404F-43AF-B3D4-71F92A39B40A}</x14:id>
        </ext>
      </extLst>
    </cfRule>
    <cfRule type="cellIs" dxfId="0" priority="10" operator="greaterThan">
      <formula>100%</formula>
    </cfRule>
  </conditionalFormatting>
  <conditionalFormatting sqref="J6:J230">
    <cfRule type="dataBar" priority="1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{55B4A34A-2099-4467-BD3E-19E3552C0501}</x14:id>
        </ext>
      </extLst>
    </cfRule>
  </conditionalFormatting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473E5E6-404F-43AF-B3D4-71F92A39B40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P6:P230</xm:sqref>
        </x14:conditionalFormatting>
        <x14:conditionalFormatting xmlns:xm="http://schemas.microsoft.com/office/excel/2006/main">
          <x14:cfRule type="dataBar" id="{55B4A34A-2099-4467-BD3E-19E3552C050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J6:J230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1"/>
  <sheetViews>
    <sheetView showGridLines="0" workbookViewId="0">
      <selection activeCell="E8" sqref="E8"/>
    </sheetView>
  </sheetViews>
  <sheetFormatPr baseColWidth="10" defaultRowHeight="15" x14ac:dyDescent="0.25"/>
  <cols>
    <col min="2" max="2" width="12.42578125" bestFit="1" customWidth="1"/>
    <col min="3" max="3" width="18.28515625" bestFit="1" customWidth="1"/>
    <col min="6" max="6" width="12.7109375" bestFit="1" customWidth="1"/>
  </cols>
  <sheetData>
    <row r="1" spans="2:8" x14ac:dyDescent="0.25">
      <c r="C1" s="259" t="s">
        <v>128</v>
      </c>
      <c r="D1" s="299"/>
      <c r="E1" s="299"/>
      <c r="F1" s="299"/>
      <c r="G1" s="299"/>
      <c r="H1" s="300"/>
    </row>
    <row r="2" spans="2:8" ht="15.75" thickBot="1" x14ac:dyDescent="0.3">
      <c r="C2" s="301"/>
      <c r="D2" s="302"/>
      <c r="E2" s="302"/>
      <c r="F2" s="302"/>
      <c r="G2" s="302"/>
      <c r="H2" s="303"/>
    </row>
    <row r="4" spans="2:8" x14ac:dyDescent="0.25">
      <c r="B4" s="292" t="s">
        <v>123</v>
      </c>
      <c r="C4" s="293"/>
      <c r="D4" s="293"/>
      <c r="E4" s="293"/>
      <c r="F4" s="293"/>
      <c r="G4" s="293"/>
      <c r="H4" s="294"/>
    </row>
    <row r="5" spans="2:8" x14ac:dyDescent="0.25">
      <c r="B5" s="86" t="s">
        <v>117</v>
      </c>
      <c r="C5" s="86" t="s">
        <v>118</v>
      </c>
      <c r="D5" s="86" t="s">
        <v>119</v>
      </c>
      <c r="E5" s="86" t="s">
        <v>120</v>
      </c>
      <c r="F5" s="86" t="s">
        <v>116</v>
      </c>
      <c r="G5" s="86" t="s">
        <v>121</v>
      </c>
      <c r="H5" s="86" t="s">
        <v>122</v>
      </c>
    </row>
    <row r="6" spans="2:8" x14ac:dyDescent="0.25">
      <c r="B6" s="377">
        <v>318</v>
      </c>
      <c r="C6" s="26" t="s">
        <v>59</v>
      </c>
      <c r="D6" s="371">
        <v>100</v>
      </c>
      <c r="E6" s="245">
        <v>29.693000000000001</v>
      </c>
      <c r="F6" s="373">
        <f>E6+E7+E8+E9+E10</f>
        <v>63.336000000000006</v>
      </c>
      <c r="G6" s="371">
        <f>D6-F6</f>
        <v>36.663999999999994</v>
      </c>
      <c r="H6" s="375">
        <f>F6/D6</f>
        <v>0.63336000000000003</v>
      </c>
    </row>
    <row r="7" spans="2:8" x14ac:dyDescent="0.25">
      <c r="B7" s="378"/>
      <c r="C7" s="26" t="s">
        <v>165</v>
      </c>
      <c r="D7" s="372"/>
      <c r="E7" s="88"/>
      <c r="F7" s="374"/>
      <c r="G7" s="372"/>
      <c r="H7" s="376"/>
    </row>
    <row r="8" spans="2:8" x14ac:dyDescent="0.25">
      <c r="B8" s="378"/>
      <c r="C8" s="39" t="s">
        <v>166</v>
      </c>
      <c r="D8" s="372"/>
      <c r="E8" s="245">
        <v>33.500999999999998</v>
      </c>
      <c r="F8" s="374"/>
      <c r="G8" s="372"/>
      <c r="H8" s="376"/>
    </row>
    <row r="9" spans="2:8" x14ac:dyDescent="0.25">
      <c r="B9" s="378"/>
      <c r="C9" s="39" t="s">
        <v>167</v>
      </c>
      <c r="D9" s="372"/>
      <c r="E9" s="88"/>
      <c r="F9" s="374"/>
      <c r="G9" s="372"/>
      <c r="H9" s="376"/>
    </row>
    <row r="10" spans="2:8" x14ac:dyDescent="0.25">
      <c r="B10" s="378"/>
      <c r="C10" s="39" t="s">
        <v>168</v>
      </c>
      <c r="D10" s="372"/>
      <c r="E10" s="245">
        <v>0.14199999999999999</v>
      </c>
      <c r="F10" s="374"/>
      <c r="G10" s="372"/>
      <c r="H10" s="376"/>
    </row>
    <row r="11" spans="2:8" x14ac:dyDescent="0.25">
      <c r="B11" s="295" t="s">
        <v>115</v>
      </c>
      <c r="C11" s="297"/>
      <c r="D11" s="15">
        <f>D6+D7</f>
        <v>100</v>
      </c>
      <c r="E11" s="15">
        <f>E6+E7+E8+E9+E10</f>
        <v>63.336000000000006</v>
      </c>
      <c r="F11" s="15">
        <f>F6</f>
        <v>63.336000000000006</v>
      </c>
      <c r="G11" s="15">
        <f>D11-F11</f>
        <v>36.663999999999994</v>
      </c>
      <c r="H11" s="23">
        <f>F11/D11</f>
        <v>0.63336000000000003</v>
      </c>
    </row>
  </sheetData>
  <mergeCells count="8">
    <mergeCell ref="C1:H2"/>
    <mergeCell ref="B4:H4"/>
    <mergeCell ref="B11:C11"/>
    <mergeCell ref="D6:D10"/>
    <mergeCell ref="G6:G10"/>
    <mergeCell ref="F6:F10"/>
    <mergeCell ref="H6:H10"/>
    <mergeCell ref="B6:B10"/>
  </mergeCells>
  <conditionalFormatting sqref="H6:H10">
    <cfRule type="dataBar" priority="1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{BA8B9407-46D0-4D48-A61B-D7665375340E}</x14:id>
        </ext>
      </extLst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8B9407-46D0-4D48-A61B-D7665375340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H6:H10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6"/>
  <sheetViews>
    <sheetView workbookViewId="0">
      <selection activeCell="E19" sqref="E19"/>
    </sheetView>
  </sheetViews>
  <sheetFormatPr baseColWidth="10" defaultColWidth="11.42578125" defaultRowHeight="12" x14ac:dyDescent="0.25"/>
  <cols>
    <col min="1" max="1" width="23.42578125" style="1" bestFit="1" customWidth="1"/>
    <col min="2" max="2" width="19" style="1" bestFit="1" customWidth="1"/>
    <col min="3" max="3" width="5.140625" style="1" bestFit="1" customWidth="1"/>
    <col min="4" max="4" width="15.28515625" style="1" bestFit="1" customWidth="1"/>
    <col min="5" max="5" width="39.5703125" style="1" bestFit="1" customWidth="1"/>
    <col min="6" max="6" width="13.85546875" style="1" bestFit="1" customWidth="1"/>
    <col min="7" max="7" width="13" style="1" bestFit="1" customWidth="1"/>
    <col min="8" max="8" width="9.42578125" style="12" bestFit="1" customWidth="1"/>
    <col min="9" max="9" width="20" style="12" bestFit="1" customWidth="1"/>
    <col min="10" max="10" width="14" style="12" bestFit="1" customWidth="1"/>
    <col min="11" max="12" width="7.5703125" style="12" bestFit="1" customWidth="1"/>
    <col min="13" max="13" width="19.7109375" style="35" bestFit="1" customWidth="1"/>
    <col min="14" max="14" width="10.42578125" style="13" bestFit="1" customWidth="1"/>
    <col min="15" max="15" width="10.28515625" style="1" bestFit="1" customWidth="1"/>
    <col min="16" max="16" width="5" style="1" bestFit="1" customWidth="1"/>
    <col min="17" max="17" width="8.5703125" style="1" bestFit="1" customWidth="1"/>
    <col min="18" max="16384" width="11.42578125" style="1"/>
  </cols>
  <sheetData>
    <row r="1" spans="1:17" x14ac:dyDescent="0.25">
      <c r="A1" s="4" t="s">
        <v>67</v>
      </c>
      <c r="B1" s="4" t="s">
        <v>68</v>
      </c>
      <c r="C1" s="4" t="s">
        <v>69</v>
      </c>
      <c r="D1" s="5" t="s">
        <v>70</v>
      </c>
      <c r="E1" s="4" t="s">
        <v>71</v>
      </c>
      <c r="F1" s="4" t="s">
        <v>72</v>
      </c>
      <c r="G1" s="4" t="s">
        <v>73</v>
      </c>
      <c r="H1" s="6" t="s">
        <v>74</v>
      </c>
      <c r="I1" s="6" t="s">
        <v>75</v>
      </c>
      <c r="J1" s="6" t="s">
        <v>76</v>
      </c>
      <c r="K1" s="6" t="s">
        <v>77</v>
      </c>
      <c r="L1" s="6" t="s">
        <v>78</v>
      </c>
      <c r="M1" s="32" t="s">
        <v>79</v>
      </c>
      <c r="N1" s="7" t="s">
        <v>80</v>
      </c>
      <c r="O1" s="8" t="s">
        <v>81</v>
      </c>
      <c r="P1" s="9" t="s">
        <v>82</v>
      </c>
      <c r="Q1" s="9" t="s">
        <v>83</v>
      </c>
    </row>
    <row r="2" spans="1:17" x14ac:dyDescent="0.25">
      <c r="A2" s="3" t="s">
        <v>20</v>
      </c>
      <c r="B2" s="3" t="s">
        <v>84</v>
      </c>
      <c r="C2" s="3" t="s">
        <v>85</v>
      </c>
      <c r="D2" s="3" t="s">
        <v>86</v>
      </c>
      <c r="E2" s="3" t="s">
        <v>86</v>
      </c>
      <c r="F2" s="3" t="s">
        <v>87</v>
      </c>
      <c r="G2" s="3" t="s">
        <v>88</v>
      </c>
      <c r="H2" s="2">
        <f>'CUOTA ARTESANAL'!E6</f>
        <v>2</v>
      </c>
      <c r="I2" s="2">
        <f>'CUOTA ARTESANAL'!F6</f>
        <v>0</v>
      </c>
      <c r="J2" s="2">
        <f>'CUOTA ARTESANAL'!G6</f>
        <v>2</v>
      </c>
      <c r="K2" s="2">
        <f>'CUOTA ARTESANAL'!H6</f>
        <v>0</v>
      </c>
      <c r="L2" s="2">
        <f>'CUOTA ARTESANAL'!I6</f>
        <v>2</v>
      </c>
      <c r="M2" s="33">
        <f>'CUOTA ARTESANAL'!J6</f>
        <v>0</v>
      </c>
      <c r="N2" s="10" t="str">
        <f>'CUOTA ARTESANAL'!K6</f>
        <v>-</v>
      </c>
      <c r="O2" s="10">
        <f>'RESUMEN '!$B$3</f>
        <v>44561</v>
      </c>
      <c r="P2" s="3">
        <v>2021</v>
      </c>
      <c r="Q2" s="3"/>
    </row>
    <row r="3" spans="1:17" x14ac:dyDescent="0.25">
      <c r="A3" s="3" t="s">
        <v>20</v>
      </c>
      <c r="B3" s="3" t="s">
        <v>84</v>
      </c>
      <c r="C3" s="3" t="s">
        <v>85</v>
      </c>
      <c r="D3" s="3" t="s">
        <v>86</v>
      </c>
      <c r="E3" s="3" t="s">
        <v>86</v>
      </c>
      <c r="F3" s="3" t="s">
        <v>89</v>
      </c>
      <c r="G3" s="3" t="s">
        <v>90</v>
      </c>
      <c r="H3" s="2">
        <f>'CUOTA ARTESANAL'!E7</f>
        <v>1</v>
      </c>
      <c r="I3" s="2">
        <f>'CUOTA ARTESANAL'!F7</f>
        <v>0</v>
      </c>
      <c r="J3" s="2">
        <f>'CUOTA ARTESANAL'!G7</f>
        <v>3</v>
      </c>
      <c r="K3" s="2">
        <f>'CUOTA ARTESANAL'!H7</f>
        <v>0</v>
      </c>
      <c r="L3" s="2">
        <f>'CUOTA ARTESANAL'!I7</f>
        <v>3</v>
      </c>
      <c r="M3" s="33">
        <f>'CUOTA ARTESANAL'!J7</f>
        <v>0</v>
      </c>
      <c r="N3" s="10" t="str">
        <f>'CUOTA ARTESANAL'!K7</f>
        <v>-</v>
      </c>
      <c r="O3" s="10">
        <f>'RESUMEN '!$B$3</f>
        <v>44561</v>
      </c>
      <c r="P3" s="39">
        <v>2021</v>
      </c>
      <c r="Q3" s="3"/>
    </row>
    <row r="4" spans="1:17" x14ac:dyDescent="0.25">
      <c r="A4" s="3" t="s">
        <v>20</v>
      </c>
      <c r="B4" s="3" t="s">
        <v>84</v>
      </c>
      <c r="C4" s="3" t="s">
        <v>85</v>
      </c>
      <c r="D4" s="3" t="s">
        <v>86</v>
      </c>
      <c r="E4" s="3" t="s">
        <v>86</v>
      </c>
      <c r="F4" s="3" t="s">
        <v>87</v>
      </c>
      <c r="G4" s="3" t="s">
        <v>90</v>
      </c>
      <c r="H4" s="2">
        <f>'CUOTA ARTESANAL'!L6</f>
        <v>3</v>
      </c>
      <c r="I4" s="2">
        <f>'CUOTA ARTESANAL'!M6</f>
        <v>0</v>
      </c>
      <c r="J4" s="2">
        <f>'CUOTA ARTESANAL'!N6</f>
        <v>3</v>
      </c>
      <c r="K4" s="2">
        <f>'CUOTA ARTESANAL'!O6</f>
        <v>0</v>
      </c>
      <c r="L4" s="2">
        <f>'CUOTA ARTESANAL'!P6</f>
        <v>3</v>
      </c>
      <c r="M4" s="33">
        <f>'CUOTA ARTESANAL'!Q6</f>
        <v>0</v>
      </c>
      <c r="N4" s="10" t="s">
        <v>91</v>
      </c>
      <c r="O4" s="10">
        <f>'RESUMEN '!$B$3</f>
        <v>44561</v>
      </c>
      <c r="P4" s="39">
        <v>2021</v>
      </c>
      <c r="Q4" s="3"/>
    </row>
    <row r="5" spans="1:17" x14ac:dyDescent="0.25">
      <c r="A5" s="3" t="s">
        <v>20</v>
      </c>
      <c r="B5" s="3" t="s">
        <v>84</v>
      </c>
      <c r="C5" s="3" t="s">
        <v>92</v>
      </c>
      <c r="D5" s="3" t="s">
        <v>86</v>
      </c>
      <c r="E5" s="3" t="s">
        <v>86</v>
      </c>
      <c r="F5" s="3" t="s">
        <v>87</v>
      </c>
      <c r="G5" s="3" t="s">
        <v>88</v>
      </c>
      <c r="H5" s="2">
        <f>'CUOTA ARTESANAL'!E8</f>
        <v>2</v>
      </c>
      <c r="I5" s="2">
        <f>'CUOTA ARTESANAL'!F8</f>
        <v>0</v>
      </c>
      <c r="J5" s="2">
        <f>'CUOTA ARTESANAL'!G8</f>
        <v>2</v>
      </c>
      <c r="K5" s="2">
        <f>'CUOTA ARTESANAL'!H8</f>
        <v>0</v>
      </c>
      <c r="L5" s="2">
        <f>'CUOTA ARTESANAL'!I8</f>
        <v>2</v>
      </c>
      <c r="M5" s="33">
        <f>'CUOTA ARTESANAL'!J8</f>
        <v>0</v>
      </c>
      <c r="N5" s="10" t="str">
        <f>'CUOTA ARTESANAL'!K8</f>
        <v>-</v>
      </c>
      <c r="O5" s="10">
        <f>'RESUMEN '!$B$3</f>
        <v>44561</v>
      </c>
      <c r="P5" s="39">
        <v>2021</v>
      </c>
      <c r="Q5" s="3"/>
    </row>
    <row r="6" spans="1:17" x14ac:dyDescent="0.25">
      <c r="A6" s="3" t="s">
        <v>20</v>
      </c>
      <c r="B6" s="3" t="s">
        <v>84</v>
      </c>
      <c r="C6" s="3" t="s">
        <v>92</v>
      </c>
      <c r="D6" s="3" t="s">
        <v>86</v>
      </c>
      <c r="E6" s="3" t="s">
        <v>86</v>
      </c>
      <c r="F6" s="3" t="s">
        <v>89</v>
      </c>
      <c r="G6" s="3" t="s">
        <v>90</v>
      </c>
      <c r="H6" s="2">
        <f>'CUOTA ARTESANAL'!E9</f>
        <v>1</v>
      </c>
      <c r="I6" s="2">
        <f>'CUOTA ARTESANAL'!F9</f>
        <v>0</v>
      </c>
      <c r="J6" s="2">
        <f>'CUOTA ARTESANAL'!G9</f>
        <v>3</v>
      </c>
      <c r="K6" s="2">
        <f>'CUOTA ARTESANAL'!H9</f>
        <v>0</v>
      </c>
      <c r="L6" s="2">
        <f>'CUOTA ARTESANAL'!I9</f>
        <v>3</v>
      </c>
      <c r="M6" s="33">
        <f>'CUOTA ARTESANAL'!J9</f>
        <v>0</v>
      </c>
      <c r="N6" s="10" t="str">
        <f>'CUOTA ARTESANAL'!K9</f>
        <v>-</v>
      </c>
      <c r="O6" s="10">
        <f>'RESUMEN '!$B$3</f>
        <v>44561</v>
      </c>
      <c r="P6" s="39">
        <v>2021</v>
      </c>
      <c r="Q6" s="3"/>
    </row>
    <row r="7" spans="1:17" x14ac:dyDescent="0.25">
      <c r="A7" s="3" t="s">
        <v>20</v>
      </c>
      <c r="B7" s="3" t="s">
        <v>84</v>
      </c>
      <c r="C7" s="3" t="s">
        <v>92</v>
      </c>
      <c r="D7" s="3" t="s">
        <v>86</v>
      </c>
      <c r="E7" s="3" t="s">
        <v>86</v>
      </c>
      <c r="F7" s="3" t="s">
        <v>87</v>
      </c>
      <c r="G7" s="3" t="s">
        <v>90</v>
      </c>
      <c r="H7" s="2">
        <f>'CUOTA ARTESANAL'!L8</f>
        <v>3</v>
      </c>
      <c r="I7" s="2">
        <f>'CUOTA ARTESANAL'!M8</f>
        <v>0</v>
      </c>
      <c r="J7" s="2">
        <f>'CUOTA ARTESANAL'!N8</f>
        <v>3</v>
      </c>
      <c r="K7" s="2">
        <f>'CUOTA ARTESANAL'!O8</f>
        <v>0</v>
      </c>
      <c r="L7" s="2">
        <f>'CUOTA ARTESANAL'!P8</f>
        <v>3</v>
      </c>
      <c r="M7" s="33">
        <f>'CUOTA ARTESANAL'!Q8</f>
        <v>0</v>
      </c>
      <c r="N7" s="10" t="s">
        <v>91</v>
      </c>
      <c r="O7" s="10">
        <f>'RESUMEN '!$B$3</f>
        <v>44561</v>
      </c>
      <c r="P7" s="39">
        <v>2021</v>
      </c>
      <c r="Q7" s="3"/>
    </row>
    <row r="8" spans="1:17" x14ac:dyDescent="0.25">
      <c r="A8" s="3" t="s">
        <v>20</v>
      </c>
      <c r="B8" s="3" t="s">
        <v>84</v>
      </c>
      <c r="C8" s="3" t="s">
        <v>94</v>
      </c>
      <c r="D8" s="3" t="s">
        <v>93</v>
      </c>
      <c r="E8" s="3" t="str">
        <f>'CUOTA ARTESANAL'!C10</f>
        <v>PUNTA TALCA</v>
      </c>
      <c r="F8" s="3" t="s">
        <v>87</v>
      </c>
      <c r="G8" s="3" t="s">
        <v>88</v>
      </c>
      <c r="H8" s="2">
        <f>'CUOTA ARTESANAL'!E10</f>
        <v>145.58000000000001</v>
      </c>
      <c r="I8" s="2">
        <f>'CUOTA ARTESANAL'!F10</f>
        <v>26.847000000000001</v>
      </c>
      <c r="J8" s="2">
        <f>'CUOTA ARTESANAL'!G10</f>
        <v>172.42700000000002</v>
      </c>
      <c r="K8" s="2">
        <f>'CUOTA ARTESANAL'!H10</f>
        <v>139.721</v>
      </c>
      <c r="L8" s="2">
        <f>'CUOTA ARTESANAL'!I10</f>
        <v>32.706000000000017</v>
      </c>
      <c r="M8" s="33">
        <f>'CUOTA ARTESANAL'!J10</f>
        <v>0.81031972950871956</v>
      </c>
      <c r="N8" s="10">
        <f>'CUOTA ARTESANAL'!K10</f>
        <v>44383</v>
      </c>
      <c r="O8" s="10">
        <f>'RESUMEN '!$B$3</f>
        <v>44561</v>
      </c>
      <c r="P8" s="39">
        <v>2021</v>
      </c>
      <c r="Q8" s="3"/>
    </row>
    <row r="9" spans="1:17" x14ac:dyDescent="0.25">
      <c r="A9" s="3" t="s">
        <v>20</v>
      </c>
      <c r="B9" s="3" t="s">
        <v>84</v>
      </c>
      <c r="C9" s="3" t="s">
        <v>94</v>
      </c>
      <c r="D9" s="3" t="s">
        <v>93</v>
      </c>
      <c r="E9" s="3" t="str">
        <f>'CUOTA ARTESANAL'!C10</f>
        <v>PUNTA TALCA</v>
      </c>
      <c r="F9" s="3" t="s">
        <v>89</v>
      </c>
      <c r="G9" s="3" t="s">
        <v>90</v>
      </c>
      <c r="H9" s="2">
        <f>'CUOTA ARTESANAL'!E11</f>
        <v>15.95</v>
      </c>
      <c r="I9" s="2">
        <f>'CUOTA ARTESANAL'!F11</f>
        <v>0</v>
      </c>
      <c r="J9" s="2">
        <f>'CUOTA ARTESANAL'!G11</f>
        <v>48.65600000000002</v>
      </c>
      <c r="K9" s="2">
        <f>'CUOTA ARTESANAL'!H11</f>
        <v>10.244</v>
      </c>
      <c r="L9" s="2">
        <f>'CUOTA ARTESANAL'!I11</f>
        <v>38.41200000000002</v>
      </c>
      <c r="M9" s="33">
        <f>'CUOTA ARTESANAL'!J11</f>
        <v>0.21053929628411697</v>
      </c>
      <c r="N9" s="10" t="str">
        <f>'CUOTA ARTESANAL'!K11</f>
        <v>-</v>
      </c>
      <c r="O9" s="10">
        <f>'RESUMEN '!$B$3</f>
        <v>44561</v>
      </c>
      <c r="P9" s="39">
        <v>2021</v>
      </c>
      <c r="Q9" s="3"/>
    </row>
    <row r="10" spans="1:17" x14ac:dyDescent="0.25">
      <c r="A10" s="3" t="s">
        <v>20</v>
      </c>
      <c r="B10" s="3" t="s">
        <v>84</v>
      </c>
      <c r="C10" s="3" t="s">
        <v>94</v>
      </c>
      <c r="D10" s="3" t="s">
        <v>93</v>
      </c>
      <c r="E10" s="3" t="str">
        <f>'CUOTA ARTESANAL'!C10</f>
        <v>PUNTA TALCA</v>
      </c>
      <c r="F10" s="3" t="s">
        <v>87</v>
      </c>
      <c r="G10" s="3" t="s">
        <v>90</v>
      </c>
      <c r="H10" s="2">
        <f>'CUOTA ARTESANAL'!L10:L11</f>
        <v>161.53</v>
      </c>
      <c r="I10" s="2">
        <f>'CUOTA ARTESANAL'!M10:M11</f>
        <v>26.847000000000001</v>
      </c>
      <c r="J10" s="2">
        <f>'CUOTA ARTESANAL'!N10:N11</f>
        <v>188.37700000000001</v>
      </c>
      <c r="K10" s="2">
        <f>'CUOTA ARTESANAL'!O10:O11</f>
        <v>149.965</v>
      </c>
      <c r="L10" s="2">
        <f>'CUOTA ARTESANAL'!P10:P11</f>
        <v>38.412000000000006</v>
      </c>
      <c r="M10" s="33">
        <f>'CUOTA ARTESANAL'!Q10:Q11</f>
        <v>0.79608975618042543</v>
      </c>
      <c r="N10" s="10" t="s">
        <v>91</v>
      </c>
      <c r="O10" s="10">
        <f>'RESUMEN '!$B$3</f>
        <v>44561</v>
      </c>
      <c r="P10" s="39">
        <v>2021</v>
      </c>
      <c r="Q10" s="3"/>
    </row>
    <row r="11" spans="1:17" x14ac:dyDescent="0.25">
      <c r="A11" s="3" t="s">
        <v>20</v>
      </c>
      <c r="B11" s="3" t="s">
        <v>84</v>
      </c>
      <c r="C11" s="3" t="s">
        <v>94</v>
      </c>
      <c r="D11" s="3" t="s">
        <v>93</v>
      </c>
      <c r="E11" s="3" t="str">
        <f>'CUOTA ARTESANAL'!C12</f>
        <v>TRAUWUN I</v>
      </c>
      <c r="F11" s="3" t="s">
        <v>87</v>
      </c>
      <c r="G11" s="3" t="s">
        <v>88</v>
      </c>
      <c r="H11" s="2">
        <f>'CUOTA ARTESANAL'!E12</f>
        <v>136.54400000000001</v>
      </c>
      <c r="I11" s="2">
        <f>'CUOTA ARTESANAL'!F12</f>
        <v>80</v>
      </c>
      <c r="J11" s="2">
        <f>'CUOTA ARTESANAL'!G12</f>
        <v>216.54400000000001</v>
      </c>
      <c r="K11" s="2">
        <f>'CUOTA ARTESANAL'!H12</f>
        <v>154.434</v>
      </c>
      <c r="L11" s="2">
        <f>'CUOTA ARTESANAL'!I12</f>
        <v>62.110000000000014</v>
      </c>
      <c r="M11" s="33">
        <f>'CUOTA ARTESANAL'!J12</f>
        <v>0.71317607507019354</v>
      </c>
      <c r="N11" s="10" t="str">
        <f>'CUOTA ARTESANAL'!K12</f>
        <v>-</v>
      </c>
      <c r="O11" s="10">
        <f>'RESUMEN '!$B$3</f>
        <v>44561</v>
      </c>
      <c r="P11" s="39">
        <v>2021</v>
      </c>
      <c r="Q11" s="3"/>
    </row>
    <row r="12" spans="1:17" x14ac:dyDescent="0.25">
      <c r="A12" s="3" t="s">
        <v>20</v>
      </c>
      <c r="B12" s="3" t="s">
        <v>84</v>
      </c>
      <c r="C12" s="3" t="s">
        <v>94</v>
      </c>
      <c r="D12" s="3" t="s">
        <v>93</v>
      </c>
      <c r="E12" s="3" t="str">
        <f>'CUOTA ARTESANAL'!C12</f>
        <v>TRAUWUN I</v>
      </c>
      <c r="F12" s="3" t="s">
        <v>89</v>
      </c>
      <c r="G12" s="3" t="s">
        <v>90</v>
      </c>
      <c r="H12" s="2">
        <f>'CUOTA ARTESANAL'!E13</f>
        <v>14.96</v>
      </c>
      <c r="I12" s="2">
        <f>'CUOTA ARTESANAL'!F13</f>
        <v>0</v>
      </c>
      <c r="J12" s="2">
        <f>'CUOTA ARTESANAL'!G13</f>
        <v>77.070000000000022</v>
      </c>
      <c r="K12" s="2">
        <f>'CUOTA ARTESANAL'!H13</f>
        <v>76.084999999999994</v>
      </c>
      <c r="L12" s="2">
        <f>'CUOTA ARTESANAL'!I13</f>
        <v>0.98500000000002785</v>
      </c>
      <c r="M12" s="33">
        <f>'CUOTA ARTESANAL'!J13</f>
        <v>0.98721941092513266</v>
      </c>
      <c r="N12" s="10" t="str">
        <f>'CUOTA ARTESANAL'!K13</f>
        <v>-</v>
      </c>
      <c r="O12" s="10">
        <f>'RESUMEN '!$B$3</f>
        <v>44561</v>
      </c>
      <c r="P12" s="39">
        <v>2021</v>
      </c>
      <c r="Q12" s="3"/>
    </row>
    <row r="13" spans="1:17" x14ac:dyDescent="0.25">
      <c r="A13" s="3" t="s">
        <v>20</v>
      </c>
      <c r="B13" s="3" t="s">
        <v>84</v>
      </c>
      <c r="C13" s="3" t="s">
        <v>94</v>
      </c>
      <c r="D13" s="3" t="s">
        <v>93</v>
      </c>
      <c r="E13" s="3" t="str">
        <f>'CUOTA ARTESANAL'!C12</f>
        <v>TRAUWUN I</v>
      </c>
      <c r="F13" s="3" t="s">
        <v>87</v>
      </c>
      <c r="G13" s="3" t="s">
        <v>90</v>
      </c>
      <c r="H13" s="2">
        <f>'CUOTA ARTESANAL'!L12</f>
        <v>151.50400000000002</v>
      </c>
      <c r="I13" s="2">
        <f>'CUOTA ARTESANAL'!M12</f>
        <v>80</v>
      </c>
      <c r="J13" s="2">
        <f>'CUOTA ARTESANAL'!N12</f>
        <v>231.50400000000002</v>
      </c>
      <c r="K13" s="2">
        <f>'CUOTA ARTESANAL'!O12</f>
        <v>230.51900000000001</v>
      </c>
      <c r="L13" s="2">
        <f>'CUOTA ARTESANAL'!P12</f>
        <v>0.98500000000001364</v>
      </c>
      <c r="M13" s="33">
        <f>'CUOTA ARTESANAL'!Q12</f>
        <v>0.99574521390559123</v>
      </c>
      <c r="N13" s="10" t="s">
        <v>91</v>
      </c>
      <c r="O13" s="10">
        <f>'RESUMEN '!$B$3</f>
        <v>44561</v>
      </c>
      <c r="P13" s="39">
        <v>2021</v>
      </c>
      <c r="Q13" s="3"/>
    </row>
    <row r="14" spans="1:17" x14ac:dyDescent="0.25">
      <c r="A14" s="3" t="s">
        <v>20</v>
      </c>
      <c r="B14" s="3" t="s">
        <v>84</v>
      </c>
      <c r="C14" s="3" t="s">
        <v>94</v>
      </c>
      <c r="D14" s="3" t="s">
        <v>93</v>
      </c>
      <c r="E14" s="3" t="str">
        <f>'CUOTA ARTESANAL'!C14</f>
        <v>CHAFIC I</v>
      </c>
      <c r="F14" s="3" t="s">
        <v>87</v>
      </c>
      <c r="G14" s="3" t="s">
        <v>88</v>
      </c>
      <c r="H14" s="2">
        <f>'CUOTA ARTESANAL'!E14</f>
        <v>105.42</v>
      </c>
      <c r="I14" s="2">
        <f>'CUOTA ARTESANAL'!F14</f>
        <v>-5</v>
      </c>
      <c r="J14" s="2">
        <f>'CUOTA ARTESANAL'!G14</f>
        <v>100.42</v>
      </c>
      <c r="K14" s="2">
        <f>'CUOTA ARTESANAL'!H14</f>
        <v>99.108999999999995</v>
      </c>
      <c r="L14" s="2">
        <f>'CUOTA ARTESANAL'!I14</f>
        <v>1.311000000000007</v>
      </c>
      <c r="M14" s="33">
        <f>'CUOTA ARTESANAL'!J14</f>
        <v>0.98694483170683123</v>
      </c>
      <c r="N14" s="10" t="str">
        <f>'CUOTA ARTESANAL'!K14</f>
        <v>-</v>
      </c>
      <c r="O14" s="10">
        <f>'RESUMEN '!$B$3</f>
        <v>44561</v>
      </c>
      <c r="P14" s="39">
        <v>2021</v>
      </c>
      <c r="Q14" s="3"/>
    </row>
    <row r="15" spans="1:17" x14ac:dyDescent="0.25">
      <c r="A15" s="3" t="s">
        <v>20</v>
      </c>
      <c r="B15" s="3" t="s">
        <v>84</v>
      </c>
      <c r="C15" s="3" t="s">
        <v>94</v>
      </c>
      <c r="D15" s="3" t="s">
        <v>93</v>
      </c>
      <c r="E15" s="3" t="str">
        <f>'CUOTA ARTESANAL'!C14</f>
        <v>CHAFIC I</v>
      </c>
      <c r="F15" s="3" t="s">
        <v>89</v>
      </c>
      <c r="G15" s="3" t="s">
        <v>90</v>
      </c>
      <c r="H15" s="2">
        <f>'CUOTA ARTESANAL'!E15</f>
        <v>11.55</v>
      </c>
      <c r="I15" s="2">
        <f>'CUOTA ARTESANAL'!F15</f>
        <v>0</v>
      </c>
      <c r="J15" s="2">
        <f>'CUOTA ARTESANAL'!G15</f>
        <v>12.861000000000008</v>
      </c>
      <c r="K15" s="2">
        <f>'CUOTA ARTESANAL'!H15</f>
        <v>4.43</v>
      </c>
      <c r="L15" s="2">
        <f>'CUOTA ARTESANAL'!I15</f>
        <v>8.431000000000008</v>
      </c>
      <c r="M15" s="33">
        <f>'CUOTA ARTESANAL'!J15</f>
        <v>0.34445221988958846</v>
      </c>
      <c r="N15" s="10" t="str">
        <f>'CUOTA ARTESANAL'!K15</f>
        <v>-</v>
      </c>
      <c r="O15" s="10">
        <f>'RESUMEN '!$B$3</f>
        <v>44561</v>
      </c>
      <c r="P15" s="39">
        <v>2021</v>
      </c>
      <c r="Q15" s="3"/>
    </row>
    <row r="16" spans="1:17" x14ac:dyDescent="0.25">
      <c r="A16" s="3" t="s">
        <v>20</v>
      </c>
      <c r="B16" s="3" t="s">
        <v>84</v>
      </c>
      <c r="C16" s="3" t="s">
        <v>94</v>
      </c>
      <c r="D16" s="3" t="s">
        <v>93</v>
      </c>
      <c r="E16" s="3" t="str">
        <f>'CUOTA ARTESANAL'!C14</f>
        <v>CHAFIC I</v>
      </c>
      <c r="F16" s="3" t="s">
        <v>87</v>
      </c>
      <c r="G16" s="3" t="s">
        <v>90</v>
      </c>
      <c r="H16" s="2">
        <f>'CUOTA ARTESANAL'!L14</f>
        <v>116.97</v>
      </c>
      <c r="I16" s="2">
        <f>'CUOTA ARTESANAL'!M14</f>
        <v>-5</v>
      </c>
      <c r="J16" s="2">
        <f>'CUOTA ARTESANAL'!N14</f>
        <v>111.97</v>
      </c>
      <c r="K16" s="2">
        <f>'CUOTA ARTESANAL'!O14</f>
        <v>103.53899999999999</v>
      </c>
      <c r="L16" s="2">
        <f>'CUOTA ARTESANAL'!P14</f>
        <v>8.4310000000000116</v>
      </c>
      <c r="M16" s="33">
        <f>'CUOTA ARTESANAL'!Q14</f>
        <v>0.92470304545860493</v>
      </c>
      <c r="N16" s="10" t="s">
        <v>91</v>
      </c>
      <c r="O16" s="10">
        <f>'RESUMEN '!$B$3</f>
        <v>44561</v>
      </c>
      <c r="P16" s="39">
        <v>2021</v>
      </c>
      <c r="Q16" s="3"/>
    </row>
    <row r="17" spans="1:17" x14ac:dyDescent="0.25">
      <c r="A17" s="3" t="s">
        <v>20</v>
      </c>
      <c r="B17" s="3" t="s">
        <v>84</v>
      </c>
      <c r="C17" s="3" t="s">
        <v>94</v>
      </c>
      <c r="D17" s="3" t="s">
        <v>93</v>
      </c>
      <c r="E17" s="3" t="str">
        <f>'CUOTA ARTESANAL'!C16</f>
        <v>ISLA TABON</v>
      </c>
      <c r="F17" s="3" t="s">
        <v>87</v>
      </c>
      <c r="G17" s="3" t="s">
        <v>88</v>
      </c>
      <c r="H17" s="2">
        <f>'CUOTA ARTESANAL'!E16</f>
        <v>99.396000000000001</v>
      </c>
      <c r="I17" s="2">
        <f>'CUOTA ARTESANAL'!F16</f>
        <v>-5</v>
      </c>
      <c r="J17" s="2">
        <f>'CUOTA ARTESANAL'!G16</f>
        <v>94.396000000000001</v>
      </c>
      <c r="K17" s="2">
        <f>'CUOTA ARTESANAL'!H16</f>
        <v>20.603999999999999</v>
      </c>
      <c r="L17" s="2">
        <f>'CUOTA ARTESANAL'!I16</f>
        <v>73.792000000000002</v>
      </c>
      <c r="M17" s="33">
        <f>'CUOTA ARTESANAL'!J16</f>
        <v>0.21827196067629984</v>
      </c>
      <c r="N17" s="10" t="str">
        <f>'CUOTA ARTESANAL'!K16</f>
        <v>-</v>
      </c>
      <c r="O17" s="10">
        <f>'RESUMEN '!$B$3</f>
        <v>44561</v>
      </c>
      <c r="P17" s="39">
        <v>2021</v>
      </c>
      <c r="Q17" s="3"/>
    </row>
    <row r="18" spans="1:17" x14ac:dyDescent="0.25">
      <c r="A18" s="3" t="s">
        <v>20</v>
      </c>
      <c r="B18" s="3" t="s">
        <v>84</v>
      </c>
      <c r="C18" s="3" t="s">
        <v>94</v>
      </c>
      <c r="D18" s="3" t="s">
        <v>93</v>
      </c>
      <c r="E18" s="3" t="str">
        <f>'CUOTA ARTESANAL'!C16</f>
        <v>ISLA TABON</v>
      </c>
      <c r="F18" s="3" t="s">
        <v>89</v>
      </c>
      <c r="G18" s="3" t="s">
        <v>90</v>
      </c>
      <c r="H18" s="2">
        <f>'CUOTA ARTESANAL'!E17</f>
        <v>10.89</v>
      </c>
      <c r="I18" s="2">
        <f>'CUOTA ARTESANAL'!F17</f>
        <v>-5</v>
      </c>
      <c r="J18" s="2">
        <f>'CUOTA ARTESANAL'!G17</f>
        <v>79.682000000000002</v>
      </c>
      <c r="K18" s="2">
        <f>'CUOTA ARTESANAL'!H17</f>
        <v>0</v>
      </c>
      <c r="L18" s="2">
        <f>'CUOTA ARTESANAL'!I17</f>
        <v>79.682000000000002</v>
      </c>
      <c r="M18" s="33">
        <f>'CUOTA ARTESANAL'!J17</f>
        <v>0</v>
      </c>
      <c r="N18" s="10" t="str">
        <f>'CUOTA ARTESANAL'!K17</f>
        <v>-</v>
      </c>
      <c r="O18" s="10">
        <f>'RESUMEN '!$B$3</f>
        <v>44561</v>
      </c>
      <c r="P18" s="39">
        <v>2021</v>
      </c>
      <c r="Q18" s="3"/>
    </row>
    <row r="19" spans="1:17" x14ac:dyDescent="0.25">
      <c r="A19" s="3" t="s">
        <v>20</v>
      </c>
      <c r="B19" s="3" t="s">
        <v>84</v>
      </c>
      <c r="C19" s="3" t="s">
        <v>94</v>
      </c>
      <c r="D19" s="3" t="s">
        <v>93</v>
      </c>
      <c r="E19" s="3" t="str">
        <f>'CUOTA ARTESANAL'!C16</f>
        <v>ISLA TABON</v>
      </c>
      <c r="F19" s="3" t="s">
        <v>87</v>
      </c>
      <c r="G19" s="3" t="s">
        <v>90</v>
      </c>
      <c r="H19" s="2">
        <f>'CUOTA ARTESANAL'!L16</f>
        <v>110.286</v>
      </c>
      <c r="I19" s="2">
        <f>'CUOTA ARTESANAL'!M16</f>
        <v>-10</v>
      </c>
      <c r="J19" s="2">
        <f>'CUOTA ARTESANAL'!N16</f>
        <v>100.286</v>
      </c>
      <c r="K19" s="2">
        <f>'CUOTA ARTESANAL'!O16</f>
        <v>20.603999999999999</v>
      </c>
      <c r="L19" s="2">
        <f>'CUOTA ARTESANAL'!P16</f>
        <v>79.682000000000002</v>
      </c>
      <c r="M19" s="33">
        <f>'CUOTA ARTESANAL'!Q16</f>
        <v>0.20545240611850107</v>
      </c>
      <c r="N19" s="10" t="s">
        <v>91</v>
      </c>
      <c r="O19" s="10">
        <f>'RESUMEN '!$B$3</f>
        <v>44561</v>
      </c>
      <c r="P19" s="39">
        <v>2021</v>
      </c>
      <c r="Q19" s="3"/>
    </row>
    <row r="20" spans="1:17" x14ac:dyDescent="0.25">
      <c r="A20" s="3" t="s">
        <v>20</v>
      </c>
      <c r="B20" s="3" t="s">
        <v>84</v>
      </c>
      <c r="C20" s="3" t="s">
        <v>94</v>
      </c>
      <c r="D20" s="3" t="s">
        <v>93</v>
      </c>
      <c r="E20" s="3" t="str">
        <f>'CUOTA ARTESANAL'!C18</f>
        <v>RESIDUAL</v>
      </c>
      <c r="F20" s="3" t="s">
        <v>87</v>
      </c>
      <c r="G20" s="3" t="s">
        <v>88</v>
      </c>
      <c r="H20" s="2">
        <f>'CUOTA ARTESANAL'!E18</f>
        <v>15.06</v>
      </c>
      <c r="I20" s="2">
        <f>'CUOTA ARTESANAL'!F18</f>
        <v>10</v>
      </c>
      <c r="J20" s="2">
        <f>'CUOTA ARTESANAL'!G18</f>
        <v>25.060000000000002</v>
      </c>
      <c r="K20" s="2">
        <f>'CUOTA ARTESANAL'!H18</f>
        <v>20.99</v>
      </c>
      <c r="L20" s="2">
        <f>'CUOTA ARTESANAL'!I18</f>
        <v>4.0700000000000038</v>
      </c>
      <c r="M20" s="33">
        <f>'CUOTA ARTESANAL'!J18</f>
        <v>0.83758978451715871</v>
      </c>
      <c r="N20" s="10">
        <f>'CUOTA ARTESANAL'!K18</f>
        <v>44383</v>
      </c>
      <c r="O20" s="10">
        <f>'RESUMEN '!$B$3</f>
        <v>44561</v>
      </c>
      <c r="P20" s="39">
        <v>2021</v>
      </c>
      <c r="Q20" s="3"/>
    </row>
    <row r="21" spans="1:17" x14ac:dyDescent="0.25">
      <c r="A21" s="3" t="s">
        <v>20</v>
      </c>
      <c r="B21" s="3" t="s">
        <v>84</v>
      </c>
      <c r="C21" s="3" t="s">
        <v>94</v>
      </c>
      <c r="D21" s="3" t="s">
        <v>93</v>
      </c>
      <c r="E21" s="3" t="str">
        <f>'CUOTA ARTESANAL'!C18</f>
        <v>RESIDUAL</v>
      </c>
      <c r="F21" s="3" t="s">
        <v>89</v>
      </c>
      <c r="G21" s="3" t="s">
        <v>90</v>
      </c>
      <c r="H21" s="2">
        <f>'CUOTA ARTESANAL'!E19</f>
        <v>1.65</v>
      </c>
      <c r="I21" s="2">
        <f>'CUOTA ARTESANAL'!F19</f>
        <v>5</v>
      </c>
      <c r="J21" s="2">
        <f>'CUOTA ARTESANAL'!G19</f>
        <v>10.720000000000004</v>
      </c>
      <c r="K21" s="2">
        <f>'CUOTA ARTESANAL'!H19</f>
        <v>7.4420000000000002</v>
      </c>
      <c r="L21" s="2">
        <f>'CUOTA ARTESANAL'!I19</f>
        <v>3.278000000000004</v>
      </c>
      <c r="M21" s="33">
        <f>'CUOTA ARTESANAL'!J19</f>
        <v>0.69421641791044753</v>
      </c>
      <c r="N21" s="10">
        <f>'CUOTA ARTESANAL'!K19</f>
        <v>44524</v>
      </c>
      <c r="O21" s="10">
        <f>'RESUMEN '!$B$3</f>
        <v>44561</v>
      </c>
      <c r="P21" s="39">
        <v>2021</v>
      </c>
      <c r="Q21" s="3"/>
    </row>
    <row r="22" spans="1:17" x14ac:dyDescent="0.25">
      <c r="A22" s="3" t="s">
        <v>20</v>
      </c>
      <c r="B22" s="3" t="s">
        <v>84</v>
      </c>
      <c r="C22" s="3" t="s">
        <v>94</v>
      </c>
      <c r="D22" s="3" t="s">
        <v>93</v>
      </c>
      <c r="E22" s="3" t="str">
        <f>'CUOTA ARTESANAL'!C18</f>
        <v>RESIDUAL</v>
      </c>
      <c r="F22" s="3" t="s">
        <v>87</v>
      </c>
      <c r="G22" s="3" t="s">
        <v>90</v>
      </c>
      <c r="H22" s="2">
        <f>'CUOTA ARTESANAL'!L18</f>
        <v>16.71</v>
      </c>
      <c r="I22" s="2">
        <f>'CUOTA ARTESANAL'!M18</f>
        <v>15</v>
      </c>
      <c r="J22" s="2">
        <f>'CUOTA ARTESANAL'!N18</f>
        <v>31.71</v>
      </c>
      <c r="K22" s="2">
        <f>'CUOTA ARTESANAL'!O18</f>
        <v>28.431999999999999</v>
      </c>
      <c r="L22" s="2">
        <f>'CUOTA ARTESANAL'!P18</f>
        <v>3.2780000000000022</v>
      </c>
      <c r="M22" s="33">
        <f>'CUOTA ARTESANAL'!Q18</f>
        <v>0.89662567013560379</v>
      </c>
      <c r="N22" s="10" t="s">
        <v>91</v>
      </c>
      <c r="O22" s="10">
        <f>'RESUMEN '!$B$3</f>
        <v>44561</v>
      </c>
      <c r="P22" s="39">
        <v>2021</v>
      </c>
      <c r="Q22" s="3"/>
    </row>
    <row r="23" spans="1:17" x14ac:dyDescent="0.25">
      <c r="A23" s="3" t="s">
        <v>20</v>
      </c>
      <c r="B23" s="3" t="s">
        <v>84</v>
      </c>
      <c r="C23" s="3" t="s">
        <v>95</v>
      </c>
      <c r="D23" s="3" t="s">
        <v>86</v>
      </c>
      <c r="E23" s="3" t="s">
        <v>86</v>
      </c>
      <c r="F23" s="3" t="s">
        <v>87</v>
      </c>
      <c r="G23" s="3" t="s">
        <v>88</v>
      </c>
      <c r="H23" s="2">
        <f>'CUOTA ARTESANAL'!E20</f>
        <v>406</v>
      </c>
      <c r="I23" s="2">
        <f>'CUOTA ARTESANAL'!F20</f>
        <v>0</v>
      </c>
      <c r="J23" s="2">
        <f>'CUOTA ARTESANAL'!G20</f>
        <v>406</v>
      </c>
      <c r="K23" s="2">
        <f>'CUOTA ARTESANAL'!H20</f>
        <v>414.97</v>
      </c>
      <c r="L23" s="2">
        <f>'CUOTA ARTESANAL'!I20</f>
        <v>-8.9700000000000273</v>
      </c>
      <c r="M23" s="33">
        <f>'CUOTA ARTESANAL'!J20</f>
        <v>1.0220935960591133</v>
      </c>
      <c r="N23" s="10">
        <f>'CUOTA ARTESANAL'!K20</f>
        <v>44284</v>
      </c>
      <c r="O23" s="10">
        <f>'RESUMEN '!$B$3</f>
        <v>44561</v>
      </c>
      <c r="P23" s="39">
        <v>2021</v>
      </c>
      <c r="Q23" s="3"/>
    </row>
    <row r="24" spans="1:17" x14ac:dyDescent="0.25">
      <c r="A24" s="3" t="s">
        <v>20</v>
      </c>
      <c r="B24" s="3" t="s">
        <v>84</v>
      </c>
      <c r="C24" s="3" t="s">
        <v>95</v>
      </c>
      <c r="D24" s="3" t="s">
        <v>86</v>
      </c>
      <c r="E24" s="3" t="s">
        <v>86</v>
      </c>
      <c r="F24" s="3" t="s">
        <v>89</v>
      </c>
      <c r="G24" s="3" t="s">
        <v>90</v>
      </c>
      <c r="H24" s="2">
        <f>'CUOTA ARTESANAL'!E21</f>
        <v>172</v>
      </c>
      <c r="I24" s="2">
        <f>'CUOTA ARTESANAL'!F21</f>
        <v>0</v>
      </c>
      <c r="J24" s="2">
        <f>'CUOTA ARTESANAL'!G21</f>
        <v>163.02999999999997</v>
      </c>
      <c r="K24" s="2">
        <f>'CUOTA ARTESANAL'!H21</f>
        <v>165.75700000000001</v>
      </c>
      <c r="L24" s="2">
        <f>'CUOTA ARTESANAL'!I21</f>
        <v>-2.7270000000000323</v>
      </c>
      <c r="M24" s="33">
        <f>'CUOTA ARTESANAL'!J21</f>
        <v>1.0167269827639087</v>
      </c>
      <c r="N24" s="10">
        <f>'CUOTA ARTESANAL'!K21</f>
        <v>44531</v>
      </c>
      <c r="O24" s="10">
        <f>'RESUMEN '!$B$3</f>
        <v>44561</v>
      </c>
      <c r="P24" s="39">
        <v>2021</v>
      </c>
      <c r="Q24" s="3"/>
    </row>
    <row r="25" spans="1:17" x14ac:dyDescent="0.25">
      <c r="A25" s="3" t="s">
        <v>20</v>
      </c>
      <c r="B25" s="3" t="s">
        <v>84</v>
      </c>
      <c r="C25" s="3" t="s">
        <v>95</v>
      </c>
      <c r="D25" s="3" t="s">
        <v>86</v>
      </c>
      <c r="E25" s="3" t="s">
        <v>86</v>
      </c>
      <c r="F25" s="3" t="s">
        <v>87</v>
      </c>
      <c r="G25" s="3" t="s">
        <v>90</v>
      </c>
      <c r="H25" s="2">
        <f>'CUOTA ARTESANAL'!L20</f>
        <v>578</v>
      </c>
      <c r="I25" s="2">
        <f>'CUOTA ARTESANAL'!M20</f>
        <v>0</v>
      </c>
      <c r="J25" s="2">
        <f>'CUOTA ARTESANAL'!N20</f>
        <v>578</v>
      </c>
      <c r="K25" s="2">
        <f>'CUOTA ARTESANAL'!O20</f>
        <v>580.72700000000009</v>
      </c>
      <c r="L25" s="2">
        <f>'CUOTA ARTESANAL'!P20</f>
        <v>-2.7270000000000891</v>
      </c>
      <c r="M25" s="33">
        <f>'CUOTA ARTESANAL'!Q20</f>
        <v>1.0047179930795849</v>
      </c>
      <c r="N25" s="10" t="s">
        <v>91</v>
      </c>
      <c r="O25" s="10">
        <f>'RESUMEN '!$B$3</f>
        <v>44561</v>
      </c>
      <c r="P25" s="39">
        <v>2021</v>
      </c>
      <c r="Q25" s="3"/>
    </row>
    <row r="26" spans="1:17" x14ac:dyDescent="0.25">
      <c r="A26" s="3" t="s">
        <v>20</v>
      </c>
      <c r="B26" s="3" t="s">
        <v>84</v>
      </c>
      <c r="C26" s="3" t="s">
        <v>96</v>
      </c>
      <c r="D26" s="3" t="s">
        <v>86</v>
      </c>
      <c r="E26" s="3" t="s">
        <v>86</v>
      </c>
      <c r="F26" s="3" t="s">
        <v>87</v>
      </c>
      <c r="G26" s="3" t="s">
        <v>88</v>
      </c>
      <c r="H26" s="2">
        <f>'CUOTA ARTESANAL'!E22</f>
        <v>2</v>
      </c>
      <c r="I26" s="2">
        <f>'CUOTA ARTESANAL'!F22</f>
        <v>0</v>
      </c>
      <c r="J26" s="2">
        <f>'CUOTA ARTESANAL'!G22</f>
        <v>2</v>
      </c>
      <c r="K26" s="2">
        <f>'CUOTA ARTESANAL'!H22</f>
        <v>0</v>
      </c>
      <c r="L26" s="2">
        <f>'CUOTA ARTESANAL'!I22</f>
        <v>2</v>
      </c>
      <c r="M26" s="33">
        <f>'CUOTA ARTESANAL'!J22</f>
        <v>0</v>
      </c>
      <c r="N26" s="10" t="str">
        <f>'CUOTA ARTESANAL'!K22</f>
        <v>-</v>
      </c>
      <c r="O26" s="10">
        <f>'RESUMEN '!$B$3</f>
        <v>44561</v>
      </c>
      <c r="P26" s="39">
        <v>2021</v>
      </c>
      <c r="Q26" s="3"/>
    </row>
    <row r="27" spans="1:17" x14ac:dyDescent="0.25">
      <c r="A27" s="3" t="s">
        <v>20</v>
      </c>
      <c r="B27" s="3" t="s">
        <v>84</v>
      </c>
      <c r="C27" s="3" t="s">
        <v>96</v>
      </c>
      <c r="D27" s="3" t="s">
        <v>86</v>
      </c>
      <c r="E27" s="3" t="s">
        <v>86</v>
      </c>
      <c r="F27" s="3" t="s">
        <v>89</v>
      </c>
      <c r="G27" s="3" t="s">
        <v>90</v>
      </c>
      <c r="H27" s="2">
        <f>'CUOTA ARTESANAL'!E23</f>
        <v>1</v>
      </c>
      <c r="I27" s="2">
        <f>'CUOTA ARTESANAL'!F23</f>
        <v>0</v>
      </c>
      <c r="J27" s="2">
        <f>'CUOTA ARTESANAL'!G23</f>
        <v>3</v>
      </c>
      <c r="K27" s="2">
        <f>'CUOTA ARTESANAL'!H23</f>
        <v>0</v>
      </c>
      <c r="L27" s="2">
        <f>'CUOTA ARTESANAL'!I23</f>
        <v>3</v>
      </c>
      <c r="M27" s="33">
        <f>'CUOTA ARTESANAL'!J23</f>
        <v>0</v>
      </c>
      <c r="N27" s="10" t="str">
        <f>'CUOTA ARTESANAL'!K23</f>
        <v>-</v>
      </c>
      <c r="O27" s="10">
        <f>'RESUMEN '!$B$3</f>
        <v>44561</v>
      </c>
      <c r="P27" s="39">
        <v>2021</v>
      </c>
      <c r="Q27" s="3"/>
    </row>
    <row r="28" spans="1:17" x14ac:dyDescent="0.25">
      <c r="A28" s="3" t="s">
        <v>20</v>
      </c>
      <c r="B28" s="3" t="s">
        <v>84</v>
      </c>
      <c r="C28" s="3" t="s">
        <v>96</v>
      </c>
      <c r="D28" s="3" t="s">
        <v>86</v>
      </c>
      <c r="E28" s="3" t="s">
        <v>86</v>
      </c>
      <c r="F28" s="3" t="s">
        <v>87</v>
      </c>
      <c r="G28" s="3" t="s">
        <v>90</v>
      </c>
      <c r="H28" s="2">
        <f>'CUOTA ARTESANAL'!L22</f>
        <v>3</v>
      </c>
      <c r="I28" s="2">
        <f>'CUOTA ARTESANAL'!M22</f>
        <v>0</v>
      </c>
      <c r="J28" s="2">
        <f>'CUOTA ARTESANAL'!N22</f>
        <v>3</v>
      </c>
      <c r="K28" s="2">
        <f>'CUOTA ARTESANAL'!O22</f>
        <v>0</v>
      </c>
      <c r="L28" s="2">
        <f>'CUOTA ARTESANAL'!P22</f>
        <v>3</v>
      </c>
      <c r="M28" s="33">
        <f>'CUOTA ARTESANAL'!Q22</f>
        <v>0</v>
      </c>
      <c r="N28" s="10" t="s">
        <v>91</v>
      </c>
      <c r="O28" s="10">
        <f>'RESUMEN '!$B$3</f>
        <v>44561</v>
      </c>
      <c r="P28" s="39">
        <v>2021</v>
      </c>
      <c r="Q28" s="3"/>
    </row>
    <row r="29" spans="1:17" x14ac:dyDescent="0.25">
      <c r="A29" s="3" t="s">
        <v>20</v>
      </c>
      <c r="B29" s="3" t="s">
        <v>84</v>
      </c>
      <c r="C29" s="3" t="s">
        <v>97</v>
      </c>
      <c r="D29" s="3" t="s">
        <v>86</v>
      </c>
      <c r="E29" s="3" t="s">
        <v>86</v>
      </c>
      <c r="F29" s="3" t="s">
        <v>87</v>
      </c>
      <c r="G29" s="3" t="s">
        <v>88</v>
      </c>
      <c r="H29" s="2">
        <f>'CUOTA ARTESANAL'!E24</f>
        <v>2</v>
      </c>
      <c r="I29" s="2">
        <f>'CUOTA ARTESANAL'!F24</f>
        <v>0</v>
      </c>
      <c r="J29" s="2">
        <f>'CUOTA ARTESANAL'!G24</f>
        <v>2</v>
      </c>
      <c r="K29" s="2">
        <f>'CUOTA ARTESANAL'!H24</f>
        <v>0</v>
      </c>
      <c r="L29" s="2">
        <f>'CUOTA ARTESANAL'!I24</f>
        <v>2</v>
      </c>
      <c r="M29" s="33">
        <f>'CUOTA ARTESANAL'!J24</f>
        <v>0</v>
      </c>
      <c r="N29" s="10" t="str">
        <f>'CUOTA ARTESANAL'!K24</f>
        <v>-</v>
      </c>
      <c r="O29" s="10">
        <f>'RESUMEN '!$B$3</f>
        <v>44561</v>
      </c>
      <c r="P29" s="39">
        <v>2021</v>
      </c>
      <c r="Q29" s="3"/>
    </row>
    <row r="30" spans="1:17" x14ac:dyDescent="0.25">
      <c r="A30" s="3" t="s">
        <v>20</v>
      </c>
      <c r="B30" s="3" t="s">
        <v>84</v>
      </c>
      <c r="C30" s="3" t="s">
        <v>97</v>
      </c>
      <c r="D30" s="3" t="s">
        <v>86</v>
      </c>
      <c r="E30" s="3" t="s">
        <v>86</v>
      </c>
      <c r="F30" s="3" t="s">
        <v>89</v>
      </c>
      <c r="G30" s="3" t="s">
        <v>90</v>
      </c>
      <c r="H30" s="2">
        <f>'CUOTA ARTESANAL'!E25</f>
        <v>1</v>
      </c>
      <c r="I30" s="2">
        <f>'CUOTA ARTESANAL'!F25</f>
        <v>0</v>
      </c>
      <c r="J30" s="2">
        <f>'CUOTA ARTESANAL'!G25</f>
        <v>3</v>
      </c>
      <c r="K30" s="2">
        <f>'CUOTA ARTESANAL'!H25</f>
        <v>0</v>
      </c>
      <c r="L30" s="2">
        <f>'CUOTA ARTESANAL'!I25</f>
        <v>3</v>
      </c>
      <c r="M30" s="33">
        <f>'CUOTA ARTESANAL'!J25</f>
        <v>0</v>
      </c>
      <c r="N30" s="10" t="str">
        <f>'CUOTA ARTESANAL'!K25</f>
        <v>-</v>
      </c>
      <c r="O30" s="10">
        <f>'RESUMEN '!$B$3</f>
        <v>44561</v>
      </c>
      <c r="P30" s="39">
        <v>2021</v>
      </c>
      <c r="Q30" s="3"/>
    </row>
    <row r="31" spans="1:17" x14ac:dyDescent="0.25">
      <c r="A31" s="3" t="s">
        <v>20</v>
      </c>
      <c r="B31" s="3" t="s">
        <v>84</v>
      </c>
      <c r="C31" s="3" t="s">
        <v>97</v>
      </c>
      <c r="D31" s="3" t="s">
        <v>86</v>
      </c>
      <c r="E31" s="3" t="s">
        <v>86</v>
      </c>
      <c r="F31" s="3" t="s">
        <v>87</v>
      </c>
      <c r="G31" s="3" t="s">
        <v>90</v>
      </c>
      <c r="H31" s="2">
        <f>'CUOTA ARTESANAL'!L24</f>
        <v>3</v>
      </c>
      <c r="I31" s="2">
        <f>'CUOTA ARTESANAL'!M24</f>
        <v>0</v>
      </c>
      <c r="J31" s="2">
        <f>'CUOTA ARTESANAL'!N24</f>
        <v>3</v>
      </c>
      <c r="K31" s="2">
        <f>'CUOTA ARTESANAL'!O24</f>
        <v>0</v>
      </c>
      <c r="L31" s="2">
        <f>'CUOTA ARTESANAL'!P24</f>
        <v>3</v>
      </c>
      <c r="M31" s="33">
        <f>'CUOTA ARTESANAL'!Q24</f>
        <v>0</v>
      </c>
      <c r="N31" s="10" t="s">
        <v>91</v>
      </c>
      <c r="O31" s="10">
        <f>'RESUMEN '!$B$3</f>
        <v>44561</v>
      </c>
      <c r="P31" s="39">
        <v>2021</v>
      </c>
      <c r="Q31" s="3"/>
    </row>
    <row r="32" spans="1:17" x14ac:dyDescent="0.25">
      <c r="A32" s="3" t="s">
        <v>20</v>
      </c>
      <c r="B32" s="3" t="s">
        <v>84</v>
      </c>
      <c r="C32" s="3" t="s">
        <v>98</v>
      </c>
      <c r="D32" s="3" t="s">
        <v>86</v>
      </c>
      <c r="E32" s="3" t="s">
        <v>86</v>
      </c>
      <c r="F32" s="3" t="s">
        <v>87</v>
      </c>
      <c r="G32" s="3" t="s">
        <v>88</v>
      </c>
      <c r="H32" s="2">
        <f>'CUOTA ARTESANAL'!E26</f>
        <v>2</v>
      </c>
      <c r="I32" s="2">
        <f>'CUOTA ARTESANAL'!F26</f>
        <v>0</v>
      </c>
      <c r="J32" s="2">
        <f>'CUOTA ARTESANAL'!G26</f>
        <v>2</v>
      </c>
      <c r="K32" s="2">
        <f>'CUOTA ARTESANAL'!H26</f>
        <v>0</v>
      </c>
      <c r="L32" s="2">
        <f>'CUOTA ARTESANAL'!I26</f>
        <v>2</v>
      </c>
      <c r="M32" s="33">
        <f>'CUOTA ARTESANAL'!J26</f>
        <v>0</v>
      </c>
      <c r="N32" s="10" t="str">
        <f>'CUOTA ARTESANAL'!K26</f>
        <v>-</v>
      </c>
      <c r="O32" s="10">
        <f>'RESUMEN '!$B$3</f>
        <v>44561</v>
      </c>
      <c r="P32" s="39">
        <v>2021</v>
      </c>
      <c r="Q32" s="3"/>
    </row>
    <row r="33" spans="1:17" x14ac:dyDescent="0.25">
      <c r="A33" s="3" t="s">
        <v>20</v>
      </c>
      <c r="B33" s="3" t="s">
        <v>84</v>
      </c>
      <c r="C33" s="3" t="s">
        <v>98</v>
      </c>
      <c r="D33" s="3" t="s">
        <v>86</v>
      </c>
      <c r="E33" s="3" t="s">
        <v>86</v>
      </c>
      <c r="F33" s="3" t="s">
        <v>89</v>
      </c>
      <c r="G33" s="3" t="s">
        <v>90</v>
      </c>
      <c r="H33" s="2">
        <f>'CUOTA ARTESANAL'!E27</f>
        <v>1</v>
      </c>
      <c r="I33" s="2">
        <f>'CUOTA ARTESANAL'!F27</f>
        <v>0</v>
      </c>
      <c r="J33" s="2">
        <f>'CUOTA ARTESANAL'!G27</f>
        <v>3</v>
      </c>
      <c r="K33" s="2">
        <f>'CUOTA ARTESANAL'!H27</f>
        <v>0</v>
      </c>
      <c r="L33" s="2">
        <f>'CUOTA ARTESANAL'!I27</f>
        <v>3</v>
      </c>
      <c r="M33" s="33">
        <f>'CUOTA ARTESANAL'!J27</f>
        <v>0</v>
      </c>
      <c r="N33" s="10" t="str">
        <f>'CUOTA ARTESANAL'!K27</f>
        <v>-</v>
      </c>
      <c r="O33" s="10">
        <f>'RESUMEN '!$B$3</f>
        <v>44561</v>
      </c>
      <c r="P33" s="39">
        <v>2021</v>
      </c>
      <c r="Q33" s="3"/>
    </row>
    <row r="34" spans="1:17" x14ac:dyDescent="0.25">
      <c r="A34" s="3" t="s">
        <v>20</v>
      </c>
      <c r="B34" s="3" t="s">
        <v>84</v>
      </c>
      <c r="C34" s="3" t="s">
        <v>98</v>
      </c>
      <c r="D34" s="3" t="s">
        <v>86</v>
      </c>
      <c r="E34" s="3" t="s">
        <v>86</v>
      </c>
      <c r="F34" s="3" t="s">
        <v>87</v>
      </c>
      <c r="G34" s="3" t="s">
        <v>90</v>
      </c>
      <c r="H34" s="2">
        <f>'CUOTA ARTESANAL'!L26</f>
        <v>3</v>
      </c>
      <c r="I34" s="2">
        <f>'CUOTA ARTESANAL'!M26</f>
        <v>0</v>
      </c>
      <c r="J34" s="2">
        <f>'CUOTA ARTESANAL'!N26</f>
        <v>3</v>
      </c>
      <c r="K34" s="2">
        <f>'CUOTA ARTESANAL'!O26</f>
        <v>0</v>
      </c>
      <c r="L34" s="2">
        <f>'CUOTA ARTESANAL'!P26</f>
        <v>3</v>
      </c>
      <c r="M34" s="33">
        <f>'CUOTA ARTESANAL'!Q26</f>
        <v>0</v>
      </c>
      <c r="N34" s="10" t="s">
        <v>91</v>
      </c>
      <c r="O34" s="10">
        <f>'RESUMEN '!$B$3</f>
        <v>44561</v>
      </c>
      <c r="P34" s="39">
        <v>2021</v>
      </c>
      <c r="Q34" s="3"/>
    </row>
    <row r="35" spans="1:17" x14ac:dyDescent="0.25">
      <c r="A35" s="16" t="s">
        <v>20</v>
      </c>
      <c r="B35" s="16" t="s">
        <v>84</v>
      </c>
      <c r="C35" s="16" t="s">
        <v>101</v>
      </c>
      <c r="D35" s="16" t="s">
        <v>104</v>
      </c>
      <c r="E35" s="16" t="s">
        <v>105</v>
      </c>
      <c r="F35" s="16" t="s">
        <v>87</v>
      </c>
      <c r="G35" s="16" t="s">
        <v>90</v>
      </c>
      <c r="H35" s="17">
        <f>'CUOTA ARTESANAL'!E29</f>
        <v>1175</v>
      </c>
      <c r="I35" s="17">
        <f>'CUOTA ARTESANAL'!F29</f>
        <v>106.84700000000001</v>
      </c>
      <c r="J35" s="17">
        <f>'CUOTA ARTESANAL'!G29</f>
        <v>1281.847</v>
      </c>
      <c r="K35" s="17">
        <f>'CUOTA ARTESANAL'!H29</f>
        <v>1113.924</v>
      </c>
      <c r="L35" s="17">
        <f>'CUOTA ARTESANAL'!I29</f>
        <v>167.923</v>
      </c>
      <c r="M35" s="34">
        <f>'CUOTA ARTESANAL'!J29</f>
        <v>0.86899918633034989</v>
      </c>
      <c r="N35" s="18" t="s">
        <v>91</v>
      </c>
      <c r="O35" s="18">
        <f>'RESUMEN '!$B$3</f>
        <v>44561</v>
      </c>
      <c r="P35" s="39">
        <v>2021</v>
      </c>
      <c r="Q35" s="14"/>
    </row>
    <row r="36" spans="1:17" x14ac:dyDescent="0.25">
      <c r="A36" s="3" t="s">
        <v>20</v>
      </c>
      <c r="B36" s="3" t="s">
        <v>84</v>
      </c>
      <c r="C36" s="3" t="s">
        <v>99</v>
      </c>
      <c r="D36" s="3" t="s">
        <v>100</v>
      </c>
      <c r="E36" s="3" t="str">
        <f>'CUOTA LTP'!C6</f>
        <v>ANTARTIC SEAFOOD S.A.</v>
      </c>
      <c r="F36" s="3" t="s">
        <v>87</v>
      </c>
      <c r="G36" s="3" t="s">
        <v>88</v>
      </c>
      <c r="H36" s="2">
        <f>'CUOTA LTP'!E6</f>
        <v>1.4798899999999999</v>
      </c>
      <c r="I36" s="2">
        <f>'CUOTA LTP'!F6</f>
        <v>0</v>
      </c>
      <c r="J36" s="2">
        <f>'CUOTA LTP'!G6</f>
        <v>1.4798899999999999</v>
      </c>
      <c r="K36" s="2">
        <f>'CUOTA LTP'!H6</f>
        <v>0</v>
      </c>
      <c r="L36" s="2">
        <f>'CUOTA LTP'!I6</f>
        <v>1.4798899999999999</v>
      </c>
      <c r="M36" s="33">
        <f>'CUOTA LTP'!J6</f>
        <v>0</v>
      </c>
      <c r="N36" s="10" t="s">
        <v>91</v>
      </c>
      <c r="O36" s="10">
        <f>'RESUMEN '!$B$3</f>
        <v>44561</v>
      </c>
      <c r="P36" s="39">
        <v>2021</v>
      </c>
      <c r="Q36" s="3"/>
    </row>
    <row r="37" spans="1:17" x14ac:dyDescent="0.25">
      <c r="A37" s="3" t="s">
        <v>20</v>
      </c>
      <c r="B37" s="3" t="s">
        <v>84</v>
      </c>
      <c r="C37" s="3" t="s">
        <v>99</v>
      </c>
      <c r="D37" s="3" t="s">
        <v>100</v>
      </c>
      <c r="E37" s="3" t="str">
        <f>'CUOTA LTP'!C6</f>
        <v>ANTARTIC SEAFOOD S.A.</v>
      </c>
      <c r="F37" s="3" t="s">
        <v>89</v>
      </c>
      <c r="G37" s="3" t="s">
        <v>90</v>
      </c>
      <c r="H37" s="2">
        <f>'CUOTA LTP'!E7</f>
        <v>0.16442999999999999</v>
      </c>
      <c r="I37" s="2">
        <f>'CUOTA LTP'!F7</f>
        <v>0</v>
      </c>
      <c r="J37" s="2">
        <f>'CUOTA LTP'!G7</f>
        <v>1.64432</v>
      </c>
      <c r="K37" s="2">
        <f>'CUOTA LTP'!H7</f>
        <v>0</v>
      </c>
      <c r="L37" s="2">
        <f>'CUOTA LTP'!I7</f>
        <v>1.64432</v>
      </c>
      <c r="M37" s="33">
        <f>'CUOTA LTP'!J7</f>
        <v>0</v>
      </c>
      <c r="N37" s="10" t="s">
        <v>91</v>
      </c>
      <c r="O37" s="10">
        <f>'RESUMEN '!$B$3</f>
        <v>44561</v>
      </c>
      <c r="P37" s="39">
        <v>2021</v>
      </c>
      <c r="Q37" s="3"/>
    </row>
    <row r="38" spans="1:17" x14ac:dyDescent="0.25">
      <c r="A38" s="3" t="s">
        <v>20</v>
      </c>
      <c r="B38" s="3" t="s">
        <v>84</v>
      </c>
      <c r="C38" s="3" t="s">
        <v>99</v>
      </c>
      <c r="D38" s="3" t="s">
        <v>100</v>
      </c>
      <c r="E38" s="3" t="str">
        <f>'CUOTA LTP'!C6</f>
        <v>ANTARTIC SEAFOOD S.A.</v>
      </c>
      <c r="F38" s="3" t="s">
        <v>87</v>
      </c>
      <c r="G38" s="3" t="s">
        <v>90</v>
      </c>
      <c r="H38" s="2">
        <f>'CUOTA LTP'!K6</f>
        <v>1.64432</v>
      </c>
      <c r="I38" s="2">
        <f>'CUOTA LTP'!L6</f>
        <v>0</v>
      </c>
      <c r="J38" s="2">
        <f>'CUOTA LTP'!M6</f>
        <v>1.64432</v>
      </c>
      <c r="K38" s="2">
        <f>'CUOTA LTP'!N6</f>
        <v>0</v>
      </c>
      <c r="L38" s="2">
        <f>'CUOTA LTP'!O6</f>
        <v>1.64432</v>
      </c>
      <c r="M38" s="33">
        <f>'CUOTA LTP'!P6</f>
        <v>0</v>
      </c>
      <c r="N38" s="10" t="s">
        <v>91</v>
      </c>
      <c r="O38" s="10">
        <f>'RESUMEN '!$B$3</f>
        <v>44561</v>
      </c>
      <c r="P38" s="39">
        <v>2021</v>
      </c>
      <c r="Q38" s="3"/>
    </row>
    <row r="39" spans="1:17" x14ac:dyDescent="0.25">
      <c r="A39" s="3" t="s">
        <v>20</v>
      </c>
      <c r="B39" s="3" t="s">
        <v>84</v>
      </c>
      <c r="C39" s="3" t="s">
        <v>99</v>
      </c>
      <c r="D39" s="3" t="s">
        <v>100</v>
      </c>
      <c r="E39" s="3" t="str">
        <f>'CUOTA LTP'!C8</f>
        <v>QUINTERO S.A. PESQ.</v>
      </c>
      <c r="F39" s="3" t="s">
        <v>87</v>
      </c>
      <c r="G39" s="3" t="s">
        <v>88</v>
      </c>
      <c r="H39" s="2">
        <f>'CUOTA LTP'!E8</f>
        <v>2.7724200000000003</v>
      </c>
      <c r="I39" s="2">
        <f>'CUOTA LTP'!F8</f>
        <v>-0.17740300000000001</v>
      </c>
      <c r="J39" s="2">
        <f>'CUOTA LTP'!G8</f>
        <v>2.5950170000000004</v>
      </c>
      <c r="K39" s="2">
        <f>'CUOTA LTP'!H8</f>
        <v>0</v>
      </c>
      <c r="L39" s="2">
        <f>'CUOTA LTP'!I8</f>
        <v>2.5950170000000004</v>
      </c>
      <c r="M39" s="33">
        <f>'CUOTA LTP'!J8</f>
        <v>0</v>
      </c>
      <c r="N39" s="10" t="s">
        <v>91</v>
      </c>
      <c r="O39" s="10">
        <f>'RESUMEN '!$B$3</f>
        <v>44561</v>
      </c>
      <c r="P39" s="39">
        <v>2021</v>
      </c>
      <c r="Q39" s="3"/>
    </row>
    <row r="40" spans="1:17" x14ac:dyDescent="0.25">
      <c r="A40" s="3" t="s">
        <v>20</v>
      </c>
      <c r="B40" s="3" t="s">
        <v>84</v>
      </c>
      <c r="C40" s="3" t="s">
        <v>99</v>
      </c>
      <c r="D40" s="3" t="s">
        <v>100</v>
      </c>
      <c r="E40" s="3" t="str">
        <f>'CUOTA LTP'!C8</f>
        <v>QUINTERO S.A. PESQ.</v>
      </c>
      <c r="F40" s="3" t="s">
        <v>89</v>
      </c>
      <c r="G40" s="3" t="s">
        <v>90</v>
      </c>
      <c r="H40" s="2">
        <f>'CUOTA LTP'!E9</f>
        <v>0.30805000000000005</v>
      </c>
      <c r="I40" s="2">
        <f>'CUOTA LTP'!F9</f>
        <v>0</v>
      </c>
      <c r="J40" s="2">
        <f>'CUOTA LTP'!G9</f>
        <v>2.9030670000000005</v>
      </c>
      <c r="K40" s="2">
        <f>'CUOTA LTP'!H9</f>
        <v>0</v>
      </c>
      <c r="L40" s="2">
        <f>'CUOTA LTP'!I9</f>
        <v>2.9030670000000005</v>
      </c>
      <c r="M40" s="33">
        <f>'CUOTA LTP'!J9</f>
        <v>0</v>
      </c>
      <c r="N40" s="10" t="s">
        <v>91</v>
      </c>
      <c r="O40" s="10">
        <f>'RESUMEN '!$B$3</f>
        <v>44561</v>
      </c>
      <c r="P40" s="39">
        <v>2021</v>
      </c>
      <c r="Q40" s="3"/>
    </row>
    <row r="41" spans="1:17" x14ac:dyDescent="0.25">
      <c r="A41" s="3" t="s">
        <v>20</v>
      </c>
      <c r="B41" s="3" t="s">
        <v>84</v>
      </c>
      <c r="C41" s="3" t="s">
        <v>99</v>
      </c>
      <c r="D41" s="3" t="s">
        <v>100</v>
      </c>
      <c r="E41" s="3" t="str">
        <f>'CUOTA LTP'!C8</f>
        <v>QUINTERO S.A. PESQ.</v>
      </c>
      <c r="F41" s="3" t="s">
        <v>87</v>
      </c>
      <c r="G41" s="3" t="s">
        <v>90</v>
      </c>
      <c r="H41" s="2">
        <f>'CUOTA LTP'!K8</f>
        <v>3.0804700000000005</v>
      </c>
      <c r="I41" s="2">
        <f>'CUOTA LTP'!L8</f>
        <v>-0.17740300000000001</v>
      </c>
      <c r="J41" s="2">
        <f>'CUOTA LTP'!M8</f>
        <v>2.9030670000000005</v>
      </c>
      <c r="K41" s="2">
        <f>'CUOTA LTP'!N8</f>
        <v>0</v>
      </c>
      <c r="L41" s="2">
        <f>'CUOTA LTP'!O8</f>
        <v>2.9030670000000005</v>
      </c>
      <c r="M41" s="33">
        <f>'CUOTA LTP'!P8</f>
        <v>0</v>
      </c>
      <c r="N41" s="10" t="s">
        <v>91</v>
      </c>
      <c r="O41" s="10">
        <f>'RESUMEN '!$B$3</f>
        <v>44561</v>
      </c>
      <c r="P41" s="39">
        <v>2021</v>
      </c>
      <c r="Q41" s="3"/>
    </row>
    <row r="42" spans="1:17" x14ac:dyDescent="0.25">
      <c r="A42" s="3" t="s">
        <v>20</v>
      </c>
      <c r="B42" s="3" t="s">
        <v>84</v>
      </c>
      <c r="C42" s="3" t="s">
        <v>99</v>
      </c>
      <c r="D42" s="3" t="s">
        <v>100</v>
      </c>
      <c r="E42" s="3" t="str">
        <f>'CUOTA LTP'!C10</f>
        <v>BAYCIC BAYCIC MARIA</v>
      </c>
      <c r="F42" s="3" t="s">
        <v>87</v>
      </c>
      <c r="G42" s="3" t="s">
        <v>88</v>
      </c>
      <c r="H42" s="2">
        <f>'CUOTA LTP'!E10</f>
        <v>2.7E-4</v>
      </c>
      <c r="I42" s="2">
        <f>'CUOTA LTP'!F10</f>
        <v>0</v>
      </c>
      <c r="J42" s="2">
        <f>'CUOTA LTP'!G10</f>
        <v>2.7E-4</v>
      </c>
      <c r="K42" s="2">
        <f>'CUOTA LTP'!H10</f>
        <v>0</v>
      </c>
      <c r="L42" s="2">
        <f>'CUOTA LTP'!I10</f>
        <v>2.7E-4</v>
      </c>
      <c r="M42" s="33">
        <f>'CUOTA LTP'!J10</f>
        <v>0</v>
      </c>
      <c r="N42" s="10" t="s">
        <v>91</v>
      </c>
      <c r="O42" s="10">
        <f>'RESUMEN '!$B$3</f>
        <v>44561</v>
      </c>
      <c r="P42" s="39">
        <v>2021</v>
      </c>
      <c r="Q42" s="3"/>
    </row>
    <row r="43" spans="1:17" x14ac:dyDescent="0.25">
      <c r="A43" s="3" t="s">
        <v>20</v>
      </c>
      <c r="B43" s="3" t="s">
        <v>84</v>
      </c>
      <c r="C43" s="3" t="s">
        <v>99</v>
      </c>
      <c r="D43" s="3" t="s">
        <v>100</v>
      </c>
      <c r="E43" s="3" t="str">
        <f>'CUOTA LTP'!C10</f>
        <v>BAYCIC BAYCIC MARIA</v>
      </c>
      <c r="F43" s="3" t="s">
        <v>89</v>
      </c>
      <c r="G43" s="3" t="s">
        <v>90</v>
      </c>
      <c r="H43" s="2">
        <f>'CUOTA LTP'!E11</f>
        <v>3.0000000000000001E-5</v>
      </c>
      <c r="I43" s="2">
        <f>'CUOTA LTP'!F11</f>
        <v>0</v>
      </c>
      <c r="J43" s="2">
        <f>'CUOTA LTP'!G11</f>
        <v>3.0000000000000003E-4</v>
      </c>
      <c r="K43" s="2">
        <f>'CUOTA LTP'!H11</f>
        <v>0</v>
      </c>
      <c r="L43" s="2">
        <f>'CUOTA LTP'!I11</f>
        <v>3.0000000000000003E-4</v>
      </c>
      <c r="M43" s="33">
        <f>'CUOTA LTP'!J11</f>
        <v>0</v>
      </c>
      <c r="N43" s="10" t="s">
        <v>91</v>
      </c>
      <c r="O43" s="10">
        <f>'RESUMEN '!$B$3</f>
        <v>44561</v>
      </c>
      <c r="P43" s="39">
        <v>2021</v>
      </c>
      <c r="Q43" s="3"/>
    </row>
    <row r="44" spans="1:17" x14ac:dyDescent="0.25">
      <c r="A44" s="3" t="s">
        <v>20</v>
      </c>
      <c r="B44" s="3" t="s">
        <v>84</v>
      </c>
      <c r="C44" s="3" t="s">
        <v>99</v>
      </c>
      <c r="D44" s="3" t="s">
        <v>100</v>
      </c>
      <c r="E44" s="3" t="str">
        <f>'CUOTA LTP'!C10</f>
        <v>BAYCIC BAYCIC MARIA</v>
      </c>
      <c r="F44" s="3" t="s">
        <v>87</v>
      </c>
      <c r="G44" s="3" t="s">
        <v>90</v>
      </c>
      <c r="H44" s="2">
        <f>'CUOTA LTP'!K10</f>
        <v>3.0000000000000003E-4</v>
      </c>
      <c r="I44" s="2">
        <f>'CUOTA LTP'!L10</f>
        <v>0</v>
      </c>
      <c r="J44" s="2">
        <f>'CUOTA LTP'!M10</f>
        <v>3.0000000000000003E-4</v>
      </c>
      <c r="K44" s="2">
        <f>'CUOTA LTP'!N10</f>
        <v>0</v>
      </c>
      <c r="L44" s="2">
        <f>'CUOTA LTP'!O10</f>
        <v>3.0000000000000003E-4</v>
      </c>
      <c r="M44" s="33">
        <f>'CUOTA LTP'!P10</f>
        <v>0</v>
      </c>
      <c r="N44" s="10" t="s">
        <v>91</v>
      </c>
      <c r="O44" s="10">
        <f>'RESUMEN '!$B$3</f>
        <v>44561</v>
      </c>
      <c r="P44" s="39">
        <v>2021</v>
      </c>
      <c r="Q44" s="3"/>
    </row>
    <row r="45" spans="1:17" x14ac:dyDescent="0.25">
      <c r="A45" s="3" t="s">
        <v>20</v>
      </c>
      <c r="B45" s="3" t="s">
        <v>84</v>
      </c>
      <c r="C45" s="3" t="s">
        <v>99</v>
      </c>
      <c r="D45" s="3" t="s">
        <v>100</v>
      </c>
      <c r="E45" s="3" t="str">
        <f>'CUOTA LTP'!C12</f>
        <v>BRACPESCA S.A.</v>
      </c>
      <c r="F45" s="3" t="s">
        <v>87</v>
      </c>
      <c r="G45" s="3" t="s">
        <v>88</v>
      </c>
      <c r="H45" s="2">
        <f>'CUOTA LTP'!E12</f>
        <v>1.4544300000000001</v>
      </c>
      <c r="I45" s="2">
        <f>'CUOTA LTP'!F12</f>
        <v>0.173681</v>
      </c>
      <c r="J45" s="2">
        <f>'CUOTA LTP'!G12</f>
        <v>1.6281110000000001</v>
      </c>
      <c r="K45" s="2">
        <f>'CUOTA LTP'!H12</f>
        <v>0</v>
      </c>
      <c r="L45" s="2">
        <f>'CUOTA LTP'!I12</f>
        <v>1.6281110000000001</v>
      </c>
      <c r="M45" s="33">
        <f>'CUOTA LTP'!J12</f>
        <v>0</v>
      </c>
      <c r="N45" s="10" t="s">
        <v>91</v>
      </c>
      <c r="O45" s="10">
        <f>'RESUMEN '!$B$3</f>
        <v>44561</v>
      </c>
      <c r="P45" s="39">
        <v>2021</v>
      </c>
      <c r="Q45" s="3"/>
    </row>
    <row r="46" spans="1:17" x14ac:dyDescent="0.25">
      <c r="A46" s="3" t="s">
        <v>20</v>
      </c>
      <c r="B46" s="3" t="s">
        <v>84</v>
      </c>
      <c r="C46" s="3" t="s">
        <v>99</v>
      </c>
      <c r="D46" s="3" t="s">
        <v>100</v>
      </c>
      <c r="E46" s="3" t="str">
        <f>'CUOTA LTP'!C12</f>
        <v>BRACPESCA S.A.</v>
      </c>
      <c r="F46" s="3" t="s">
        <v>89</v>
      </c>
      <c r="G46" s="3" t="s">
        <v>90</v>
      </c>
      <c r="H46" s="2">
        <f>'CUOTA LTP'!E13</f>
        <v>0.16160000000000002</v>
      </c>
      <c r="I46" s="2">
        <f>'CUOTA LTP'!F13</f>
        <v>0</v>
      </c>
      <c r="J46" s="2">
        <f>'CUOTA LTP'!G13</f>
        <v>1.7897110000000001</v>
      </c>
      <c r="K46" s="2">
        <f>'CUOTA LTP'!H13</f>
        <v>0</v>
      </c>
      <c r="L46" s="2">
        <f>'CUOTA LTP'!I13</f>
        <v>1.7897110000000001</v>
      </c>
      <c r="M46" s="33">
        <f>'CUOTA LTP'!J13</f>
        <v>0</v>
      </c>
      <c r="N46" s="10" t="s">
        <v>91</v>
      </c>
      <c r="O46" s="10">
        <f>'RESUMEN '!$B$3</f>
        <v>44561</v>
      </c>
      <c r="P46" s="39">
        <v>2021</v>
      </c>
      <c r="Q46" s="3"/>
    </row>
    <row r="47" spans="1:17" x14ac:dyDescent="0.25">
      <c r="A47" s="3" t="s">
        <v>20</v>
      </c>
      <c r="B47" s="3" t="s">
        <v>84</v>
      </c>
      <c r="C47" s="3" t="s">
        <v>99</v>
      </c>
      <c r="D47" s="3" t="s">
        <v>100</v>
      </c>
      <c r="E47" s="3" t="str">
        <f>'CUOTA LTP'!C12</f>
        <v>BRACPESCA S.A.</v>
      </c>
      <c r="F47" s="3" t="s">
        <v>87</v>
      </c>
      <c r="G47" s="3" t="s">
        <v>90</v>
      </c>
      <c r="H47" s="2">
        <f>'CUOTA LTP'!K12</f>
        <v>1.6160300000000001</v>
      </c>
      <c r="I47" s="2">
        <f>'CUOTA LTP'!L12</f>
        <v>0.173681</v>
      </c>
      <c r="J47" s="2">
        <f>'CUOTA LTP'!M12</f>
        <v>1.7897110000000001</v>
      </c>
      <c r="K47" s="2">
        <f>'CUOTA LTP'!N12</f>
        <v>0</v>
      </c>
      <c r="L47" s="2">
        <f>'CUOTA LTP'!O12</f>
        <v>1.7897110000000001</v>
      </c>
      <c r="M47" s="33">
        <f>'CUOTA LTP'!P12</f>
        <v>0</v>
      </c>
      <c r="N47" s="10" t="s">
        <v>91</v>
      </c>
      <c r="O47" s="10">
        <f>'RESUMEN '!$B$3</f>
        <v>44561</v>
      </c>
      <c r="P47" s="39">
        <v>2021</v>
      </c>
      <c r="Q47" s="3"/>
    </row>
    <row r="48" spans="1:17" x14ac:dyDescent="0.25">
      <c r="A48" s="3" t="s">
        <v>20</v>
      </c>
      <c r="B48" s="3" t="s">
        <v>84</v>
      </c>
      <c r="C48" s="3" t="s">
        <v>99</v>
      </c>
      <c r="D48" s="3" t="s">
        <v>100</v>
      </c>
      <c r="E48" s="3" t="str">
        <f>'CUOTA LTP'!C14</f>
        <v>CAMANCHACA PESCA SUR S.A.</v>
      </c>
      <c r="F48" s="3" t="s">
        <v>87</v>
      </c>
      <c r="G48" s="3" t="s">
        <v>88</v>
      </c>
      <c r="H48" s="2">
        <f>'CUOTA LTP'!E14</f>
        <v>4.7310000000000005E-2</v>
      </c>
      <c r="I48" s="2">
        <f>'CUOTA LTP'!F14</f>
        <v>0</v>
      </c>
      <c r="J48" s="2">
        <f>'CUOTA LTP'!G14</f>
        <v>4.7310000000000005E-2</v>
      </c>
      <c r="K48" s="2">
        <f>'CUOTA LTP'!H14</f>
        <v>0</v>
      </c>
      <c r="L48" s="2">
        <f>'CUOTA LTP'!I14</f>
        <v>4.7310000000000005E-2</v>
      </c>
      <c r="M48" s="33">
        <f>'CUOTA LTP'!J14</f>
        <v>0</v>
      </c>
      <c r="N48" s="10" t="s">
        <v>91</v>
      </c>
      <c r="O48" s="10">
        <f>'RESUMEN '!$B$3</f>
        <v>44561</v>
      </c>
      <c r="P48" s="39">
        <v>2021</v>
      </c>
      <c r="Q48" s="3"/>
    </row>
    <row r="49" spans="1:17" x14ac:dyDescent="0.25">
      <c r="A49" s="3" t="s">
        <v>20</v>
      </c>
      <c r="B49" s="3" t="s">
        <v>84</v>
      </c>
      <c r="C49" s="3" t="s">
        <v>99</v>
      </c>
      <c r="D49" s="3" t="s">
        <v>100</v>
      </c>
      <c r="E49" s="3" t="str">
        <f>'CUOTA LTP'!C14</f>
        <v>CAMANCHACA PESCA SUR S.A.</v>
      </c>
      <c r="F49" s="3" t="s">
        <v>89</v>
      </c>
      <c r="G49" s="3" t="s">
        <v>90</v>
      </c>
      <c r="H49" s="2">
        <f>'CUOTA LTP'!E15</f>
        <v>5.2599999999999999E-3</v>
      </c>
      <c r="I49" s="2">
        <f>'CUOTA LTP'!F15</f>
        <v>0</v>
      </c>
      <c r="J49" s="2">
        <f>'CUOTA LTP'!G15</f>
        <v>5.2570000000000006E-2</v>
      </c>
      <c r="K49" s="2">
        <f>'CUOTA LTP'!H15</f>
        <v>0</v>
      </c>
      <c r="L49" s="2">
        <f>'CUOTA LTP'!I15</f>
        <v>5.2570000000000006E-2</v>
      </c>
      <c r="M49" s="33">
        <f>'CUOTA LTP'!J15</f>
        <v>0</v>
      </c>
      <c r="N49" s="10" t="s">
        <v>91</v>
      </c>
      <c r="O49" s="10">
        <f>'RESUMEN '!$B$3</f>
        <v>44561</v>
      </c>
      <c r="P49" s="39">
        <v>2021</v>
      </c>
      <c r="Q49" s="3"/>
    </row>
    <row r="50" spans="1:17" x14ac:dyDescent="0.25">
      <c r="A50" s="3" t="s">
        <v>20</v>
      </c>
      <c r="B50" s="3" t="s">
        <v>84</v>
      </c>
      <c r="C50" s="3" t="s">
        <v>99</v>
      </c>
      <c r="D50" s="3" t="s">
        <v>100</v>
      </c>
      <c r="E50" s="3" t="str">
        <f>'CUOTA LTP'!C14</f>
        <v>CAMANCHACA PESCA SUR S.A.</v>
      </c>
      <c r="F50" s="3" t="s">
        <v>87</v>
      </c>
      <c r="G50" s="3" t="s">
        <v>90</v>
      </c>
      <c r="H50" s="2">
        <f>'CUOTA LTP'!K14</f>
        <v>5.2570000000000006E-2</v>
      </c>
      <c r="I50" s="2">
        <f>'CUOTA LTP'!L14</f>
        <v>0</v>
      </c>
      <c r="J50" s="2">
        <f>'CUOTA LTP'!M14</f>
        <v>5.2570000000000006E-2</v>
      </c>
      <c r="K50" s="2">
        <f>'CUOTA LTP'!N14</f>
        <v>0</v>
      </c>
      <c r="L50" s="2">
        <f>'CUOTA LTP'!O14</f>
        <v>5.2570000000000006E-2</v>
      </c>
      <c r="M50" s="33">
        <f>'CUOTA LTP'!P14</f>
        <v>0</v>
      </c>
      <c r="N50" s="10" t="s">
        <v>91</v>
      </c>
      <c r="O50" s="10">
        <f>'RESUMEN '!$B$3</f>
        <v>44561</v>
      </c>
      <c r="P50" s="39">
        <v>2021</v>
      </c>
      <c r="Q50" s="3"/>
    </row>
    <row r="51" spans="1:17" x14ac:dyDescent="0.25">
      <c r="A51" s="3" t="s">
        <v>20</v>
      </c>
      <c r="B51" s="3" t="s">
        <v>84</v>
      </c>
      <c r="C51" s="3" t="s">
        <v>99</v>
      </c>
      <c r="D51" s="3" t="s">
        <v>100</v>
      </c>
      <c r="E51" s="3" t="str">
        <f>'CUOTA LTP'!C16</f>
        <v>ANTONIO CRUZ CORDOVA NAKOUZI E.I.R.L.</v>
      </c>
      <c r="F51" s="3" t="s">
        <v>87</v>
      </c>
      <c r="G51" s="3" t="s">
        <v>88</v>
      </c>
      <c r="H51" s="2">
        <f>'CUOTA LTP'!E16</f>
        <v>4.224E-2</v>
      </c>
      <c r="I51" s="2">
        <f>'CUOTA LTP'!F16</f>
        <v>0</v>
      </c>
      <c r="J51" s="2">
        <f>'CUOTA LTP'!G16</f>
        <v>4.224E-2</v>
      </c>
      <c r="K51" s="2">
        <f>'CUOTA LTP'!H16</f>
        <v>0</v>
      </c>
      <c r="L51" s="2">
        <f>'CUOTA LTP'!I16</f>
        <v>4.224E-2</v>
      </c>
      <c r="M51" s="33">
        <f>'CUOTA LTP'!J16</f>
        <v>0</v>
      </c>
      <c r="N51" s="10" t="s">
        <v>91</v>
      </c>
      <c r="O51" s="10">
        <f>'RESUMEN '!$B$3</f>
        <v>44561</v>
      </c>
      <c r="P51" s="39">
        <v>2021</v>
      </c>
      <c r="Q51" s="3"/>
    </row>
    <row r="52" spans="1:17" x14ac:dyDescent="0.25">
      <c r="A52" s="3" t="s">
        <v>20</v>
      </c>
      <c r="B52" s="3" t="s">
        <v>84</v>
      </c>
      <c r="C52" s="3" t="s">
        <v>99</v>
      </c>
      <c r="D52" s="3" t="s">
        <v>100</v>
      </c>
      <c r="E52" s="3" t="str">
        <f>'CUOTA LTP'!C16</f>
        <v>ANTONIO CRUZ CORDOVA NAKOUZI E.I.R.L.</v>
      </c>
      <c r="F52" s="3" t="s">
        <v>89</v>
      </c>
      <c r="G52" s="3" t="s">
        <v>90</v>
      </c>
      <c r="H52" s="2">
        <f>'CUOTA LTP'!E17</f>
        <v>4.6899999999999997E-3</v>
      </c>
      <c r="I52" s="2">
        <f>'CUOTA LTP'!F17</f>
        <v>0</v>
      </c>
      <c r="J52" s="2">
        <f>'CUOTA LTP'!G17</f>
        <v>4.6929999999999999E-2</v>
      </c>
      <c r="K52" s="2">
        <f>'CUOTA LTP'!H17</f>
        <v>0</v>
      </c>
      <c r="L52" s="2">
        <f>'CUOTA LTP'!I17</f>
        <v>4.6929999999999999E-2</v>
      </c>
      <c r="M52" s="33">
        <f>'CUOTA LTP'!J17</f>
        <v>0</v>
      </c>
      <c r="N52" s="10" t="s">
        <v>91</v>
      </c>
      <c r="O52" s="10">
        <f>'RESUMEN '!$B$3</f>
        <v>44561</v>
      </c>
      <c r="P52" s="39">
        <v>2021</v>
      </c>
      <c r="Q52" s="3"/>
    </row>
    <row r="53" spans="1:17" x14ac:dyDescent="0.25">
      <c r="A53" s="3" t="s">
        <v>20</v>
      </c>
      <c r="B53" s="3" t="s">
        <v>84</v>
      </c>
      <c r="C53" s="3" t="s">
        <v>99</v>
      </c>
      <c r="D53" s="3" t="s">
        <v>100</v>
      </c>
      <c r="E53" s="3" t="str">
        <f>'CUOTA LTP'!C16</f>
        <v>ANTONIO CRUZ CORDOVA NAKOUZI E.I.R.L.</v>
      </c>
      <c r="F53" s="3" t="s">
        <v>87</v>
      </c>
      <c r="G53" s="3" t="s">
        <v>90</v>
      </c>
      <c r="H53" s="2">
        <f>'CUOTA LTP'!K16</f>
        <v>4.6929999999999999E-2</v>
      </c>
      <c r="I53" s="2">
        <f>'CUOTA LTP'!L16</f>
        <v>0</v>
      </c>
      <c r="J53" s="2">
        <f>'CUOTA LTP'!M16</f>
        <v>4.6929999999999999E-2</v>
      </c>
      <c r="K53" s="2">
        <f>'CUOTA LTP'!N16</f>
        <v>0</v>
      </c>
      <c r="L53" s="2">
        <f>'CUOTA LTP'!O16</f>
        <v>4.6929999999999999E-2</v>
      </c>
      <c r="M53" s="33">
        <f>'CUOTA LTP'!P16</f>
        <v>0</v>
      </c>
      <c r="N53" s="10" t="s">
        <v>91</v>
      </c>
      <c r="O53" s="10">
        <f>'RESUMEN '!$B$3</f>
        <v>44561</v>
      </c>
      <c r="P53" s="39">
        <v>2021</v>
      </c>
      <c r="Q53" s="3"/>
    </row>
    <row r="54" spans="1:17" x14ac:dyDescent="0.25">
      <c r="A54" s="3" t="s">
        <v>20</v>
      </c>
      <c r="B54" s="3" t="s">
        <v>84</v>
      </c>
      <c r="C54" s="3" t="s">
        <v>99</v>
      </c>
      <c r="D54" s="3" t="s">
        <v>100</v>
      </c>
      <c r="E54" s="3" t="str">
        <f>'CUOTA LTP'!C18</f>
        <v>GRIMAR S.A. PESQ.</v>
      </c>
      <c r="F54" s="3" t="s">
        <v>87</v>
      </c>
      <c r="G54" s="3" t="s">
        <v>88</v>
      </c>
      <c r="H54" s="2">
        <f>'CUOTA LTP'!E18</f>
        <v>2.555E-2</v>
      </c>
      <c r="I54" s="2">
        <f>'CUOTA LTP'!F18</f>
        <v>0</v>
      </c>
      <c r="J54" s="2">
        <f>'CUOTA LTP'!G18</f>
        <v>2.555E-2</v>
      </c>
      <c r="K54" s="2">
        <f>'CUOTA LTP'!H18</f>
        <v>0</v>
      </c>
      <c r="L54" s="2">
        <f>'CUOTA LTP'!I18</f>
        <v>2.555E-2</v>
      </c>
      <c r="M54" s="33">
        <f>'CUOTA LTP'!J18</f>
        <v>0</v>
      </c>
      <c r="N54" s="10" t="s">
        <v>91</v>
      </c>
      <c r="O54" s="10">
        <f>'RESUMEN '!$B$3</f>
        <v>44561</v>
      </c>
      <c r="P54" s="39">
        <v>2021</v>
      </c>
      <c r="Q54" s="3"/>
    </row>
    <row r="55" spans="1:17" x14ac:dyDescent="0.25">
      <c r="A55" s="3" t="s">
        <v>20</v>
      </c>
      <c r="B55" s="3" t="s">
        <v>84</v>
      </c>
      <c r="C55" s="3" t="s">
        <v>99</v>
      </c>
      <c r="D55" s="3" t="s">
        <v>100</v>
      </c>
      <c r="E55" s="3" t="str">
        <f>'CUOTA LTP'!C18</f>
        <v>GRIMAR S.A. PESQ.</v>
      </c>
      <c r="F55" s="3" t="s">
        <v>89</v>
      </c>
      <c r="G55" s="3" t="s">
        <v>90</v>
      </c>
      <c r="H55" s="2">
        <f>'CUOTA LTP'!E19</f>
        <v>2.8400000000000001E-3</v>
      </c>
      <c r="I55" s="2">
        <f>'CUOTA LTP'!F19</f>
        <v>0</v>
      </c>
      <c r="J55" s="2">
        <f>'CUOTA LTP'!G19</f>
        <v>2.8389999999999999E-2</v>
      </c>
      <c r="K55" s="2">
        <f>'CUOTA LTP'!H19</f>
        <v>0</v>
      </c>
      <c r="L55" s="2">
        <f>'CUOTA LTP'!I19</f>
        <v>2.8389999999999999E-2</v>
      </c>
      <c r="M55" s="33">
        <f>'CUOTA LTP'!J19</f>
        <v>0</v>
      </c>
      <c r="N55" s="10" t="s">
        <v>91</v>
      </c>
      <c r="O55" s="10">
        <f>'RESUMEN '!$B$3</f>
        <v>44561</v>
      </c>
      <c r="P55" s="39">
        <v>2021</v>
      </c>
      <c r="Q55" s="3"/>
    </row>
    <row r="56" spans="1:17" x14ac:dyDescent="0.25">
      <c r="A56" s="3" t="s">
        <v>20</v>
      </c>
      <c r="B56" s="3" t="s">
        <v>84</v>
      </c>
      <c r="C56" s="3" t="s">
        <v>99</v>
      </c>
      <c r="D56" s="3" t="s">
        <v>100</v>
      </c>
      <c r="E56" s="3" t="str">
        <f>'CUOTA LTP'!C18</f>
        <v>GRIMAR S.A. PESQ.</v>
      </c>
      <c r="F56" s="3" t="s">
        <v>87</v>
      </c>
      <c r="G56" s="3" t="s">
        <v>90</v>
      </c>
      <c r="H56" s="2">
        <f>'CUOTA LTP'!K18</f>
        <v>2.8389999999999999E-2</v>
      </c>
      <c r="I56" s="2">
        <f>'CUOTA LTP'!L18</f>
        <v>0</v>
      </c>
      <c r="J56" s="2">
        <f>'CUOTA LTP'!M18</f>
        <v>2.8389999999999999E-2</v>
      </c>
      <c r="K56" s="2">
        <f>'CUOTA LTP'!N18</f>
        <v>0</v>
      </c>
      <c r="L56" s="2">
        <f>'CUOTA LTP'!O18</f>
        <v>2.8389999999999999E-2</v>
      </c>
      <c r="M56" s="33">
        <f>'CUOTA LTP'!P18</f>
        <v>0</v>
      </c>
      <c r="N56" s="10" t="s">
        <v>91</v>
      </c>
      <c r="O56" s="10">
        <f>'RESUMEN '!$B$3</f>
        <v>44561</v>
      </c>
      <c r="P56" s="39">
        <v>2021</v>
      </c>
      <c r="Q56" s="3"/>
    </row>
    <row r="57" spans="1:17" x14ac:dyDescent="0.25">
      <c r="A57" s="3" t="s">
        <v>20</v>
      </c>
      <c r="B57" s="3" t="s">
        <v>84</v>
      </c>
      <c r="C57" s="3" t="s">
        <v>99</v>
      </c>
      <c r="D57" s="3" t="s">
        <v>100</v>
      </c>
      <c r="E57" s="3" t="str">
        <f>'CUOTA LTP'!C20</f>
        <v>ISLADAMAS S.A. PESQ.</v>
      </c>
      <c r="F57" s="3" t="s">
        <v>87</v>
      </c>
      <c r="G57" s="3" t="s">
        <v>88</v>
      </c>
      <c r="H57" s="2">
        <f>'CUOTA LTP'!E20</f>
        <v>2.693430000000002</v>
      </c>
      <c r="I57" s="2">
        <f>'CUOTA LTP'!F20</f>
        <v>1.2618999999999991E-2</v>
      </c>
      <c r="J57" s="2">
        <f>'CUOTA LTP'!G20</f>
        <v>2.7060490000000019</v>
      </c>
      <c r="K57" s="2">
        <f>'CUOTA LTP'!H20</f>
        <v>0</v>
      </c>
      <c r="L57" s="2">
        <f>'CUOTA LTP'!I20</f>
        <v>2.7060490000000019</v>
      </c>
      <c r="M57" s="33">
        <f>'CUOTA LTP'!J20</f>
        <v>0</v>
      </c>
      <c r="N57" s="10" t="s">
        <v>91</v>
      </c>
      <c r="O57" s="10">
        <f>'RESUMEN '!$B$3</f>
        <v>44561</v>
      </c>
      <c r="P57" s="39">
        <v>2021</v>
      </c>
      <c r="Q57" s="3"/>
    </row>
    <row r="58" spans="1:17" x14ac:dyDescent="0.25">
      <c r="A58" s="3" t="s">
        <v>20</v>
      </c>
      <c r="B58" s="3" t="s">
        <v>84</v>
      </c>
      <c r="C58" s="3" t="s">
        <v>99</v>
      </c>
      <c r="D58" s="3" t="s">
        <v>100</v>
      </c>
      <c r="E58" s="3" t="str">
        <f>'CUOTA LTP'!C20</f>
        <v>ISLADAMAS S.A. PESQ.</v>
      </c>
      <c r="F58" s="3" t="s">
        <v>89</v>
      </c>
      <c r="G58" s="3" t="s">
        <v>90</v>
      </c>
      <c r="H58" s="2">
        <f>'CUOTA LTP'!E21</f>
        <v>0.29927000000000004</v>
      </c>
      <c r="I58" s="2">
        <f>'CUOTA LTP'!F21</f>
        <v>0</v>
      </c>
      <c r="J58" s="2">
        <f>'CUOTA LTP'!G21</f>
        <v>3.0053190000000019</v>
      </c>
      <c r="K58" s="2">
        <f>'CUOTA LTP'!H21</f>
        <v>0</v>
      </c>
      <c r="L58" s="2">
        <f>'CUOTA LTP'!I21</f>
        <v>3.0053190000000019</v>
      </c>
      <c r="M58" s="33">
        <f>'CUOTA LTP'!J21</f>
        <v>0</v>
      </c>
      <c r="N58" s="10" t="s">
        <v>91</v>
      </c>
      <c r="O58" s="10">
        <f>'RESUMEN '!$B$3</f>
        <v>44561</v>
      </c>
      <c r="P58" s="39">
        <v>2021</v>
      </c>
      <c r="Q58" s="3"/>
    </row>
    <row r="59" spans="1:17" x14ac:dyDescent="0.25">
      <c r="A59" s="3" t="s">
        <v>20</v>
      </c>
      <c r="B59" s="3" t="s">
        <v>84</v>
      </c>
      <c r="C59" s="3" t="s">
        <v>99</v>
      </c>
      <c r="D59" s="3" t="s">
        <v>100</v>
      </c>
      <c r="E59" s="3" t="str">
        <f>'CUOTA LTP'!C20</f>
        <v>ISLADAMAS S.A. PESQ.</v>
      </c>
      <c r="F59" s="3" t="s">
        <v>87</v>
      </c>
      <c r="G59" s="3" t="s">
        <v>90</v>
      </c>
      <c r="H59" s="2">
        <f>'CUOTA LTP'!K20</f>
        <v>2.9927000000000019</v>
      </c>
      <c r="I59" s="2">
        <f>'CUOTA LTP'!L20</f>
        <v>1.2618999999999991E-2</v>
      </c>
      <c r="J59" s="2">
        <f>'CUOTA LTP'!M20</f>
        <v>3.0053190000000019</v>
      </c>
      <c r="K59" s="2">
        <f>'CUOTA LTP'!N20</f>
        <v>0</v>
      </c>
      <c r="L59" s="2">
        <f>'CUOTA LTP'!O20</f>
        <v>3.0053190000000019</v>
      </c>
      <c r="M59" s="33">
        <f>'CUOTA LTP'!P20</f>
        <v>0</v>
      </c>
      <c r="N59" s="10" t="s">
        <v>91</v>
      </c>
      <c r="O59" s="10">
        <f>'RESUMEN '!$B$3</f>
        <v>44561</v>
      </c>
      <c r="P59" s="39">
        <v>2021</v>
      </c>
      <c r="Q59" s="3"/>
    </row>
    <row r="60" spans="1:17" x14ac:dyDescent="0.25">
      <c r="A60" s="3" t="s">
        <v>20</v>
      </c>
      <c r="B60" s="3" t="s">
        <v>84</v>
      </c>
      <c r="C60" s="3" t="s">
        <v>99</v>
      </c>
      <c r="D60" s="3" t="s">
        <v>100</v>
      </c>
      <c r="E60" s="3" t="str">
        <f>'CUOTA LTP'!C22</f>
        <v>LANDES S.A. PESQ.</v>
      </c>
      <c r="F60" s="3" t="s">
        <v>87</v>
      </c>
      <c r="G60" s="3" t="s">
        <v>88</v>
      </c>
      <c r="H60" s="2">
        <f>'CUOTA LTP'!E22</f>
        <v>1.3950000000000001E-2</v>
      </c>
      <c r="I60" s="2">
        <f>'CUOTA LTP'!F22</f>
        <v>0</v>
      </c>
      <c r="J60" s="2">
        <f>'CUOTA LTP'!G22</f>
        <v>1.3950000000000001E-2</v>
      </c>
      <c r="K60" s="2">
        <f>'CUOTA LTP'!H22</f>
        <v>0</v>
      </c>
      <c r="L60" s="2">
        <f>'CUOTA LTP'!I22</f>
        <v>1.3950000000000001E-2</v>
      </c>
      <c r="M60" s="33">
        <f>'CUOTA LTP'!J22</f>
        <v>0</v>
      </c>
      <c r="N60" s="10" t="s">
        <v>91</v>
      </c>
      <c r="O60" s="10">
        <f>'RESUMEN '!$B$3</f>
        <v>44561</v>
      </c>
      <c r="P60" s="39">
        <v>2021</v>
      </c>
      <c r="Q60" s="3"/>
    </row>
    <row r="61" spans="1:17" x14ac:dyDescent="0.25">
      <c r="A61" s="3" t="s">
        <v>20</v>
      </c>
      <c r="B61" s="3" t="s">
        <v>84</v>
      </c>
      <c r="C61" s="3" t="s">
        <v>99</v>
      </c>
      <c r="D61" s="3" t="s">
        <v>100</v>
      </c>
      <c r="E61" s="3" t="str">
        <f>'CUOTA LTP'!C22</f>
        <v>LANDES S.A. PESQ.</v>
      </c>
      <c r="F61" s="3" t="s">
        <v>89</v>
      </c>
      <c r="G61" s="3" t="s">
        <v>90</v>
      </c>
      <c r="H61" s="2">
        <f>'CUOTA LTP'!E23</f>
        <v>1.5499999999999999E-3</v>
      </c>
      <c r="I61" s="2">
        <f>'CUOTA LTP'!F23</f>
        <v>0</v>
      </c>
      <c r="J61" s="2">
        <f>'CUOTA LTP'!G23</f>
        <v>1.55E-2</v>
      </c>
      <c r="K61" s="2">
        <f>'CUOTA LTP'!H23</f>
        <v>0</v>
      </c>
      <c r="L61" s="2">
        <f>'CUOTA LTP'!I23</f>
        <v>1.55E-2</v>
      </c>
      <c r="M61" s="33">
        <f>'CUOTA LTP'!J23</f>
        <v>0</v>
      </c>
      <c r="N61" s="10" t="s">
        <v>91</v>
      </c>
      <c r="O61" s="10">
        <f>'RESUMEN '!$B$3</f>
        <v>44561</v>
      </c>
      <c r="P61" s="39">
        <v>2021</v>
      </c>
      <c r="Q61" s="3"/>
    </row>
    <row r="62" spans="1:17" x14ac:dyDescent="0.25">
      <c r="A62" s="3" t="s">
        <v>20</v>
      </c>
      <c r="B62" s="3" t="s">
        <v>84</v>
      </c>
      <c r="C62" s="3" t="s">
        <v>99</v>
      </c>
      <c r="D62" s="3" t="s">
        <v>100</v>
      </c>
      <c r="E62" s="3" t="str">
        <f>'CUOTA LTP'!C22</f>
        <v>LANDES S.A. PESQ.</v>
      </c>
      <c r="F62" s="3" t="s">
        <v>87</v>
      </c>
      <c r="G62" s="3" t="s">
        <v>90</v>
      </c>
      <c r="H62" s="2">
        <f>'CUOTA LTP'!K22</f>
        <v>1.55E-2</v>
      </c>
      <c r="I62" s="2">
        <f>'CUOTA LTP'!L22</f>
        <v>0</v>
      </c>
      <c r="J62" s="2">
        <f>'CUOTA LTP'!M22</f>
        <v>1.55E-2</v>
      </c>
      <c r="K62" s="2">
        <f>'CUOTA LTP'!N22</f>
        <v>0</v>
      </c>
      <c r="L62" s="2">
        <f>'CUOTA LTP'!O22</f>
        <v>1.55E-2</v>
      </c>
      <c r="M62" s="33">
        <f>'CUOTA LTP'!P22</f>
        <v>0</v>
      </c>
      <c r="N62" s="10" t="s">
        <v>91</v>
      </c>
      <c r="O62" s="10">
        <f>'RESUMEN '!$B$3</f>
        <v>44561</v>
      </c>
      <c r="P62" s="39">
        <v>2021</v>
      </c>
      <c r="Q62" s="3"/>
    </row>
    <row r="63" spans="1:17" x14ac:dyDescent="0.25">
      <c r="A63" s="3" t="s">
        <v>20</v>
      </c>
      <c r="B63" s="3" t="s">
        <v>84</v>
      </c>
      <c r="C63" s="3" t="s">
        <v>99</v>
      </c>
      <c r="D63" s="3" t="s">
        <v>100</v>
      </c>
      <c r="E63" s="3" t="str">
        <f>'CUOTA LTP'!C24</f>
        <v>ZUÑIGA ROMERO GONZALO</v>
      </c>
      <c r="F63" s="3" t="s">
        <v>87</v>
      </c>
      <c r="G63" s="3" t="s">
        <v>88</v>
      </c>
      <c r="H63" s="2">
        <f>'CUOTA LTP'!E24</f>
        <v>0.29237000000000002</v>
      </c>
      <c r="I63" s="2">
        <f>'CUOTA LTP'!F24</f>
        <v>0</v>
      </c>
      <c r="J63" s="2">
        <f>'CUOTA LTP'!G24</f>
        <v>0.29237000000000002</v>
      </c>
      <c r="K63" s="2">
        <f>'CUOTA LTP'!H24</f>
        <v>0</v>
      </c>
      <c r="L63" s="2">
        <f>'CUOTA LTP'!I24</f>
        <v>0.29237000000000002</v>
      </c>
      <c r="M63" s="33">
        <f>'CUOTA LTP'!J24</f>
        <v>0</v>
      </c>
      <c r="N63" s="10" t="s">
        <v>91</v>
      </c>
      <c r="O63" s="10">
        <f>'RESUMEN '!$B$3</f>
        <v>44561</v>
      </c>
      <c r="P63" s="39">
        <v>2021</v>
      </c>
      <c r="Q63" s="3"/>
    </row>
    <row r="64" spans="1:17" x14ac:dyDescent="0.25">
      <c r="A64" s="3" t="s">
        <v>20</v>
      </c>
      <c r="B64" s="3" t="s">
        <v>84</v>
      </c>
      <c r="C64" s="3" t="s">
        <v>99</v>
      </c>
      <c r="D64" s="3" t="s">
        <v>100</v>
      </c>
      <c r="E64" s="3" t="str">
        <f>'CUOTA LTP'!C24</f>
        <v>ZUÑIGA ROMERO GONZALO</v>
      </c>
      <c r="F64" s="3" t="s">
        <v>89</v>
      </c>
      <c r="G64" s="3" t="s">
        <v>90</v>
      </c>
      <c r="H64" s="2">
        <f>'CUOTA LTP'!E25</f>
        <v>3.2489999999999998E-2</v>
      </c>
      <c r="I64" s="2">
        <f>'CUOTA LTP'!F25</f>
        <v>0</v>
      </c>
      <c r="J64" s="2">
        <f>'CUOTA LTP'!G25</f>
        <v>0.32486000000000004</v>
      </c>
      <c r="K64" s="2">
        <f>'CUOTA LTP'!H25</f>
        <v>0</v>
      </c>
      <c r="L64" s="2">
        <f>'CUOTA LTP'!I25</f>
        <v>0.32486000000000004</v>
      </c>
      <c r="M64" s="33">
        <f>'CUOTA LTP'!J25</f>
        <v>0</v>
      </c>
      <c r="N64" s="10" t="s">
        <v>91</v>
      </c>
      <c r="O64" s="10">
        <f>'RESUMEN '!$B$3</f>
        <v>44561</v>
      </c>
      <c r="P64" s="39">
        <v>2021</v>
      </c>
      <c r="Q64" s="3"/>
    </row>
    <row r="65" spans="1:17" x14ac:dyDescent="0.25">
      <c r="A65" s="3" t="s">
        <v>20</v>
      </c>
      <c r="B65" s="3" t="s">
        <v>84</v>
      </c>
      <c r="C65" s="3" t="s">
        <v>99</v>
      </c>
      <c r="D65" s="3" t="s">
        <v>100</v>
      </c>
      <c r="E65" s="3" t="str">
        <f>'CUOTA LTP'!C24</f>
        <v>ZUÑIGA ROMERO GONZALO</v>
      </c>
      <c r="F65" s="3" t="s">
        <v>87</v>
      </c>
      <c r="G65" s="3" t="s">
        <v>90</v>
      </c>
      <c r="H65" s="2">
        <f>'CUOTA LTP'!K24</f>
        <v>0.32486000000000004</v>
      </c>
      <c r="I65" s="2">
        <f>'CUOTA LTP'!L24</f>
        <v>0</v>
      </c>
      <c r="J65" s="2">
        <f>'CUOTA LTP'!M24</f>
        <v>0.32486000000000004</v>
      </c>
      <c r="K65" s="2">
        <f>'CUOTA LTP'!N24</f>
        <v>0</v>
      </c>
      <c r="L65" s="2">
        <f>'CUOTA LTP'!O24</f>
        <v>0.32486000000000004</v>
      </c>
      <c r="M65" s="33">
        <f>'CUOTA LTP'!P24</f>
        <v>0</v>
      </c>
      <c r="N65" s="10" t="s">
        <v>91</v>
      </c>
      <c r="O65" s="10">
        <f>'RESUMEN '!$B$3</f>
        <v>44561</v>
      </c>
      <c r="P65" s="39">
        <v>2021</v>
      </c>
      <c r="Q65" s="3"/>
    </row>
    <row r="66" spans="1:17" x14ac:dyDescent="0.25">
      <c r="A66" s="3" t="s">
        <v>20</v>
      </c>
      <c r="B66" s="3" t="s">
        <v>84</v>
      </c>
      <c r="C66" s="3" t="s">
        <v>99</v>
      </c>
      <c r="D66" s="3" t="s">
        <v>100</v>
      </c>
      <c r="E66" s="3" t="str">
        <f>'CUOTA LTP'!C26</f>
        <v>MOROZIN YURECIC MARIO</v>
      </c>
      <c r="F66" s="3" t="s">
        <v>87</v>
      </c>
      <c r="G66" s="3" t="s">
        <v>88</v>
      </c>
      <c r="H66" s="2">
        <f>'CUOTA LTP'!E26</f>
        <v>2.7E-4</v>
      </c>
      <c r="I66" s="2">
        <f>'CUOTA LTP'!F26</f>
        <v>0</v>
      </c>
      <c r="J66" s="2">
        <f>'CUOTA LTP'!G26</f>
        <v>2.7E-4</v>
      </c>
      <c r="K66" s="2">
        <f>'CUOTA LTP'!H26</f>
        <v>0</v>
      </c>
      <c r="L66" s="2">
        <f>'CUOTA LTP'!I26</f>
        <v>2.7E-4</v>
      </c>
      <c r="M66" s="33">
        <f>'CUOTA LTP'!J26</f>
        <v>0</v>
      </c>
      <c r="N66" s="10" t="s">
        <v>91</v>
      </c>
      <c r="O66" s="10">
        <f>'RESUMEN '!$B$3</f>
        <v>44561</v>
      </c>
      <c r="P66" s="39">
        <v>2021</v>
      </c>
      <c r="Q66" s="3"/>
    </row>
    <row r="67" spans="1:17" x14ac:dyDescent="0.25">
      <c r="A67" s="3" t="s">
        <v>20</v>
      </c>
      <c r="B67" s="3" t="s">
        <v>84</v>
      </c>
      <c r="C67" s="3" t="s">
        <v>99</v>
      </c>
      <c r="D67" s="3" t="s">
        <v>100</v>
      </c>
      <c r="E67" s="3" t="str">
        <f>'CUOTA LTP'!C26</f>
        <v>MOROZIN YURECIC MARIO</v>
      </c>
      <c r="F67" s="3" t="s">
        <v>89</v>
      </c>
      <c r="G67" s="3" t="s">
        <v>90</v>
      </c>
      <c r="H67" s="2">
        <f>'CUOTA LTP'!E27</f>
        <v>3.0000000000000001E-5</v>
      </c>
      <c r="I67" s="2">
        <f>'CUOTA LTP'!F27</f>
        <v>0</v>
      </c>
      <c r="J67" s="2">
        <f>'CUOTA LTP'!G27</f>
        <v>3.0000000000000003E-4</v>
      </c>
      <c r="K67" s="2">
        <f>'CUOTA LTP'!H27</f>
        <v>0</v>
      </c>
      <c r="L67" s="2">
        <f>'CUOTA LTP'!I27</f>
        <v>3.0000000000000003E-4</v>
      </c>
      <c r="M67" s="33">
        <f>'CUOTA LTP'!J27</f>
        <v>0</v>
      </c>
      <c r="N67" s="10" t="s">
        <v>91</v>
      </c>
      <c r="O67" s="10">
        <f>'RESUMEN '!$B$3</f>
        <v>44561</v>
      </c>
      <c r="P67" s="39">
        <v>2021</v>
      </c>
      <c r="Q67" s="3"/>
    </row>
    <row r="68" spans="1:17" x14ac:dyDescent="0.25">
      <c r="A68" s="3" t="s">
        <v>20</v>
      </c>
      <c r="B68" s="3" t="s">
        <v>84</v>
      </c>
      <c r="C68" s="3" t="s">
        <v>99</v>
      </c>
      <c r="D68" s="3" t="s">
        <v>100</v>
      </c>
      <c r="E68" s="3" t="str">
        <f>'CUOTA LTP'!C26</f>
        <v>MOROZIN YURECIC MARIO</v>
      </c>
      <c r="F68" s="3" t="s">
        <v>87</v>
      </c>
      <c r="G68" s="3" t="s">
        <v>90</v>
      </c>
      <c r="H68" s="2">
        <f>'CUOTA LTP'!K26</f>
        <v>3.0000000000000003E-4</v>
      </c>
      <c r="I68" s="2">
        <f>'CUOTA LTP'!L26</f>
        <v>0</v>
      </c>
      <c r="J68" s="2">
        <f>'CUOTA LTP'!M26</f>
        <v>3.0000000000000003E-4</v>
      </c>
      <c r="K68" s="2">
        <f>'CUOTA LTP'!N26</f>
        <v>0</v>
      </c>
      <c r="L68" s="2">
        <f>'CUOTA LTP'!O26</f>
        <v>3.0000000000000003E-4</v>
      </c>
      <c r="M68" s="33">
        <f>'CUOTA LTP'!P26</f>
        <v>0</v>
      </c>
      <c r="N68" s="10" t="s">
        <v>91</v>
      </c>
      <c r="O68" s="10">
        <f>'RESUMEN '!$B$3</f>
        <v>44561</v>
      </c>
      <c r="P68" s="39">
        <v>2021</v>
      </c>
      <c r="Q68" s="3"/>
    </row>
    <row r="69" spans="1:17" x14ac:dyDescent="0.25">
      <c r="A69" s="3" t="s">
        <v>20</v>
      </c>
      <c r="B69" s="3" t="s">
        <v>84</v>
      </c>
      <c r="C69" s="3" t="s">
        <v>99</v>
      </c>
      <c r="D69" s="3" t="s">
        <v>100</v>
      </c>
      <c r="E69" s="3" t="str">
        <f>'CUOTA LTP'!C28</f>
        <v>QUINTERO LTDA. SOC. PESQ.</v>
      </c>
      <c r="F69" s="3" t="s">
        <v>87</v>
      </c>
      <c r="G69" s="3" t="s">
        <v>88</v>
      </c>
      <c r="H69" s="2">
        <f>'CUOTA LTP'!E28</f>
        <v>1.8000000000000001E-4</v>
      </c>
      <c r="I69" s="2">
        <f>'CUOTA LTP'!F28</f>
        <v>0.175203</v>
      </c>
      <c r="J69" s="2">
        <f>'CUOTA LTP'!G28</f>
        <v>0.17538300000000001</v>
      </c>
      <c r="K69" s="2">
        <f>'CUOTA LTP'!H28</f>
        <v>0</v>
      </c>
      <c r="L69" s="2">
        <f>'CUOTA LTP'!I28</f>
        <v>0.17538300000000001</v>
      </c>
      <c r="M69" s="33">
        <f>'CUOTA LTP'!J28</f>
        <v>0</v>
      </c>
      <c r="N69" s="10" t="s">
        <v>91</v>
      </c>
      <c r="O69" s="10">
        <f>'RESUMEN '!$B$3</f>
        <v>44561</v>
      </c>
      <c r="P69" s="39">
        <v>2021</v>
      </c>
      <c r="Q69" s="3"/>
    </row>
    <row r="70" spans="1:17" x14ac:dyDescent="0.25">
      <c r="A70" s="3" t="s">
        <v>20</v>
      </c>
      <c r="B70" s="3" t="s">
        <v>84</v>
      </c>
      <c r="C70" s="3" t="s">
        <v>99</v>
      </c>
      <c r="D70" s="3" t="s">
        <v>100</v>
      </c>
      <c r="E70" s="3" t="str">
        <f>'CUOTA LTP'!C28</f>
        <v>QUINTERO LTDA. SOC. PESQ.</v>
      </c>
      <c r="F70" s="3" t="s">
        <v>89</v>
      </c>
      <c r="G70" s="3" t="s">
        <v>90</v>
      </c>
      <c r="H70" s="2">
        <f>'CUOTA LTP'!E29</f>
        <v>2.0000000000000002E-5</v>
      </c>
      <c r="I70" s="2">
        <f>'CUOTA LTP'!F29</f>
        <v>0</v>
      </c>
      <c r="J70" s="2">
        <f>'CUOTA LTP'!G29</f>
        <v>0.175403</v>
      </c>
      <c r="K70" s="2">
        <f>'CUOTA LTP'!H29</f>
        <v>0</v>
      </c>
      <c r="L70" s="2">
        <f>'CUOTA LTP'!I29</f>
        <v>0.175403</v>
      </c>
      <c r="M70" s="33">
        <f>'CUOTA LTP'!J29</f>
        <v>0</v>
      </c>
      <c r="N70" s="10" t="s">
        <v>91</v>
      </c>
      <c r="O70" s="10">
        <f>'RESUMEN '!$B$3</f>
        <v>44561</v>
      </c>
      <c r="P70" s="39">
        <v>2021</v>
      </c>
      <c r="Q70" s="3"/>
    </row>
    <row r="71" spans="1:17" x14ac:dyDescent="0.25">
      <c r="A71" s="3" t="s">
        <v>20</v>
      </c>
      <c r="B71" s="3" t="s">
        <v>84</v>
      </c>
      <c r="C71" s="3" t="s">
        <v>99</v>
      </c>
      <c r="D71" s="3" t="s">
        <v>100</v>
      </c>
      <c r="E71" s="3" t="str">
        <f>'CUOTA LTP'!C28</f>
        <v>QUINTERO LTDA. SOC. PESQ.</v>
      </c>
      <c r="F71" s="3" t="s">
        <v>87</v>
      </c>
      <c r="G71" s="3" t="s">
        <v>90</v>
      </c>
      <c r="H71" s="2">
        <f>'CUOTA LTP'!K28</f>
        <v>2.0000000000000001E-4</v>
      </c>
      <c r="I71" s="2">
        <f>'CUOTA LTP'!L28</f>
        <v>0.175203</v>
      </c>
      <c r="J71" s="2">
        <f>'CUOTA LTP'!M28</f>
        <v>0.175403</v>
      </c>
      <c r="K71" s="2">
        <f>'CUOTA LTP'!N28</f>
        <v>0</v>
      </c>
      <c r="L71" s="2">
        <f>'CUOTA LTP'!O28</f>
        <v>0.175403</v>
      </c>
      <c r="M71" s="33">
        <f>'CUOTA LTP'!P28</f>
        <v>0</v>
      </c>
      <c r="N71" s="10" t="s">
        <v>91</v>
      </c>
      <c r="O71" s="10">
        <f>'RESUMEN '!$B$3</f>
        <v>44561</v>
      </c>
      <c r="P71" s="39">
        <v>2021</v>
      </c>
      <c r="Q71" s="3"/>
    </row>
    <row r="72" spans="1:17" x14ac:dyDescent="0.25">
      <c r="A72" s="3" t="s">
        <v>20</v>
      </c>
      <c r="B72" s="3" t="s">
        <v>84</v>
      </c>
      <c r="C72" s="3" t="s">
        <v>99</v>
      </c>
      <c r="D72" s="3" t="s">
        <v>100</v>
      </c>
      <c r="E72" s="3" t="str">
        <f>'CUOTA LTP'!C30</f>
        <v>PACIFICBLU SPA.</v>
      </c>
      <c r="F72" s="3" t="s">
        <v>87</v>
      </c>
      <c r="G72" s="3" t="s">
        <v>88</v>
      </c>
      <c r="H72" s="2">
        <f>'CUOTA LTP'!E30</f>
        <v>0.16364000000000001</v>
      </c>
      <c r="I72" s="2">
        <f>'CUOTA LTP'!F30</f>
        <v>-0.173681</v>
      </c>
      <c r="J72" s="2">
        <f>'CUOTA LTP'!G30</f>
        <v>-1.0040999999999994E-2</v>
      </c>
      <c r="K72" s="2">
        <f>'CUOTA LTP'!H30</f>
        <v>0</v>
      </c>
      <c r="L72" s="2">
        <f>'CUOTA LTP'!I30</f>
        <v>-1.0040999999999994E-2</v>
      </c>
      <c r="M72" s="33">
        <f>'CUOTA LTP'!J30</f>
        <v>0</v>
      </c>
      <c r="N72" s="10" t="s">
        <v>91</v>
      </c>
      <c r="O72" s="10">
        <f>'RESUMEN '!$B$3</f>
        <v>44561</v>
      </c>
      <c r="P72" s="39">
        <v>2021</v>
      </c>
      <c r="Q72" s="3"/>
    </row>
    <row r="73" spans="1:17" x14ac:dyDescent="0.25">
      <c r="A73" s="3" t="s">
        <v>20</v>
      </c>
      <c r="B73" s="3" t="s">
        <v>84</v>
      </c>
      <c r="C73" s="3" t="s">
        <v>99</v>
      </c>
      <c r="D73" s="3" t="s">
        <v>100</v>
      </c>
      <c r="E73" s="3" t="str">
        <f>'CUOTA LTP'!C30</f>
        <v>PACIFICBLU SPA.</v>
      </c>
      <c r="F73" s="3" t="s">
        <v>89</v>
      </c>
      <c r="G73" s="3" t="s">
        <v>90</v>
      </c>
      <c r="H73" s="2">
        <f>'CUOTA LTP'!E31</f>
        <v>1.8180000000000002E-2</v>
      </c>
      <c r="I73" s="2">
        <f>'CUOTA LTP'!F31</f>
        <v>0</v>
      </c>
      <c r="J73" s="2">
        <f>'CUOTA LTP'!G31</f>
        <v>8.1390000000000073E-3</v>
      </c>
      <c r="K73" s="2">
        <f>'CUOTA LTP'!H31</f>
        <v>0</v>
      </c>
      <c r="L73" s="2">
        <f>'CUOTA LTP'!I31</f>
        <v>8.1390000000000073E-3</v>
      </c>
      <c r="M73" s="33">
        <f>'CUOTA LTP'!J31</f>
        <v>0</v>
      </c>
      <c r="N73" s="10" t="s">
        <v>91</v>
      </c>
      <c r="O73" s="10">
        <f>'RESUMEN '!$B$3</f>
        <v>44561</v>
      </c>
      <c r="P73" s="39">
        <v>2021</v>
      </c>
      <c r="Q73" s="3"/>
    </row>
    <row r="74" spans="1:17" x14ac:dyDescent="0.25">
      <c r="A74" s="3" t="s">
        <v>20</v>
      </c>
      <c r="B74" s="3" t="s">
        <v>84</v>
      </c>
      <c r="C74" s="3" t="s">
        <v>99</v>
      </c>
      <c r="D74" s="3" t="s">
        <v>100</v>
      </c>
      <c r="E74" s="3" t="str">
        <f>'CUOTA LTP'!C30</f>
        <v>PACIFICBLU SPA.</v>
      </c>
      <c r="F74" s="3" t="s">
        <v>87</v>
      </c>
      <c r="G74" s="3" t="s">
        <v>90</v>
      </c>
      <c r="H74" s="2">
        <f>'CUOTA LTP'!K30</f>
        <v>0.18182000000000001</v>
      </c>
      <c r="I74" s="2">
        <f>'CUOTA LTP'!L30</f>
        <v>-0.173681</v>
      </c>
      <c r="J74" s="2">
        <f>'CUOTA LTP'!M30</f>
        <v>8.1390000000000073E-3</v>
      </c>
      <c r="K74" s="2">
        <f>'CUOTA LTP'!N30</f>
        <v>0</v>
      </c>
      <c r="L74" s="2">
        <f>'CUOTA LTP'!O30</f>
        <v>8.1390000000000073E-3</v>
      </c>
      <c r="M74" s="33">
        <f>'CUOTA LTP'!P30</f>
        <v>0</v>
      </c>
      <c r="N74" s="10" t="s">
        <v>91</v>
      </c>
      <c r="O74" s="10">
        <f>'RESUMEN '!$B$3</f>
        <v>44561</v>
      </c>
      <c r="P74" s="39">
        <v>2021</v>
      </c>
      <c r="Q74" s="3"/>
    </row>
    <row r="75" spans="1:17" x14ac:dyDescent="0.25">
      <c r="A75" s="3" t="s">
        <v>20</v>
      </c>
      <c r="B75" s="3" t="s">
        <v>84</v>
      </c>
      <c r="C75" s="3" t="s">
        <v>99</v>
      </c>
      <c r="D75" s="3" t="s">
        <v>100</v>
      </c>
      <c r="E75" s="3" t="str">
        <f>'CUOTA LTP'!C32</f>
        <v>DA VENEZIA RETAMALES ANTONIO</v>
      </c>
      <c r="F75" s="3" t="s">
        <v>87</v>
      </c>
      <c r="G75" s="3" t="s">
        <v>88</v>
      </c>
      <c r="H75" s="2">
        <f>'CUOTA LTP'!E32</f>
        <v>9.0000000000000006E-5</v>
      </c>
      <c r="I75" s="2">
        <f>'CUOTA LTP'!F32</f>
        <v>0</v>
      </c>
      <c r="J75" s="2">
        <f>'CUOTA LTP'!G32</f>
        <v>9.0000000000000006E-5</v>
      </c>
      <c r="K75" s="2">
        <f>'CUOTA LTP'!H32</f>
        <v>0</v>
      </c>
      <c r="L75" s="2">
        <f>'CUOTA LTP'!I32</f>
        <v>9.0000000000000006E-5</v>
      </c>
      <c r="M75" s="33">
        <f>'CUOTA LTP'!J32</f>
        <v>0</v>
      </c>
      <c r="N75" s="10" t="s">
        <v>91</v>
      </c>
      <c r="O75" s="10">
        <f>'RESUMEN '!$B$3</f>
        <v>44561</v>
      </c>
      <c r="P75" s="39">
        <v>2021</v>
      </c>
      <c r="Q75" s="3"/>
    </row>
    <row r="76" spans="1:17" x14ac:dyDescent="0.25">
      <c r="A76" s="3" t="s">
        <v>20</v>
      </c>
      <c r="B76" s="3" t="s">
        <v>84</v>
      </c>
      <c r="C76" s="3" t="s">
        <v>99</v>
      </c>
      <c r="D76" s="3" t="s">
        <v>100</v>
      </c>
      <c r="E76" s="3" t="str">
        <f>'CUOTA LTP'!C32</f>
        <v>DA VENEZIA RETAMALES ANTONIO</v>
      </c>
      <c r="F76" s="3" t="s">
        <v>89</v>
      </c>
      <c r="G76" s="3" t="s">
        <v>90</v>
      </c>
      <c r="H76" s="2">
        <f>'CUOTA LTP'!E33</f>
        <v>1.0000000000000001E-5</v>
      </c>
      <c r="I76" s="2">
        <f>'CUOTA LTP'!F33</f>
        <v>0</v>
      </c>
      <c r="J76" s="2">
        <f>'CUOTA LTP'!G33</f>
        <v>1E-4</v>
      </c>
      <c r="K76" s="2">
        <f>'CUOTA LTP'!H33</f>
        <v>0</v>
      </c>
      <c r="L76" s="2">
        <f>'CUOTA LTP'!I33</f>
        <v>1E-4</v>
      </c>
      <c r="M76" s="33">
        <f>'CUOTA LTP'!J33</f>
        <v>0</v>
      </c>
      <c r="N76" s="10" t="s">
        <v>91</v>
      </c>
      <c r="O76" s="10">
        <f>'RESUMEN '!$B$3</f>
        <v>44561</v>
      </c>
      <c r="P76" s="39">
        <v>2021</v>
      </c>
      <c r="Q76" s="3"/>
    </row>
    <row r="77" spans="1:17" x14ac:dyDescent="0.25">
      <c r="A77" s="3" t="s">
        <v>20</v>
      </c>
      <c r="B77" s="3" t="s">
        <v>84</v>
      </c>
      <c r="C77" s="3" t="s">
        <v>99</v>
      </c>
      <c r="D77" s="3" t="s">
        <v>100</v>
      </c>
      <c r="E77" s="3" t="str">
        <f>'CUOTA LTP'!C32</f>
        <v>DA VENEZIA RETAMALES ANTONIO</v>
      </c>
      <c r="F77" s="3" t="s">
        <v>87</v>
      </c>
      <c r="G77" s="3" t="s">
        <v>90</v>
      </c>
      <c r="H77" s="2">
        <f>'CUOTA LTP'!K32</f>
        <v>1E-4</v>
      </c>
      <c r="I77" s="2">
        <f>'CUOTA LTP'!L32</f>
        <v>0</v>
      </c>
      <c r="J77" s="2">
        <f>'CUOTA LTP'!M32</f>
        <v>1E-4</v>
      </c>
      <c r="K77" s="2">
        <f>'CUOTA LTP'!N32</f>
        <v>0</v>
      </c>
      <c r="L77" s="2">
        <f>'CUOTA LTP'!O32</f>
        <v>1E-4</v>
      </c>
      <c r="M77" s="33">
        <f>'CUOTA LTP'!P32</f>
        <v>0</v>
      </c>
      <c r="N77" s="10" t="s">
        <v>91</v>
      </c>
      <c r="O77" s="10">
        <f>'RESUMEN '!$B$3</f>
        <v>44561</v>
      </c>
      <c r="P77" s="39">
        <v>2021</v>
      </c>
      <c r="Q77" s="3"/>
    </row>
    <row r="78" spans="1:17" x14ac:dyDescent="0.25">
      <c r="A78" s="3" t="s">
        <v>20</v>
      </c>
      <c r="B78" s="3" t="s">
        <v>84</v>
      </c>
      <c r="C78" s="3" t="s">
        <v>99</v>
      </c>
      <c r="D78" s="3" t="s">
        <v>100</v>
      </c>
      <c r="E78" s="3" t="str">
        <f>'CUOTA LTP'!C34</f>
        <v>ENFERMAR LTDA. SOC. PESQ.</v>
      </c>
      <c r="F78" s="3" t="s">
        <v>87</v>
      </c>
      <c r="G78" s="3" t="s">
        <v>88</v>
      </c>
      <c r="H78" s="2">
        <f>'CUOTA LTP'!E34</f>
        <v>2.4299999999999999E-3</v>
      </c>
      <c r="I78" s="2">
        <f>'CUOTA LTP'!F34</f>
        <v>-1.2999999999999999E-3</v>
      </c>
      <c r="J78" s="2">
        <f>'CUOTA LTP'!G34</f>
        <v>1.1299999999999999E-3</v>
      </c>
      <c r="K78" s="2">
        <f>'CUOTA LTP'!H34</f>
        <v>0</v>
      </c>
      <c r="L78" s="2">
        <f>'CUOTA LTP'!I34</f>
        <v>1.1299999999999999E-3</v>
      </c>
      <c r="M78" s="33">
        <f>'CUOTA LTP'!J34</f>
        <v>0</v>
      </c>
      <c r="N78" s="10" t="s">
        <v>91</v>
      </c>
      <c r="O78" s="10">
        <f>'RESUMEN '!$B$3</f>
        <v>44561</v>
      </c>
      <c r="P78" s="39">
        <v>2021</v>
      </c>
      <c r="Q78" s="3"/>
    </row>
    <row r="79" spans="1:17" x14ac:dyDescent="0.25">
      <c r="A79" s="3" t="s">
        <v>20</v>
      </c>
      <c r="B79" s="3" t="s">
        <v>84</v>
      </c>
      <c r="C79" s="3" t="s">
        <v>99</v>
      </c>
      <c r="D79" s="3" t="s">
        <v>100</v>
      </c>
      <c r="E79" s="3" t="str">
        <f>'CUOTA LTP'!C34</f>
        <v>ENFERMAR LTDA. SOC. PESQ.</v>
      </c>
      <c r="F79" s="3" t="s">
        <v>89</v>
      </c>
      <c r="G79" s="3" t="s">
        <v>90</v>
      </c>
      <c r="H79" s="2">
        <f>'CUOTA LTP'!E35</f>
        <v>2.7E-4</v>
      </c>
      <c r="I79" s="2">
        <f>'CUOTA LTP'!F35</f>
        <v>0</v>
      </c>
      <c r="J79" s="2">
        <f>'CUOTA LTP'!G35</f>
        <v>1.4E-3</v>
      </c>
      <c r="K79" s="2">
        <f>'CUOTA LTP'!H35</f>
        <v>0</v>
      </c>
      <c r="L79" s="2">
        <f>'CUOTA LTP'!I35</f>
        <v>1.4E-3</v>
      </c>
      <c r="M79" s="33">
        <f>'CUOTA LTP'!J35</f>
        <v>0</v>
      </c>
      <c r="N79" s="10" t="s">
        <v>91</v>
      </c>
      <c r="O79" s="10">
        <f>'RESUMEN '!$B$3</f>
        <v>44561</v>
      </c>
      <c r="P79" s="39">
        <v>2021</v>
      </c>
      <c r="Q79" s="3"/>
    </row>
    <row r="80" spans="1:17" x14ac:dyDescent="0.25">
      <c r="A80" s="3" t="s">
        <v>20</v>
      </c>
      <c r="B80" s="3" t="s">
        <v>84</v>
      </c>
      <c r="C80" s="3" t="s">
        <v>99</v>
      </c>
      <c r="D80" s="3" t="s">
        <v>100</v>
      </c>
      <c r="E80" s="3" t="str">
        <f>'CUOTA LTP'!C34</f>
        <v>ENFERMAR LTDA. SOC. PESQ.</v>
      </c>
      <c r="F80" s="3" t="s">
        <v>87</v>
      </c>
      <c r="G80" s="3" t="s">
        <v>90</v>
      </c>
      <c r="H80" s="2">
        <f>'CUOTA LTP'!K34</f>
        <v>2.6999999999999997E-3</v>
      </c>
      <c r="I80" s="2">
        <f>'CUOTA LTP'!L34</f>
        <v>-1.2999999999999999E-3</v>
      </c>
      <c r="J80" s="2">
        <f>'CUOTA LTP'!M34</f>
        <v>1.3999999999999998E-3</v>
      </c>
      <c r="K80" s="2">
        <f>'CUOTA LTP'!N34</f>
        <v>0</v>
      </c>
      <c r="L80" s="2">
        <f>'CUOTA LTP'!O34</f>
        <v>1.3999999999999998E-3</v>
      </c>
      <c r="M80" s="33">
        <f>'CUOTA LTP'!P34</f>
        <v>0</v>
      </c>
      <c r="N80" s="10" t="s">
        <v>91</v>
      </c>
      <c r="O80" s="10">
        <f>'RESUMEN '!$B$3</f>
        <v>44561</v>
      </c>
      <c r="P80" s="39">
        <v>2021</v>
      </c>
      <c r="Q80" s="3"/>
    </row>
    <row r="81" spans="1:17" x14ac:dyDescent="0.25">
      <c r="A81" s="3" t="s">
        <v>20</v>
      </c>
      <c r="B81" s="3" t="s">
        <v>84</v>
      </c>
      <c r="C81" s="3" t="s">
        <v>99</v>
      </c>
      <c r="D81" s="3" t="s">
        <v>100</v>
      </c>
      <c r="E81" s="3" t="str">
        <f>'CUOTA LTP'!C40</f>
        <v>RUBIO Y MAUAD LTDA.</v>
      </c>
      <c r="F81" s="3" t="s">
        <v>87</v>
      </c>
      <c r="G81" s="3" t="s">
        <v>88</v>
      </c>
      <c r="H81" s="2">
        <f>'CUOTA LTP'!E40</f>
        <v>1.1519999999999999E-2</v>
      </c>
      <c r="I81" s="2">
        <f>'CUOTA LTP'!F40</f>
        <v>-1.2618999999999991E-2</v>
      </c>
      <c r="J81" s="2">
        <f>'CUOTA LTP'!G40</f>
        <v>-1.0989999999999923E-3</v>
      </c>
      <c r="K81" s="2">
        <f>'CUOTA LTP'!H40</f>
        <v>0</v>
      </c>
      <c r="L81" s="2">
        <f>'CUOTA LTP'!I40</f>
        <v>-1.0989999999999923E-3</v>
      </c>
      <c r="M81" s="33">
        <f>'CUOTA LTP'!J40</f>
        <v>0</v>
      </c>
      <c r="N81" s="10" t="s">
        <v>91</v>
      </c>
      <c r="O81" s="10">
        <f>'RESUMEN '!$B$3</f>
        <v>44561</v>
      </c>
      <c r="P81" s="39">
        <v>2021</v>
      </c>
      <c r="Q81" s="3"/>
    </row>
    <row r="82" spans="1:17" x14ac:dyDescent="0.25">
      <c r="A82" s="3" t="s">
        <v>20</v>
      </c>
      <c r="B82" s="3" t="s">
        <v>84</v>
      </c>
      <c r="C82" s="3" t="s">
        <v>99</v>
      </c>
      <c r="D82" s="3" t="s">
        <v>100</v>
      </c>
      <c r="E82" s="3" t="str">
        <f>'CUOTA LTP'!C40</f>
        <v>RUBIO Y MAUAD LTDA.</v>
      </c>
      <c r="F82" s="3" t="s">
        <v>89</v>
      </c>
      <c r="G82" s="3" t="s">
        <v>90</v>
      </c>
      <c r="H82" s="2">
        <f>'CUOTA LTP'!E41</f>
        <v>1.2800000000000001E-3</v>
      </c>
      <c r="I82" s="2">
        <f>'CUOTA LTP'!F41</f>
        <v>0</v>
      </c>
      <c r="J82" s="2">
        <f>'CUOTA LTP'!G41</f>
        <v>1.8100000000000776E-4</v>
      </c>
      <c r="K82" s="2">
        <f>'CUOTA LTP'!H41</f>
        <v>0</v>
      </c>
      <c r="L82" s="2">
        <f>'CUOTA LTP'!I41</f>
        <v>1.8100000000000776E-4</v>
      </c>
      <c r="M82" s="33">
        <f>'CUOTA LTP'!J41</f>
        <v>0</v>
      </c>
      <c r="N82" s="10" t="s">
        <v>91</v>
      </c>
      <c r="O82" s="10">
        <f>'RESUMEN '!$B$3</f>
        <v>44561</v>
      </c>
      <c r="P82" s="39">
        <v>2021</v>
      </c>
      <c r="Q82" s="3"/>
    </row>
    <row r="83" spans="1:17" x14ac:dyDescent="0.25">
      <c r="A83" s="3" t="s">
        <v>20</v>
      </c>
      <c r="B83" s="3" t="s">
        <v>84</v>
      </c>
      <c r="C83" s="3" t="s">
        <v>99</v>
      </c>
      <c r="D83" s="3" t="s">
        <v>100</v>
      </c>
      <c r="E83" s="3" t="str">
        <f>'CUOTA LTP'!C40</f>
        <v>RUBIO Y MAUAD LTDA.</v>
      </c>
      <c r="F83" s="3" t="s">
        <v>87</v>
      </c>
      <c r="G83" s="3" t="s">
        <v>90</v>
      </c>
      <c r="H83" s="2">
        <f>'CUOTA LTP'!K40</f>
        <v>1.2799999999999999E-2</v>
      </c>
      <c r="I83" s="2">
        <f>'CUOTA LTP'!L40</f>
        <v>-1.2618999999999991E-2</v>
      </c>
      <c r="J83" s="2">
        <f>'CUOTA LTP'!M40</f>
        <v>1.8100000000000754E-4</v>
      </c>
      <c r="K83" s="2">
        <f>'CUOTA LTP'!N40</f>
        <v>0</v>
      </c>
      <c r="L83" s="2">
        <f>'CUOTA LTP'!O40</f>
        <v>1.8100000000000754E-4</v>
      </c>
      <c r="M83" s="33">
        <f>'CUOTA LTP'!P40</f>
        <v>0</v>
      </c>
      <c r="N83" s="10" t="s">
        <v>91</v>
      </c>
      <c r="O83" s="10">
        <f>'RESUMEN '!$B$3</f>
        <v>44561</v>
      </c>
      <c r="P83" s="39">
        <v>2021</v>
      </c>
      <c r="Q83" s="3"/>
    </row>
    <row r="84" spans="1:17" x14ac:dyDescent="0.25">
      <c r="A84" s="3" t="s">
        <v>20</v>
      </c>
      <c r="B84" s="3" t="s">
        <v>84</v>
      </c>
      <c r="C84" s="3" t="s">
        <v>94</v>
      </c>
      <c r="D84" s="3" t="s">
        <v>100</v>
      </c>
      <c r="E84" s="3" t="str">
        <f>'CUOTA LTP'!C42</f>
        <v>ANTARTIC SEAFOOD S.A.</v>
      </c>
      <c r="F84" s="3" t="s">
        <v>87</v>
      </c>
      <c r="G84" s="3" t="s">
        <v>88</v>
      </c>
      <c r="H84" s="2">
        <f>'CUOTA LTP'!E42</f>
        <v>59.524419999999999</v>
      </c>
      <c r="I84" s="2">
        <f>'CUOTA LTP'!F42</f>
        <v>-43</v>
      </c>
      <c r="J84" s="2">
        <f>'CUOTA LTP'!G42</f>
        <v>16.524419999999999</v>
      </c>
      <c r="K84" s="2">
        <f>'CUOTA LTP'!H42</f>
        <v>13.175000000000001</v>
      </c>
      <c r="L84" s="2">
        <f>'CUOTA LTP'!I42</f>
        <v>3.3494199999999985</v>
      </c>
      <c r="M84" s="33">
        <f>'CUOTA LTP'!J42</f>
        <v>0.79730483732560664</v>
      </c>
      <c r="N84" s="10" t="s">
        <v>91</v>
      </c>
      <c r="O84" s="10">
        <f>'RESUMEN '!$B$3</f>
        <v>44561</v>
      </c>
      <c r="P84" s="39">
        <v>2021</v>
      </c>
      <c r="Q84" s="3"/>
    </row>
    <row r="85" spans="1:17" x14ac:dyDescent="0.25">
      <c r="A85" s="3" t="s">
        <v>20</v>
      </c>
      <c r="B85" s="3" t="s">
        <v>84</v>
      </c>
      <c r="C85" s="3" t="s">
        <v>94</v>
      </c>
      <c r="D85" s="3" t="s">
        <v>100</v>
      </c>
      <c r="E85" s="3" t="str">
        <f>'CUOTA LTP'!C42</f>
        <v>ANTARTIC SEAFOOD S.A.</v>
      </c>
      <c r="F85" s="3" t="s">
        <v>89</v>
      </c>
      <c r="G85" s="3" t="s">
        <v>90</v>
      </c>
      <c r="H85" s="2">
        <f>'CUOTA LTP'!E43</f>
        <v>6.57728</v>
      </c>
      <c r="I85" s="2">
        <f>'CUOTA LTP'!F43</f>
        <v>0</v>
      </c>
      <c r="J85" s="2">
        <f>'CUOTA LTP'!G43</f>
        <v>9.9266999999999985</v>
      </c>
      <c r="K85" s="2">
        <f>'CUOTA LTP'!H43</f>
        <v>4.9169999999999998</v>
      </c>
      <c r="L85" s="2">
        <f>'CUOTA LTP'!I43</f>
        <v>5.0096999999999987</v>
      </c>
      <c r="M85" s="33">
        <f>'CUOTA LTP'!J43</f>
        <v>0.49533077457765429</v>
      </c>
      <c r="N85" s="10" t="s">
        <v>91</v>
      </c>
      <c r="O85" s="10">
        <f>'RESUMEN '!$B$3</f>
        <v>44561</v>
      </c>
      <c r="P85" s="39">
        <v>2021</v>
      </c>
      <c r="Q85" s="3"/>
    </row>
    <row r="86" spans="1:17" x14ac:dyDescent="0.25">
      <c r="A86" s="3" t="s">
        <v>20</v>
      </c>
      <c r="B86" s="3" t="s">
        <v>84</v>
      </c>
      <c r="C86" s="3" t="s">
        <v>94</v>
      </c>
      <c r="D86" s="3" t="s">
        <v>100</v>
      </c>
      <c r="E86" s="3" t="str">
        <f>'CUOTA LTP'!C42</f>
        <v>ANTARTIC SEAFOOD S.A.</v>
      </c>
      <c r="F86" s="3" t="s">
        <v>87</v>
      </c>
      <c r="G86" s="3" t="s">
        <v>90</v>
      </c>
      <c r="H86" s="2">
        <f>'CUOTA LTP'!K42</f>
        <v>66.101699999999994</v>
      </c>
      <c r="I86" s="2">
        <f>'CUOTA LTP'!L42</f>
        <v>-43</v>
      </c>
      <c r="J86" s="2">
        <f>'CUOTA LTP'!M42</f>
        <v>23.101699999999994</v>
      </c>
      <c r="K86" s="2">
        <f>'CUOTA LTP'!N42</f>
        <v>18.091999999999999</v>
      </c>
      <c r="L86" s="2">
        <f>'CUOTA LTP'!O42</f>
        <v>5.0096999999999952</v>
      </c>
      <c r="M86" s="33">
        <f>'CUOTA LTP'!P42</f>
        <v>0.78314582909482866</v>
      </c>
      <c r="N86" s="10" t="s">
        <v>91</v>
      </c>
      <c r="O86" s="10">
        <f>'RESUMEN '!$B$3</f>
        <v>44561</v>
      </c>
      <c r="P86" s="39">
        <v>2021</v>
      </c>
      <c r="Q86" s="3"/>
    </row>
    <row r="87" spans="1:17" x14ac:dyDescent="0.25">
      <c r="A87" s="3" t="s">
        <v>20</v>
      </c>
      <c r="B87" s="3" t="s">
        <v>84</v>
      </c>
      <c r="C87" s="3" t="s">
        <v>94</v>
      </c>
      <c r="D87" s="3" t="s">
        <v>100</v>
      </c>
      <c r="E87" s="3" t="str">
        <f>'CUOTA LTP'!C44</f>
        <v>QUINTERO S.A. PESQ.</v>
      </c>
      <c r="F87" s="3" t="s">
        <v>87</v>
      </c>
      <c r="G87" s="3" t="s">
        <v>88</v>
      </c>
      <c r="H87" s="2">
        <f>'CUOTA LTP'!E44</f>
        <v>111.51305000000001</v>
      </c>
      <c r="I87" s="2">
        <f>'CUOTA LTP'!F44</f>
        <v>-7.1316005999999996</v>
      </c>
      <c r="J87" s="2">
        <f>'CUOTA LTP'!G44</f>
        <v>104.38144940000001</v>
      </c>
      <c r="K87" s="2">
        <f>'CUOTA LTP'!H44</f>
        <v>19.814</v>
      </c>
      <c r="L87" s="2">
        <f>'CUOTA LTP'!I44</f>
        <v>84.567449400000015</v>
      </c>
      <c r="M87" s="33">
        <f>'CUOTA LTP'!J44</f>
        <v>0.18982300125064175</v>
      </c>
      <c r="N87" s="10" t="s">
        <v>91</v>
      </c>
      <c r="O87" s="10">
        <f>'RESUMEN '!$B$3</f>
        <v>44561</v>
      </c>
      <c r="P87" s="39">
        <v>2021</v>
      </c>
      <c r="Q87" s="3"/>
    </row>
    <row r="88" spans="1:17" x14ac:dyDescent="0.25">
      <c r="A88" s="3" t="s">
        <v>20</v>
      </c>
      <c r="B88" s="3" t="s">
        <v>84</v>
      </c>
      <c r="C88" s="3" t="s">
        <v>94</v>
      </c>
      <c r="D88" s="3" t="s">
        <v>100</v>
      </c>
      <c r="E88" s="3" t="str">
        <f>'CUOTA LTP'!C44</f>
        <v>QUINTERO S.A. PESQ.</v>
      </c>
      <c r="F88" s="3" t="s">
        <v>89</v>
      </c>
      <c r="G88" s="3" t="s">
        <v>90</v>
      </c>
      <c r="H88" s="2">
        <f>'CUOTA LTP'!E45</f>
        <v>12.321879999999998</v>
      </c>
      <c r="I88" s="2">
        <f>'CUOTA LTP'!F45</f>
        <v>0</v>
      </c>
      <c r="J88" s="2">
        <f>'CUOTA LTP'!G45</f>
        <v>96.889329400000008</v>
      </c>
      <c r="K88" s="2">
        <f>'CUOTA LTP'!H45</f>
        <v>0</v>
      </c>
      <c r="L88" s="2">
        <f>'CUOTA LTP'!I45</f>
        <v>96.889329400000008</v>
      </c>
      <c r="M88" s="33">
        <f>'CUOTA LTP'!J45</f>
        <v>0</v>
      </c>
      <c r="N88" s="10" t="s">
        <v>91</v>
      </c>
      <c r="O88" s="10">
        <f>'RESUMEN '!$B$3</f>
        <v>44561</v>
      </c>
      <c r="P88" s="39">
        <v>2021</v>
      </c>
      <c r="Q88" s="3"/>
    </row>
    <row r="89" spans="1:17" x14ac:dyDescent="0.25">
      <c r="A89" s="3" t="s">
        <v>20</v>
      </c>
      <c r="B89" s="3" t="s">
        <v>84</v>
      </c>
      <c r="C89" s="3" t="s">
        <v>94</v>
      </c>
      <c r="D89" s="3" t="s">
        <v>100</v>
      </c>
      <c r="E89" s="3" t="str">
        <f>'CUOTA LTP'!C44</f>
        <v>QUINTERO S.A. PESQ.</v>
      </c>
      <c r="F89" s="3" t="s">
        <v>87</v>
      </c>
      <c r="G89" s="3" t="s">
        <v>90</v>
      </c>
      <c r="H89" s="2">
        <f>'CUOTA LTP'!K44</f>
        <v>123.83493</v>
      </c>
      <c r="I89" s="2">
        <f>'CUOTA LTP'!L44</f>
        <v>-7.1316005999999996</v>
      </c>
      <c r="J89" s="2">
        <f>'CUOTA LTP'!M44</f>
        <v>116.7033294</v>
      </c>
      <c r="K89" s="2">
        <f>'CUOTA LTP'!N44</f>
        <v>19.814</v>
      </c>
      <c r="L89" s="2">
        <f>'CUOTA LTP'!O44</f>
        <v>96.889329400000008</v>
      </c>
      <c r="M89" s="33">
        <f>'CUOTA LTP'!P44</f>
        <v>0.16978093171693182</v>
      </c>
      <c r="N89" s="10" t="s">
        <v>91</v>
      </c>
      <c r="O89" s="10">
        <f>'RESUMEN '!$B$3</f>
        <v>44561</v>
      </c>
      <c r="P89" s="39">
        <v>2021</v>
      </c>
      <c r="Q89" s="3"/>
    </row>
    <row r="90" spans="1:17" x14ac:dyDescent="0.25">
      <c r="A90" s="3" t="s">
        <v>20</v>
      </c>
      <c r="B90" s="3" t="s">
        <v>84</v>
      </c>
      <c r="C90" s="3" t="s">
        <v>94</v>
      </c>
      <c r="D90" s="3" t="s">
        <v>100</v>
      </c>
      <c r="E90" s="3" t="str">
        <f>'CUOTA LTP'!C46</f>
        <v>BAYCIC BAYCIC MARIA</v>
      </c>
      <c r="F90" s="3" t="s">
        <v>87</v>
      </c>
      <c r="G90" s="3" t="s">
        <v>88</v>
      </c>
      <c r="H90" s="2">
        <f>'CUOTA LTP'!E46</f>
        <v>1.086E-2</v>
      </c>
      <c r="I90" s="2">
        <f>'CUOTA LTP'!F46</f>
        <v>0</v>
      </c>
      <c r="J90" s="2">
        <f>'CUOTA LTP'!G46</f>
        <v>1.086E-2</v>
      </c>
      <c r="K90" s="2">
        <f>'CUOTA LTP'!H46</f>
        <v>0</v>
      </c>
      <c r="L90" s="2">
        <f>'CUOTA LTP'!I46</f>
        <v>1.086E-2</v>
      </c>
      <c r="M90" s="33">
        <f>'CUOTA LTP'!J46</f>
        <v>0</v>
      </c>
      <c r="N90" s="10" t="s">
        <v>91</v>
      </c>
      <c r="O90" s="10">
        <f>'RESUMEN '!$B$3</f>
        <v>44561</v>
      </c>
      <c r="P90" s="39">
        <v>2021</v>
      </c>
      <c r="Q90" s="3"/>
    </row>
    <row r="91" spans="1:17" x14ac:dyDescent="0.25">
      <c r="A91" s="3" t="s">
        <v>20</v>
      </c>
      <c r="B91" s="3" t="s">
        <v>84</v>
      </c>
      <c r="C91" s="3" t="s">
        <v>94</v>
      </c>
      <c r="D91" s="3" t="s">
        <v>100</v>
      </c>
      <c r="E91" s="3" t="str">
        <f>'CUOTA LTP'!C46</f>
        <v>BAYCIC BAYCIC MARIA</v>
      </c>
      <c r="F91" s="3" t="s">
        <v>89</v>
      </c>
      <c r="G91" s="3" t="s">
        <v>90</v>
      </c>
      <c r="H91" s="2">
        <f>'CUOTA LTP'!E47</f>
        <v>1.1999999999999999E-3</v>
      </c>
      <c r="I91" s="2">
        <f>'CUOTA LTP'!F47</f>
        <v>0</v>
      </c>
      <c r="J91" s="2">
        <f>'CUOTA LTP'!G47</f>
        <v>1.206E-2</v>
      </c>
      <c r="K91" s="2">
        <f>'CUOTA LTP'!H47</f>
        <v>0</v>
      </c>
      <c r="L91" s="2">
        <f>'CUOTA LTP'!I47</f>
        <v>1.206E-2</v>
      </c>
      <c r="M91" s="33">
        <f>'CUOTA LTP'!J47</f>
        <v>0</v>
      </c>
      <c r="N91" s="10" t="s">
        <v>91</v>
      </c>
      <c r="O91" s="10">
        <f>'RESUMEN '!$B$3</f>
        <v>44561</v>
      </c>
      <c r="P91" s="39">
        <v>2021</v>
      </c>
      <c r="Q91" s="3"/>
    </row>
    <row r="92" spans="1:17" x14ac:dyDescent="0.25">
      <c r="A92" s="3" t="s">
        <v>20</v>
      </c>
      <c r="B92" s="3" t="s">
        <v>84</v>
      </c>
      <c r="C92" s="3" t="s">
        <v>94</v>
      </c>
      <c r="D92" s="3" t="s">
        <v>100</v>
      </c>
      <c r="E92" s="3" t="str">
        <f>'CUOTA LTP'!C46</f>
        <v>BAYCIC BAYCIC MARIA</v>
      </c>
      <c r="F92" s="3" t="s">
        <v>87</v>
      </c>
      <c r="G92" s="3" t="s">
        <v>90</v>
      </c>
      <c r="H92" s="2">
        <f>'CUOTA LTP'!K46</f>
        <v>1.206E-2</v>
      </c>
      <c r="I92" s="2">
        <f>'CUOTA LTP'!L46</f>
        <v>0</v>
      </c>
      <c r="J92" s="2">
        <f>'CUOTA LTP'!M46</f>
        <v>1.206E-2</v>
      </c>
      <c r="K92" s="2">
        <f>'CUOTA LTP'!N46</f>
        <v>0</v>
      </c>
      <c r="L92" s="2">
        <f>'CUOTA LTP'!O46</f>
        <v>1.206E-2</v>
      </c>
      <c r="M92" s="33">
        <f>'CUOTA LTP'!P46</f>
        <v>0</v>
      </c>
      <c r="N92" s="10" t="s">
        <v>91</v>
      </c>
      <c r="O92" s="10">
        <f>'RESUMEN '!$B$3</f>
        <v>44561</v>
      </c>
      <c r="P92" s="39">
        <v>2021</v>
      </c>
      <c r="Q92" s="3"/>
    </row>
    <row r="93" spans="1:17" x14ac:dyDescent="0.25">
      <c r="A93" s="3" t="s">
        <v>20</v>
      </c>
      <c r="B93" s="3" t="s">
        <v>84</v>
      </c>
      <c r="C93" s="3" t="s">
        <v>94</v>
      </c>
      <c r="D93" s="3" t="s">
        <v>100</v>
      </c>
      <c r="E93" s="3" t="str">
        <f>'CUOTA LTP'!C48</f>
        <v>BRACPESCA S.A.</v>
      </c>
      <c r="F93" s="3" t="s">
        <v>87</v>
      </c>
      <c r="G93" s="3" t="s">
        <v>88</v>
      </c>
      <c r="H93" s="2">
        <f>'CUOTA LTP'!E48</f>
        <v>58.500429999999994</v>
      </c>
      <c r="I93" s="2">
        <f>'CUOTA LTP'!F48</f>
        <v>23.134976199999997</v>
      </c>
      <c r="J93" s="2">
        <f>'CUOTA LTP'!G48</f>
        <v>81.635406199999991</v>
      </c>
      <c r="K93" s="2">
        <f>'CUOTA LTP'!H48</f>
        <v>11.128</v>
      </c>
      <c r="L93" s="2">
        <f>'CUOTA LTP'!I48</f>
        <v>70.507406199999991</v>
      </c>
      <c r="M93" s="33">
        <f>'CUOTA LTP'!J48</f>
        <v>0.13631340270099621</v>
      </c>
      <c r="N93" s="10" t="s">
        <v>91</v>
      </c>
      <c r="O93" s="10">
        <f>'RESUMEN '!$B$3</f>
        <v>44561</v>
      </c>
      <c r="P93" s="39">
        <v>2021</v>
      </c>
      <c r="Q93" s="3"/>
    </row>
    <row r="94" spans="1:17" x14ac:dyDescent="0.25">
      <c r="A94" s="3" t="s">
        <v>20</v>
      </c>
      <c r="B94" s="3" t="s">
        <v>84</v>
      </c>
      <c r="C94" s="3" t="s">
        <v>94</v>
      </c>
      <c r="D94" s="3" t="s">
        <v>100</v>
      </c>
      <c r="E94" s="3" t="str">
        <f>'CUOTA LTP'!C48</f>
        <v>BRACPESCA S.A.</v>
      </c>
      <c r="F94" s="3" t="s">
        <v>89</v>
      </c>
      <c r="G94" s="3" t="s">
        <v>90</v>
      </c>
      <c r="H94" s="2">
        <f>'CUOTA LTP'!E49</f>
        <v>6.4641399999999987</v>
      </c>
      <c r="I94" s="2">
        <f>'CUOTA LTP'!F49</f>
        <v>0</v>
      </c>
      <c r="J94" s="2">
        <f>'CUOTA LTP'!G49</f>
        <v>76.971546199999992</v>
      </c>
      <c r="K94" s="2">
        <f>'CUOTA LTP'!H49</f>
        <v>0.35499999999999998</v>
      </c>
      <c r="L94" s="2">
        <f>'CUOTA LTP'!I49</f>
        <v>76.616546199999988</v>
      </c>
      <c r="M94" s="33">
        <f>'CUOTA LTP'!J49</f>
        <v>4.6120939168557331E-3</v>
      </c>
      <c r="N94" s="10" t="s">
        <v>91</v>
      </c>
      <c r="O94" s="10">
        <f>'RESUMEN '!$B$3</f>
        <v>44561</v>
      </c>
      <c r="P94" s="39">
        <v>2021</v>
      </c>
      <c r="Q94" s="3"/>
    </row>
    <row r="95" spans="1:17" x14ac:dyDescent="0.25">
      <c r="A95" s="3" t="s">
        <v>20</v>
      </c>
      <c r="B95" s="3" t="s">
        <v>84</v>
      </c>
      <c r="C95" s="3" t="s">
        <v>94</v>
      </c>
      <c r="D95" s="3" t="s">
        <v>100</v>
      </c>
      <c r="E95" s="3" t="str">
        <f>'CUOTA LTP'!C48</f>
        <v>BRACPESCA S.A.</v>
      </c>
      <c r="F95" s="3" t="s">
        <v>87</v>
      </c>
      <c r="G95" s="3" t="s">
        <v>90</v>
      </c>
      <c r="H95" s="2">
        <f>'CUOTA LTP'!K48</f>
        <v>64.964569999999995</v>
      </c>
      <c r="I95" s="2">
        <f>'CUOTA LTP'!L48</f>
        <v>23.134976199999997</v>
      </c>
      <c r="J95" s="2">
        <f>'CUOTA LTP'!M48</f>
        <v>88.099546199999992</v>
      </c>
      <c r="K95" s="2">
        <f>'CUOTA LTP'!N48</f>
        <v>11.483000000000001</v>
      </c>
      <c r="L95" s="2">
        <f>'CUOTA LTP'!O48</f>
        <v>76.616546199999988</v>
      </c>
      <c r="M95" s="33">
        <f>'CUOTA LTP'!P48</f>
        <v>0.13034119351684018</v>
      </c>
      <c r="N95" s="10" t="s">
        <v>91</v>
      </c>
      <c r="O95" s="10">
        <f>'RESUMEN '!$B$3</f>
        <v>44561</v>
      </c>
      <c r="P95" s="39">
        <v>2021</v>
      </c>
      <c r="Q95" s="3"/>
    </row>
    <row r="96" spans="1:17" x14ac:dyDescent="0.25">
      <c r="A96" s="3" t="s">
        <v>20</v>
      </c>
      <c r="B96" s="3" t="s">
        <v>84</v>
      </c>
      <c r="C96" s="3" t="s">
        <v>94</v>
      </c>
      <c r="D96" s="3" t="s">
        <v>100</v>
      </c>
      <c r="E96" s="3" t="str">
        <f>'CUOTA LTP'!C50</f>
        <v>CAMANCHACA PESCA SUR S.A.</v>
      </c>
      <c r="F96" s="3" t="s">
        <v>87</v>
      </c>
      <c r="G96" s="3" t="s">
        <v>88</v>
      </c>
      <c r="H96" s="2">
        <f>'CUOTA LTP'!E50</f>
        <v>1.90296</v>
      </c>
      <c r="I96" s="2">
        <f>'CUOTA LTP'!F50</f>
        <v>0</v>
      </c>
      <c r="J96" s="2">
        <f>'CUOTA LTP'!G50</f>
        <v>1.90296</v>
      </c>
      <c r="K96" s="2">
        <f>'CUOTA LTP'!H50</f>
        <v>0</v>
      </c>
      <c r="L96" s="2">
        <f>'CUOTA LTP'!I50</f>
        <v>1.90296</v>
      </c>
      <c r="M96" s="33">
        <f>'CUOTA LTP'!J50</f>
        <v>0</v>
      </c>
      <c r="N96" s="10" t="s">
        <v>91</v>
      </c>
      <c r="O96" s="10">
        <f>'RESUMEN '!$B$3</f>
        <v>44561</v>
      </c>
      <c r="P96" s="39">
        <v>2021</v>
      </c>
      <c r="Q96" s="3"/>
    </row>
    <row r="97" spans="1:17" x14ac:dyDescent="0.25">
      <c r="A97" s="3" t="s">
        <v>20</v>
      </c>
      <c r="B97" s="3" t="s">
        <v>84</v>
      </c>
      <c r="C97" s="3" t="s">
        <v>94</v>
      </c>
      <c r="D97" s="3" t="s">
        <v>100</v>
      </c>
      <c r="E97" s="3" t="str">
        <f>'CUOTA LTP'!C50</f>
        <v>CAMANCHACA PESCA SUR S.A.</v>
      </c>
      <c r="F97" s="3" t="s">
        <v>89</v>
      </c>
      <c r="G97" s="3" t="s">
        <v>90</v>
      </c>
      <c r="H97" s="2">
        <f>'CUOTA LTP'!E51</f>
        <v>0.21026999999999998</v>
      </c>
      <c r="I97" s="2">
        <f>'CUOTA LTP'!F51</f>
        <v>0</v>
      </c>
      <c r="J97" s="2">
        <f>'CUOTA LTP'!G51</f>
        <v>2.1132300000000002</v>
      </c>
      <c r="K97" s="2">
        <f>'CUOTA LTP'!H51</f>
        <v>0</v>
      </c>
      <c r="L97" s="2">
        <f>'CUOTA LTP'!I51</f>
        <v>2.1132300000000002</v>
      </c>
      <c r="M97" s="33">
        <f>'CUOTA LTP'!J51</f>
        <v>0</v>
      </c>
      <c r="N97" s="10" t="s">
        <v>91</v>
      </c>
      <c r="O97" s="10">
        <f>'RESUMEN '!$B$3</f>
        <v>44561</v>
      </c>
      <c r="P97" s="39">
        <v>2021</v>
      </c>
      <c r="Q97" s="3"/>
    </row>
    <row r="98" spans="1:17" x14ac:dyDescent="0.25">
      <c r="A98" s="3" t="s">
        <v>20</v>
      </c>
      <c r="B98" s="3" t="s">
        <v>84</v>
      </c>
      <c r="C98" s="3" t="s">
        <v>94</v>
      </c>
      <c r="D98" s="3" t="s">
        <v>100</v>
      </c>
      <c r="E98" s="3" t="str">
        <f>'CUOTA LTP'!C50</f>
        <v>CAMANCHACA PESCA SUR S.A.</v>
      </c>
      <c r="F98" s="3" t="s">
        <v>87</v>
      </c>
      <c r="G98" s="3" t="s">
        <v>90</v>
      </c>
      <c r="H98" s="2">
        <f>'CUOTA LTP'!K50</f>
        <v>2.1132300000000002</v>
      </c>
      <c r="I98" s="2">
        <f>'CUOTA LTP'!L50</f>
        <v>0</v>
      </c>
      <c r="J98" s="2">
        <f>'CUOTA LTP'!M50</f>
        <v>2.1132300000000002</v>
      </c>
      <c r="K98" s="2">
        <f>'CUOTA LTP'!N50</f>
        <v>0</v>
      </c>
      <c r="L98" s="2">
        <f>'CUOTA LTP'!O50</f>
        <v>2.1132300000000002</v>
      </c>
      <c r="M98" s="33">
        <f>'CUOTA LTP'!P50</f>
        <v>0</v>
      </c>
      <c r="N98" s="10" t="s">
        <v>91</v>
      </c>
      <c r="O98" s="10">
        <f>'RESUMEN '!$B$3</f>
        <v>44561</v>
      </c>
      <c r="P98" s="39">
        <v>2021</v>
      </c>
      <c r="Q98" s="3"/>
    </row>
    <row r="99" spans="1:17" x14ac:dyDescent="0.25">
      <c r="A99" s="3" t="s">
        <v>20</v>
      </c>
      <c r="B99" s="3" t="s">
        <v>84</v>
      </c>
      <c r="C99" s="3" t="s">
        <v>94</v>
      </c>
      <c r="D99" s="3" t="s">
        <v>100</v>
      </c>
      <c r="E99" s="3" t="str">
        <f>'CUOTA LTP'!C52</f>
        <v>ANTONIO CRUZ CORDOVA NAKOUZI E.I.R.L.</v>
      </c>
      <c r="F99" s="3" t="s">
        <v>87</v>
      </c>
      <c r="G99" s="3" t="s">
        <v>88</v>
      </c>
      <c r="H99" s="2">
        <f>'CUOTA LTP'!E52</f>
        <v>1.6988700000000001</v>
      </c>
      <c r="I99" s="2">
        <f>'CUOTA LTP'!F52</f>
        <v>0</v>
      </c>
      <c r="J99" s="2">
        <f>'CUOTA LTP'!G52</f>
        <v>1.6988700000000001</v>
      </c>
      <c r="K99" s="2">
        <f>'CUOTA LTP'!H52</f>
        <v>0</v>
      </c>
      <c r="L99" s="2">
        <f>'CUOTA LTP'!I52</f>
        <v>1.6988700000000001</v>
      </c>
      <c r="M99" s="33">
        <f>'CUOTA LTP'!J52</f>
        <v>0</v>
      </c>
      <c r="N99" s="10" t="s">
        <v>91</v>
      </c>
      <c r="O99" s="10">
        <f>'RESUMEN '!$B$3</f>
        <v>44561</v>
      </c>
      <c r="P99" s="39">
        <v>2021</v>
      </c>
      <c r="Q99" s="3"/>
    </row>
    <row r="100" spans="1:17" x14ac:dyDescent="0.25">
      <c r="A100" s="3" t="s">
        <v>20</v>
      </c>
      <c r="B100" s="3" t="s">
        <v>84</v>
      </c>
      <c r="C100" s="3" t="s">
        <v>94</v>
      </c>
      <c r="D100" s="3" t="s">
        <v>100</v>
      </c>
      <c r="E100" s="3" t="str">
        <f>'CUOTA LTP'!C52</f>
        <v>ANTONIO CRUZ CORDOVA NAKOUZI E.I.R.L.</v>
      </c>
      <c r="F100" s="3" t="s">
        <v>89</v>
      </c>
      <c r="G100" s="3" t="s">
        <v>90</v>
      </c>
      <c r="H100" s="2">
        <f>'CUOTA LTP'!E53</f>
        <v>0.18772</v>
      </c>
      <c r="I100" s="2">
        <f>'CUOTA LTP'!F53</f>
        <v>0</v>
      </c>
      <c r="J100" s="2">
        <f>'CUOTA LTP'!G53</f>
        <v>1.88659</v>
      </c>
      <c r="K100" s="2">
        <f>'CUOTA LTP'!H53</f>
        <v>0</v>
      </c>
      <c r="L100" s="2">
        <f>'CUOTA LTP'!I53</f>
        <v>1.88659</v>
      </c>
      <c r="M100" s="33">
        <f>'CUOTA LTP'!J53</f>
        <v>0</v>
      </c>
      <c r="N100" s="10" t="s">
        <v>91</v>
      </c>
      <c r="O100" s="10">
        <f>'RESUMEN '!$B$3</f>
        <v>44561</v>
      </c>
      <c r="P100" s="39">
        <v>2021</v>
      </c>
      <c r="Q100" s="3"/>
    </row>
    <row r="101" spans="1:17" x14ac:dyDescent="0.25">
      <c r="A101" s="3" t="s">
        <v>20</v>
      </c>
      <c r="B101" s="3" t="s">
        <v>84</v>
      </c>
      <c r="C101" s="3" t="s">
        <v>94</v>
      </c>
      <c r="D101" s="3" t="s">
        <v>100</v>
      </c>
      <c r="E101" s="3" t="str">
        <f>'CUOTA LTP'!C52</f>
        <v>ANTONIO CRUZ CORDOVA NAKOUZI E.I.R.L.</v>
      </c>
      <c r="F101" s="3" t="s">
        <v>87</v>
      </c>
      <c r="G101" s="3" t="s">
        <v>90</v>
      </c>
      <c r="H101" s="2">
        <f>'CUOTA LTP'!K52</f>
        <v>1.88659</v>
      </c>
      <c r="I101" s="2">
        <f>'CUOTA LTP'!L52</f>
        <v>0</v>
      </c>
      <c r="J101" s="2">
        <f>'CUOTA LTP'!M52</f>
        <v>1.88659</v>
      </c>
      <c r="K101" s="2">
        <f>'CUOTA LTP'!N52</f>
        <v>0</v>
      </c>
      <c r="L101" s="2">
        <f>'CUOTA LTP'!O52</f>
        <v>1.88659</v>
      </c>
      <c r="M101" s="33">
        <f>'CUOTA LTP'!P52</f>
        <v>0</v>
      </c>
      <c r="N101" s="10" t="s">
        <v>91</v>
      </c>
      <c r="O101" s="10">
        <f>'RESUMEN '!$B$3</f>
        <v>44561</v>
      </c>
      <c r="P101" s="39">
        <v>2021</v>
      </c>
      <c r="Q101" s="3"/>
    </row>
    <row r="102" spans="1:17" x14ac:dyDescent="0.25">
      <c r="A102" s="3" t="s">
        <v>20</v>
      </c>
      <c r="B102" s="3" t="s">
        <v>84</v>
      </c>
      <c r="C102" s="3" t="s">
        <v>94</v>
      </c>
      <c r="D102" s="3" t="s">
        <v>100</v>
      </c>
      <c r="E102" s="3" t="str">
        <f>'CUOTA LTP'!C54</f>
        <v>GRIMAR S.A. PESQ.</v>
      </c>
      <c r="F102" s="3" t="s">
        <v>87</v>
      </c>
      <c r="G102" s="3" t="s">
        <v>88</v>
      </c>
      <c r="H102" s="2">
        <f>'CUOTA LTP'!E54</f>
        <v>1.02772</v>
      </c>
      <c r="I102" s="2">
        <f>'CUOTA LTP'!F54</f>
        <v>0</v>
      </c>
      <c r="J102" s="2">
        <f>'CUOTA LTP'!G54</f>
        <v>1.02772</v>
      </c>
      <c r="K102" s="2">
        <f>'CUOTA LTP'!H54</f>
        <v>0</v>
      </c>
      <c r="L102" s="2">
        <f>'CUOTA LTP'!I54</f>
        <v>1.02772</v>
      </c>
      <c r="M102" s="33">
        <f>'CUOTA LTP'!J54</f>
        <v>0</v>
      </c>
      <c r="N102" s="10" t="s">
        <v>91</v>
      </c>
      <c r="O102" s="10">
        <f>'RESUMEN '!$B$3</f>
        <v>44561</v>
      </c>
      <c r="P102" s="39">
        <v>2021</v>
      </c>
      <c r="Q102" s="3"/>
    </row>
    <row r="103" spans="1:17" x14ac:dyDescent="0.25">
      <c r="A103" s="3" t="s">
        <v>20</v>
      </c>
      <c r="B103" s="3" t="s">
        <v>84</v>
      </c>
      <c r="C103" s="3" t="s">
        <v>94</v>
      </c>
      <c r="D103" s="3" t="s">
        <v>100</v>
      </c>
      <c r="E103" s="3" t="str">
        <f>'CUOTA LTP'!C54</f>
        <v>GRIMAR S.A. PESQ.</v>
      </c>
      <c r="F103" s="3" t="s">
        <v>89</v>
      </c>
      <c r="G103" s="3" t="s">
        <v>90</v>
      </c>
      <c r="H103" s="2">
        <f>'CUOTA LTP'!E55</f>
        <v>0.11355999999999999</v>
      </c>
      <c r="I103" s="2">
        <f>'CUOTA LTP'!F55</f>
        <v>0</v>
      </c>
      <c r="J103" s="2">
        <f>'CUOTA LTP'!G55</f>
        <v>1.1412800000000001</v>
      </c>
      <c r="K103" s="2">
        <f>'CUOTA LTP'!H55</f>
        <v>0</v>
      </c>
      <c r="L103" s="2">
        <f>'CUOTA LTP'!I55</f>
        <v>1.1412800000000001</v>
      </c>
      <c r="M103" s="33">
        <f>'CUOTA LTP'!J55</f>
        <v>0</v>
      </c>
      <c r="N103" s="10" t="s">
        <v>91</v>
      </c>
      <c r="O103" s="10">
        <f>'RESUMEN '!$B$3</f>
        <v>44561</v>
      </c>
      <c r="P103" s="39">
        <v>2021</v>
      </c>
      <c r="Q103" s="3"/>
    </row>
    <row r="104" spans="1:17" x14ac:dyDescent="0.25">
      <c r="A104" s="3" t="s">
        <v>20</v>
      </c>
      <c r="B104" s="3" t="s">
        <v>84</v>
      </c>
      <c r="C104" s="3" t="s">
        <v>94</v>
      </c>
      <c r="D104" s="3" t="s">
        <v>100</v>
      </c>
      <c r="E104" s="3" t="str">
        <f>'CUOTA LTP'!C54</f>
        <v>GRIMAR S.A. PESQ.</v>
      </c>
      <c r="F104" s="3" t="s">
        <v>87</v>
      </c>
      <c r="G104" s="3" t="s">
        <v>90</v>
      </c>
      <c r="H104" s="2">
        <f>'CUOTA LTP'!K54</f>
        <v>1.1412800000000001</v>
      </c>
      <c r="I104" s="2">
        <f>'CUOTA LTP'!L54</f>
        <v>0</v>
      </c>
      <c r="J104" s="2">
        <f>'CUOTA LTP'!M54</f>
        <v>1.1412800000000001</v>
      </c>
      <c r="K104" s="2">
        <f>'CUOTA LTP'!N54</f>
        <v>0</v>
      </c>
      <c r="L104" s="2">
        <f>'CUOTA LTP'!O54</f>
        <v>1.1412800000000001</v>
      </c>
      <c r="M104" s="33">
        <f>'CUOTA LTP'!P54</f>
        <v>0</v>
      </c>
      <c r="N104" s="10" t="s">
        <v>91</v>
      </c>
      <c r="O104" s="10">
        <f>'RESUMEN '!$B$3</f>
        <v>44561</v>
      </c>
      <c r="P104" s="39">
        <v>2021</v>
      </c>
      <c r="Q104" s="3"/>
    </row>
    <row r="105" spans="1:17" x14ac:dyDescent="0.25">
      <c r="A105" s="3" t="s">
        <v>20</v>
      </c>
      <c r="B105" s="3" t="s">
        <v>84</v>
      </c>
      <c r="C105" s="3" t="s">
        <v>94</v>
      </c>
      <c r="D105" s="3" t="s">
        <v>100</v>
      </c>
      <c r="E105" s="3" t="str">
        <f>'CUOTA LTP'!C56</f>
        <v>ISLADAMAS S.A. PESQ.</v>
      </c>
      <c r="F105" s="3" t="s">
        <v>87</v>
      </c>
      <c r="G105" s="3" t="s">
        <v>88</v>
      </c>
      <c r="H105" s="2">
        <f>'CUOTA LTP'!E56</f>
        <v>108.33588000000003</v>
      </c>
      <c r="I105" s="2">
        <f>'CUOTA LTP'!F56</f>
        <v>-79.489456200000006</v>
      </c>
      <c r="J105" s="2">
        <f>'CUOTA LTP'!G56</f>
        <v>28.846423800000025</v>
      </c>
      <c r="K105" s="2">
        <f>'CUOTA LTP'!H56</f>
        <v>0.22</v>
      </c>
      <c r="L105" s="2">
        <f>'CUOTA LTP'!I56</f>
        <v>28.626423800000026</v>
      </c>
      <c r="M105" s="33">
        <f>'CUOTA LTP'!J56</f>
        <v>7.6265952939372616E-3</v>
      </c>
      <c r="N105" s="10" t="s">
        <v>91</v>
      </c>
      <c r="O105" s="10">
        <f>'RESUMEN '!$B$3</f>
        <v>44561</v>
      </c>
      <c r="P105" s="39">
        <v>2021</v>
      </c>
      <c r="Q105" s="3"/>
    </row>
    <row r="106" spans="1:17" x14ac:dyDescent="0.25">
      <c r="A106" s="3" t="s">
        <v>20</v>
      </c>
      <c r="B106" s="3" t="s">
        <v>84</v>
      </c>
      <c r="C106" s="3" t="s">
        <v>94</v>
      </c>
      <c r="D106" s="3" t="s">
        <v>100</v>
      </c>
      <c r="E106" s="3" t="str">
        <f>'CUOTA LTP'!C56</f>
        <v>ISLADAMAS S.A. PESQ.</v>
      </c>
      <c r="F106" s="3" t="s">
        <v>89</v>
      </c>
      <c r="G106" s="3" t="s">
        <v>90</v>
      </c>
      <c r="H106" s="2">
        <f>'CUOTA LTP'!E57</f>
        <v>11.970809999999995</v>
      </c>
      <c r="I106" s="2">
        <f>'CUOTA LTP'!F57</f>
        <v>0</v>
      </c>
      <c r="J106" s="2">
        <f>'CUOTA LTP'!G57</f>
        <v>40.597233800000019</v>
      </c>
      <c r="K106" s="2">
        <f>'CUOTA LTP'!H57</f>
        <v>0</v>
      </c>
      <c r="L106" s="2">
        <f>'CUOTA LTP'!I57</f>
        <v>40.597233800000019</v>
      </c>
      <c r="M106" s="33">
        <f>'CUOTA LTP'!J57</f>
        <v>0</v>
      </c>
      <c r="N106" s="10" t="s">
        <v>91</v>
      </c>
      <c r="O106" s="10">
        <f>'RESUMEN '!$B$3</f>
        <v>44561</v>
      </c>
      <c r="P106" s="39">
        <v>2021</v>
      </c>
      <c r="Q106" s="3"/>
    </row>
    <row r="107" spans="1:17" x14ac:dyDescent="0.25">
      <c r="A107" s="3" t="s">
        <v>20</v>
      </c>
      <c r="B107" s="3" t="s">
        <v>84</v>
      </c>
      <c r="C107" s="3" t="s">
        <v>94</v>
      </c>
      <c r="D107" s="3" t="s">
        <v>100</v>
      </c>
      <c r="E107" s="3" t="str">
        <f>'CUOTA LTP'!C56</f>
        <v>ISLADAMAS S.A. PESQ.</v>
      </c>
      <c r="F107" s="3" t="s">
        <v>87</v>
      </c>
      <c r="G107" s="3" t="s">
        <v>90</v>
      </c>
      <c r="H107" s="2">
        <f>'CUOTA LTP'!K56</f>
        <v>120.30669000000003</v>
      </c>
      <c r="I107" s="2">
        <f>'CUOTA LTP'!L56</f>
        <v>-79.489456200000006</v>
      </c>
      <c r="J107" s="2">
        <f>'CUOTA LTP'!M56</f>
        <v>40.817233800000025</v>
      </c>
      <c r="K107" s="2">
        <f>'CUOTA LTP'!N56</f>
        <v>0.22</v>
      </c>
      <c r="L107" s="2">
        <f>'CUOTA LTP'!O56</f>
        <v>40.597233800000026</v>
      </c>
      <c r="M107" s="33">
        <f>'CUOTA LTP'!P56</f>
        <v>5.3898801932040739E-3</v>
      </c>
      <c r="N107" s="10" t="s">
        <v>91</v>
      </c>
      <c r="O107" s="10">
        <f>'RESUMEN '!$B$3</f>
        <v>44561</v>
      </c>
      <c r="P107" s="39">
        <v>2021</v>
      </c>
      <c r="Q107" s="3"/>
    </row>
    <row r="108" spans="1:17" x14ac:dyDescent="0.25">
      <c r="A108" s="3" t="s">
        <v>20</v>
      </c>
      <c r="B108" s="3" t="s">
        <v>84</v>
      </c>
      <c r="C108" s="3" t="s">
        <v>94</v>
      </c>
      <c r="D108" s="3" t="s">
        <v>100</v>
      </c>
      <c r="E108" s="3" t="str">
        <f>'CUOTA LTP'!C58</f>
        <v>LANDES S.A. PESQ.</v>
      </c>
      <c r="F108" s="3" t="s">
        <v>87</v>
      </c>
      <c r="G108" s="3" t="s">
        <v>88</v>
      </c>
      <c r="H108" s="2">
        <f>'CUOTA LTP'!E58</f>
        <v>0.56098999999999999</v>
      </c>
      <c r="I108" s="2">
        <f>'CUOTA LTP'!F58</f>
        <v>0</v>
      </c>
      <c r="J108" s="2">
        <f>'CUOTA LTP'!G58</f>
        <v>0.56098999999999999</v>
      </c>
      <c r="K108" s="2">
        <f>'CUOTA LTP'!H58</f>
        <v>0</v>
      </c>
      <c r="L108" s="2">
        <f>'CUOTA LTP'!I58</f>
        <v>0.56098999999999999</v>
      </c>
      <c r="M108" s="33">
        <f>'CUOTA LTP'!J58</f>
        <v>0</v>
      </c>
      <c r="N108" s="10" t="s">
        <v>91</v>
      </c>
      <c r="O108" s="10">
        <f>'RESUMEN '!$B$3</f>
        <v>44561</v>
      </c>
      <c r="P108" s="39">
        <v>2021</v>
      </c>
      <c r="Q108" s="3"/>
    </row>
    <row r="109" spans="1:17" x14ac:dyDescent="0.25">
      <c r="A109" s="3" t="s">
        <v>20</v>
      </c>
      <c r="B109" s="3" t="s">
        <v>84</v>
      </c>
      <c r="C109" s="3" t="s">
        <v>94</v>
      </c>
      <c r="D109" s="3" t="s">
        <v>100</v>
      </c>
      <c r="E109" s="3" t="str">
        <f>'CUOTA LTP'!C58</f>
        <v>LANDES S.A. PESQ.</v>
      </c>
      <c r="F109" s="3" t="s">
        <v>89</v>
      </c>
      <c r="G109" s="3" t="s">
        <v>90</v>
      </c>
      <c r="H109" s="2">
        <f>'CUOTA LTP'!E59</f>
        <v>6.1990000000000003E-2</v>
      </c>
      <c r="I109" s="2">
        <f>'CUOTA LTP'!F59</f>
        <v>0</v>
      </c>
      <c r="J109" s="2">
        <f>'CUOTA LTP'!G59</f>
        <v>0.62297999999999998</v>
      </c>
      <c r="K109" s="2">
        <f>'CUOTA LTP'!H59</f>
        <v>0</v>
      </c>
      <c r="L109" s="2">
        <f>'CUOTA LTP'!I59</f>
        <v>0.62297999999999998</v>
      </c>
      <c r="M109" s="33">
        <f>'CUOTA LTP'!J59</f>
        <v>0</v>
      </c>
      <c r="N109" s="10" t="s">
        <v>91</v>
      </c>
      <c r="O109" s="10">
        <f>'RESUMEN '!$B$3</f>
        <v>44561</v>
      </c>
      <c r="P109" s="39">
        <v>2021</v>
      </c>
      <c r="Q109" s="3"/>
    </row>
    <row r="110" spans="1:17" x14ac:dyDescent="0.25">
      <c r="A110" s="3" t="s">
        <v>20</v>
      </c>
      <c r="B110" s="3" t="s">
        <v>84</v>
      </c>
      <c r="C110" s="3" t="s">
        <v>94</v>
      </c>
      <c r="D110" s="3" t="s">
        <v>100</v>
      </c>
      <c r="E110" s="3" t="str">
        <f>'CUOTA LTP'!C58</f>
        <v>LANDES S.A. PESQ.</v>
      </c>
      <c r="F110" s="3" t="s">
        <v>87</v>
      </c>
      <c r="G110" s="3" t="s">
        <v>90</v>
      </c>
      <c r="H110" s="2">
        <f>'CUOTA LTP'!K58</f>
        <v>0.62297999999999998</v>
      </c>
      <c r="I110" s="2">
        <f>'CUOTA LTP'!L58</f>
        <v>0</v>
      </c>
      <c r="J110" s="2">
        <f>'CUOTA LTP'!M58</f>
        <v>0.62297999999999998</v>
      </c>
      <c r="K110" s="2">
        <f>'CUOTA LTP'!N58</f>
        <v>0</v>
      </c>
      <c r="L110" s="2">
        <f>'CUOTA LTP'!O58</f>
        <v>0.62297999999999998</v>
      </c>
      <c r="M110" s="33">
        <f>'CUOTA LTP'!P58</f>
        <v>0</v>
      </c>
      <c r="N110" s="10" t="s">
        <v>91</v>
      </c>
      <c r="O110" s="10">
        <f>'RESUMEN '!$B$3</f>
        <v>44561</v>
      </c>
      <c r="P110" s="39">
        <v>2021</v>
      </c>
      <c r="Q110" s="3"/>
    </row>
    <row r="111" spans="1:17" x14ac:dyDescent="0.25">
      <c r="A111" s="3" t="s">
        <v>20</v>
      </c>
      <c r="B111" s="3" t="s">
        <v>84</v>
      </c>
      <c r="C111" s="3" t="s">
        <v>94</v>
      </c>
      <c r="D111" s="3" t="s">
        <v>100</v>
      </c>
      <c r="E111" s="3" t="str">
        <f>'CUOTA LTP'!C60</f>
        <v>ZUÑIGA ROMERO GONZALO</v>
      </c>
      <c r="F111" s="3" t="s">
        <v>87</v>
      </c>
      <c r="G111" s="3" t="s">
        <v>88</v>
      </c>
      <c r="H111" s="2">
        <f>'CUOTA LTP'!E60</f>
        <v>11.759819999999999</v>
      </c>
      <c r="I111" s="2">
        <f>'CUOTA LTP'!F60</f>
        <v>0</v>
      </c>
      <c r="J111" s="2">
        <f>'CUOTA LTP'!G60</f>
        <v>11.759819999999999</v>
      </c>
      <c r="K111" s="2">
        <f>'CUOTA LTP'!H60</f>
        <v>0</v>
      </c>
      <c r="L111" s="2">
        <f>'CUOTA LTP'!I60</f>
        <v>11.759819999999999</v>
      </c>
      <c r="M111" s="33">
        <f>'CUOTA LTP'!J60</f>
        <v>0</v>
      </c>
      <c r="N111" s="10" t="s">
        <v>91</v>
      </c>
      <c r="O111" s="10">
        <f>'RESUMEN '!$B$3</f>
        <v>44561</v>
      </c>
      <c r="P111" s="39">
        <v>2021</v>
      </c>
      <c r="Q111" s="3"/>
    </row>
    <row r="112" spans="1:17" x14ac:dyDescent="0.25">
      <c r="A112" s="3" t="s">
        <v>20</v>
      </c>
      <c r="B112" s="3" t="s">
        <v>84</v>
      </c>
      <c r="C112" s="3" t="s">
        <v>94</v>
      </c>
      <c r="D112" s="3" t="s">
        <v>100</v>
      </c>
      <c r="E112" s="3" t="str">
        <f>'CUOTA LTP'!C60</f>
        <v>ZUÑIGA ROMERO GONZALO</v>
      </c>
      <c r="F112" s="3" t="s">
        <v>89</v>
      </c>
      <c r="G112" s="3" t="s">
        <v>90</v>
      </c>
      <c r="H112" s="2">
        <f>'CUOTA LTP'!E61</f>
        <v>1.2994300000000001</v>
      </c>
      <c r="I112" s="2">
        <f>'CUOTA LTP'!F61</f>
        <v>0</v>
      </c>
      <c r="J112" s="2">
        <f>'CUOTA LTP'!G61</f>
        <v>13.059249999999999</v>
      </c>
      <c r="K112" s="2">
        <f>'CUOTA LTP'!H61</f>
        <v>0</v>
      </c>
      <c r="L112" s="2">
        <f>'CUOTA LTP'!I61</f>
        <v>13.059249999999999</v>
      </c>
      <c r="M112" s="33">
        <f>'CUOTA LTP'!J61</f>
        <v>0</v>
      </c>
      <c r="N112" s="10" t="s">
        <v>91</v>
      </c>
      <c r="O112" s="10">
        <f>'RESUMEN '!$B$3</f>
        <v>44561</v>
      </c>
      <c r="P112" s="39">
        <v>2021</v>
      </c>
      <c r="Q112" s="3"/>
    </row>
    <row r="113" spans="1:17" x14ac:dyDescent="0.25">
      <c r="A113" s="3" t="s">
        <v>20</v>
      </c>
      <c r="B113" s="3" t="s">
        <v>84</v>
      </c>
      <c r="C113" s="3" t="s">
        <v>94</v>
      </c>
      <c r="D113" s="3" t="s">
        <v>100</v>
      </c>
      <c r="E113" s="3" t="str">
        <f>'CUOTA LTP'!C60</f>
        <v>ZUÑIGA ROMERO GONZALO</v>
      </c>
      <c r="F113" s="3" t="s">
        <v>87</v>
      </c>
      <c r="G113" s="3" t="s">
        <v>90</v>
      </c>
      <c r="H113" s="2">
        <f>'CUOTA LTP'!K60</f>
        <v>13.059249999999999</v>
      </c>
      <c r="I113" s="2">
        <f>'CUOTA LTP'!L60</f>
        <v>0</v>
      </c>
      <c r="J113" s="2">
        <f>'CUOTA LTP'!M60</f>
        <v>13.059249999999999</v>
      </c>
      <c r="K113" s="2">
        <f>'CUOTA LTP'!N60</f>
        <v>0</v>
      </c>
      <c r="L113" s="2">
        <f>'CUOTA LTP'!O60</f>
        <v>13.059249999999999</v>
      </c>
      <c r="M113" s="33">
        <f>'CUOTA LTP'!P60</f>
        <v>0</v>
      </c>
      <c r="N113" s="10" t="s">
        <v>91</v>
      </c>
      <c r="O113" s="10">
        <f>'RESUMEN '!$B$3</f>
        <v>44561</v>
      </c>
      <c r="P113" s="39">
        <v>2021</v>
      </c>
      <c r="Q113" s="3"/>
    </row>
    <row r="114" spans="1:17" x14ac:dyDescent="0.25">
      <c r="A114" s="3" t="s">
        <v>20</v>
      </c>
      <c r="B114" s="3" t="s">
        <v>84</v>
      </c>
      <c r="C114" s="3" t="s">
        <v>94</v>
      </c>
      <c r="D114" s="3" t="s">
        <v>100</v>
      </c>
      <c r="E114" s="3" t="str">
        <f>'CUOTA LTP'!C62</f>
        <v>MOROZIN YURECIC MARIO</v>
      </c>
      <c r="F114" s="3" t="s">
        <v>87</v>
      </c>
      <c r="G114" s="3" t="s">
        <v>88</v>
      </c>
      <c r="H114" s="2">
        <f>'CUOTA LTP'!E62</f>
        <v>1.086E-2</v>
      </c>
      <c r="I114" s="2">
        <f>'CUOTA LTP'!F62</f>
        <v>0</v>
      </c>
      <c r="J114" s="2">
        <f>'CUOTA LTP'!G62</f>
        <v>1.086E-2</v>
      </c>
      <c r="K114" s="2">
        <f>'CUOTA LTP'!H62</f>
        <v>0</v>
      </c>
      <c r="L114" s="2">
        <f>'CUOTA LTP'!I62</f>
        <v>1.086E-2</v>
      </c>
      <c r="M114" s="33">
        <f>'CUOTA LTP'!J62</f>
        <v>0</v>
      </c>
      <c r="N114" s="10" t="s">
        <v>91</v>
      </c>
      <c r="O114" s="10">
        <f>'RESUMEN '!$B$3</f>
        <v>44561</v>
      </c>
      <c r="P114" s="39">
        <v>2021</v>
      </c>
      <c r="Q114" s="3"/>
    </row>
    <row r="115" spans="1:17" x14ac:dyDescent="0.25">
      <c r="A115" s="3" t="s">
        <v>20</v>
      </c>
      <c r="B115" s="3" t="s">
        <v>84</v>
      </c>
      <c r="C115" s="3" t="s">
        <v>94</v>
      </c>
      <c r="D115" s="3" t="s">
        <v>100</v>
      </c>
      <c r="E115" s="3" t="str">
        <f>'CUOTA LTP'!C62</f>
        <v>MOROZIN YURECIC MARIO</v>
      </c>
      <c r="F115" s="3" t="s">
        <v>89</v>
      </c>
      <c r="G115" s="3" t="s">
        <v>90</v>
      </c>
      <c r="H115" s="2">
        <f>'CUOTA LTP'!E63</f>
        <v>1.1999999999999999E-3</v>
      </c>
      <c r="I115" s="2">
        <f>'CUOTA LTP'!F63</f>
        <v>0</v>
      </c>
      <c r="J115" s="2">
        <f>'CUOTA LTP'!G63</f>
        <v>1.206E-2</v>
      </c>
      <c r="K115" s="2">
        <f>'CUOTA LTP'!H63</f>
        <v>0</v>
      </c>
      <c r="L115" s="2">
        <f>'CUOTA LTP'!I63</f>
        <v>1.206E-2</v>
      </c>
      <c r="M115" s="33">
        <f>'CUOTA LTP'!J63</f>
        <v>0</v>
      </c>
      <c r="N115" s="10" t="s">
        <v>91</v>
      </c>
      <c r="O115" s="10">
        <f>'RESUMEN '!$B$3</f>
        <v>44561</v>
      </c>
      <c r="P115" s="39">
        <v>2021</v>
      </c>
      <c r="Q115" s="3"/>
    </row>
    <row r="116" spans="1:17" x14ac:dyDescent="0.25">
      <c r="A116" s="3" t="s">
        <v>20</v>
      </c>
      <c r="B116" s="3" t="s">
        <v>84</v>
      </c>
      <c r="C116" s="3" t="s">
        <v>94</v>
      </c>
      <c r="D116" s="3" t="s">
        <v>100</v>
      </c>
      <c r="E116" s="3" t="str">
        <f>'CUOTA LTP'!C62</f>
        <v>MOROZIN YURECIC MARIO</v>
      </c>
      <c r="F116" s="3" t="s">
        <v>87</v>
      </c>
      <c r="G116" s="3" t="s">
        <v>90</v>
      </c>
      <c r="H116" s="2">
        <f>'CUOTA LTP'!K62</f>
        <v>1.206E-2</v>
      </c>
      <c r="I116" s="2">
        <f>'CUOTA LTP'!L62</f>
        <v>0</v>
      </c>
      <c r="J116" s="2">
        <f>'CUOTA LTP'!M62</f>
        <v>1.206E-2</v>
      </c>
      <c r="K116" s="2">
        <f>'CUOTA LTP'!N62</f>
        <v>0</v>
      </c>
      <c r="L116" s="2">
        <f>'CUOTA LTP'!O62</f>
        <v>1.206E-2</v>
      </c>
      <c r="M116" s="33">
        <f>'CUOTA LTP'!P62</f>
        <v>0</v>
      </c>
      <c r="N116" s="10" t="s">
        <v>91</v>
      </c>
      <c r="O116" s="10">
        <f>'RESUMEN '!$B$3</f>
        <v>44561</v>
      </c>
      <c r="P116" s="39">
        <v>2021</v>
      </c>
      <c r="Q116" s="3"/>
    </row>
    <row r="117" spans="1:17" x14ac:dyDescent="0.25">
      <c r="A117" s="3" t="s">
        <v>20</v>
      </c>
      <c r="B117" s="3" t="s">
        <v>84</v>
      </c>
      <c r="C117" s="3" t="s">
        <v>94</v>
      </c>
      <c r="D117" s="3" t="s">
        <v>100</v>
      </c>
      <c r="E117" s="3" t="str">
        <f>'CUOTA LTP'!C64</f>
        <v>QUINTERO LTDA. SOC. PESQ.</v>
      </c>
      <c r="F117" s="3" t="s">
        <v>87</v>
      </c>
      <c r="G117" s="3" t="s">
        <v>88</v>
      </c>
      <c r="H117" s="2">
        <f>'CUOTA LTP'!E64</f>
        <v>7.2399999999999999E-3</v>
      </c>
      <c r="I117" s="2">
        <f>'CUOTA LTP'!F64</f>
        <v>7.0431605999999993</v>
      </c>
      <c r="J117" s="2">
        <f>'CUOTA LTP'!G64</f>
        <v>7.0504005999999997</v>
      </c>
      <c r="K117" s="2">
        <f>'CUOTA LTP'!H64</f>
        <v>0</v>
      </c>
      <c r="L117" s="2">
        <f>'CUOTA LTP'!I64</f>
        <v>7.0504005999999997</v>
      </c>
      <c r="M117" s="33">
        <f>'CUOTA LTP'!J64</f>
        <v>0</v>
      </c>
      <c r="N117" s="10" t="s">
        <v>91</v>
      </c>
      <c r="O117" s="10">
        <f>'RESUMEN '!$B$3</f>
        <v>44561</v>
      </c>
      <c r="P117" s="39">
        <v>2021</v>
      </c>
      <c r="Q117" s="3"/>
    </row>
    <row r="118" spans="1:17" x14ac:dyDescent="0.25">
      <c r="A118" s="3" t="s">
        <v>20</v>
      </c>
      <c r="B118" s="3" t="s">
        <v>84</v>
      </c>
      <c r="C118" s="3" t="s">
        <v>94</v>
      </c>
      <c r="D118" s="3" t="s">
        <v>100</v>
      </c>
      <c r="E118" s="3" t="str">
        <f>'CUOTA LTP'!C64</f>
        <v>QUINTERO LTDA. SOC. PESQ.</v>
      </c>
      <c r="F118" s="3" t="s">
        <v>89</v>
      </c>
      <c r="G118" s="3" t="s">
        <v>90</v>
      </c>
      <c r="H118" s="2">
        <f>'CUOTA LTP'!E65</f>
        <v>8.0000000000000004E-4</v>
      </c>
      <c r="I118" s="2">
        <f>'CUOTA LTP'!F65</f>
        <v>0</v>
      </c>
      <c r="J118" s="2">
        <f>'CUOTA LTP'!G65</f>
        <v>7.0512005999999996</v>
      </c>
      <c r="K118" s="2">
        <f>'CUOTA LTP'!H65</f>
        <v>0</v>
      </c>
      <c r="L118" s="2">
        <f>'CUOTA LTP'!I65</f>
        <v>7.0512005999999996</v>
      </c>
      <c r="M118" s="33">
        <f>'CUOTA LTP'!J65</f>
        <v>0</v>
      </c>
      <c r="N118" s="10" t="s">
        <v>91</v>
      </c>
      <c r="O118" s="10">
        <f>'RESUMEN '!$B$3</f>
        <v>44561</v>
      </c>
      <c r="P118" s="39">
        <v>2021</v>
      </c>
      <c r="Q118" s="3"/>
    </row>
    <row r="119" spans="1:17" x14ac:dyDescent="0.25">
      <c r="A119" s="3" t="s">
        <v>20</v>
      </c>
      <c r="B119" s="3" t="s">
        <v>84</v>
      </c>
      <c r="C119" s="3" t="s">
        <v>94</v>
      </c>
      <c r="D119" s="3" t="s">
        <v>100</v>
      </c>
      <c r="E119" s="3" t="str">
        <f>'CUOTA LTP'!C64</f>
        <v>QUINTERO LTDA. SOC. PESQ.</v>
      </c>
      <c r="F119" s="3" t="s">
        <v>87</v>
      </c>
      <c r="G119" s="3" t="s">
        <v>90</v>
      </c>
      <c r="H119" s="2">
        <f>'CUOTA LTP'!K64</f>
        <v>8.0400000000000003E-3</v>
      </c>
      <c r="I119" s="2">
        <f>'CUOTA LTP'!L64</f>
        <v>7.0431605999999993</v>
      </c>
      <c r="J119" s="2">
        <f>'CUOTA LTP'!M64</f>
        <v>7.0512005999999996</v>
      </c>
      <c r="K119" s="2">
        <f>'CUOTA LTP'!N64</f>
        <v>0</v>
      </c>
      <c r="L119" s="2">
        <f>'CUOTA LTP'!O64</f>
        <v>7.0512005999999996</v>
      </c>
      <c r="M119" s="33">
        <f>'CUOTA LTP'!P64</f>
        <v>0</v>
      </c>
      <c r="N119" s="10" t="s">
        <v>91</v>
      </c>
      <c r="O119" s="10">
        <f>'RESUMEN '!$B$3</f>
        <v>44561</v>
      </c>
      <c r="P119" s="39">
        <v>2021</v>
      </c>
      <c r="Q119" s="3"/>
    </row>
    <row r="120" spans="1:17" x14ac:dyDescent="0.25">
      <c r="A120" s="3" t="s">
        <v>20</v>
      </c>
      <c r="B120" s="3" t="s">
        <v>84</v>
      </c>
      <c r="C120" s="3" t="s">
        <v>94</v>
      </c>
      <c r="D120" s="3" t="s">
        <v>100</v>
      </c>
      <c r="E120" s="3" t="str">
        <f>'CUOTA LTP'!C66</f>
        <v>PACIFICBLU SPA.</v>
      </c>
      <c r="F120" s="3" t="s">
        <v>87</v>
      </c>
      <c r="G120" s="3" t="s">
        <v>88</v>
      </c>
      <c r="H120" s="2">
        <f>'CUOTA LTP'!E66</f>
        <v>6.5820699999999999</v>
      </c>
      <c r="I120" s="2">
        <f>'CUOTA LTP'!F66</f>
        <v>-6.9819762000000001</v>
      </c>
      <c r="J120" s="2">
        <f>'CUOTA LTP'!G66</f>
        <v>-0.39990620000000021</v>
      </c>
      <c r="K120" s="2">
        <f>'CUOTA LTP'!H66</f>
        <v>0</v>
      </c>
      <c r="L120" s="2">
        <f>'CUOTA LTP'!I66</f>
        <v>-0.39990620000000021</v>
      </c>
      <c r="M120" s="33">
        <f>'CUOTA LTP'!J66</f>
        <v>0</v>
      </c>
      <c r="N120" s="10" t="s">
        <v>91</v>
      </c>
      <c r="O120" s="10">
        <f>'RESUMEN '!$B$3</f>
        <v>44561</v>
      </c>
      <c r="P120" s="39">
        <v>2021</v>
      </c>
      <c r="Q120" s="3"/>
    </row>
    <row r="121" spans="1:17" x14ac:dyDescent="0.25">
      <c r="A121" s="3" t="s">
        <v>20</v>
      </c>
      <c r="B121" s="3" t="s">
        <v>84</v>
      </c>
      <c r="C121" s="3" t="s">
        <v>94</v>
      </c>
      <c r="D121" s="3" t="s">
        <v>100</v>
      </c>
      <c r="E121" s="3" t="str">
        <f>'CUOTA LTP'!C66</f>
        <v>PACIFICBLU SPA.</v>
      </c>
      <c r="F121" s="3" t="s">
        <v>89</v>
      </c>
      <c r="G121" s="3" t="s">
        <v>90</v>
      </c>
      <c r="H121" s="2">
        <f>'CUOTA LTP'!E67</f>
        <v>0.72729999999999995</v>
      </c>
      <c r="I121" s="2">
        <f>'CUOTA LTP'!F67</f>
        <v>0</v>
      </c>
      <c r="J121" s="2">
        <f>'CUOTA LTP'!G67</f>
        <v>0.32739379999999974</v>
      </c>
      <c r="K121" s="2">
        <f>'CUOTA LTP'!H67</f>
        <v>0</v>
      </c>
      <c r="L121" s="2">
        <f>'CUOTA LTP'!I67</f>
        <v>0.32739379999999974</v>
      </c>
      <c r="M121" s="33">
        <f>'CUOTA LTP'!J67</f>
        <v>0</v>
      </c>
      <c r="N121" s="10" t="s">
        <v>91</v>
      </c>
      <c r="O121" s="10">
        <f>'RESUMEN '!$B$3</f>
        <v>44561</v>
      </c>
      <c r="P121" s="39">
        <v>2021</v>
      </c>
      <c r="Q121" s="3"/>
    </row>
    <row r="122" spans="1:17" x14ac:dyDescent="0.25">
      <c r="A122" s="3" t="s">
        <v>20</v>
      </c>
      <c r="B122" s="3" t="s">
        <v>84</v>
      </c>
      <c r="C122" s="3" t="s">
        <v>94</v>
      </c>
      <c r="D122" s="3" t="s">
        <v>100</v>
      </c>
      <c r="E122" s="3" t="str">
        <f>'CUOTA LTP'!C66</f>
        <v>PACIFICBLU SPA.</v>
      </c>
      <c r="F122" s="3" t="s">
        <v>87</v>
      </c>
      <c r="G122" s="3" t="s">
        <v>90</v>
      </c>
      <c r="H122" s="2">
        <f>'CUOTA LTP'!K66</f>
        <v>7.3093699999999995</v>
      </c>
      <c r="I122" s="2">
        <f>'CUOTA LTP'!L66</f>
        <v>-6.9819762000000001</v>
      </c>
      <c r="J122" s="2">
        <f>'CUOTA LTP'!M66</f>
        <v>0.3273937999999994</v>
      </c>
      <c r="K122" s="2">
        <f>'CUOTA LTP'!N66</f>
        <v>0</v>
      </c>
      <c r="L122" s="2">
        <f>'CUOTA LTP'!O66</f>
        <v>0.3273937999999994</v>
      </c>
      <c r="M122" s="33">
        <f>'CUOTA LTP'!P66</f>
        <v>0</v>
      </c>
      <c r="N122" s="10" t="s">
        <v>91</v>
      </c>
      <c r="O122" s="10">
        <f>'RESUMEN '!$B$3</f>
        <v>44561</v>
      </c>
      <c r="P122" s="39">
        <v>2021</v>
      </c>
      <c r="Q122" s="3"/>
    </row>
    <row r="123" spans="1:17" x14ac:dyDescent="0.25">
      <c r="A123" s="3" t="s">
        <v>20</v>
      </c>
      <c r="B123" s="3" t="s">
        <v>84</v>
      </c>
      <c r="C123" s="3" t="s">
        <v>94</v>
      </c>
      <c r="D123" s="3" t="s">
        <v>100</v>
      </c>
      <c r="E123" s="3" t="str">
        <f>'CUOTA LTP'!C68</f>
        <v>DA VENEZIA RETAMALES ANTONIO</v>
      </c>
      <c r="F123" s="3" t="s">
        <v>87</v>
      </c>
      <c r="G123" s="3" t="s">
        <v>88</v>
      </c>
      <c r="H123" s="2">
        <f>'CUOTA LTP'!E68</f>
        <v>3.62E-3</v>
      </c>
      <c r="I123" s="2">
        <f>'CUOTA LTP'!F68</f>
        <v>0</v>
      </c>
      <c r="J123" s="2">
        <f>'CUOTA LTP'!G68</f>
        <v>3.62E-3</v>
      </c>
      <c r="K123" s="2">
        <f>'CUOTA LTP'!H68</f>
        <v>0</v>
      </c>
      <c r="L123" s="2">
        <f>'CUOTA LTP'!I68</f>
        <v>3.62E-3</v>
      </c>
      <c r="M123" s="33">
        <f>'CUOTA LTP'!J68</f>
        <v>0</v>
      </c>
      <c r="N123" s="10" t="s">
        <v>91</v>
      </c>
      <c r="O123" s="10">
        <f>'RESUMEN '!$B$3</f>
        <v>44561</v>
      </c>
      <c r="P123" s="39">
        <v>2021</v>
      </c>
      <c r="Q123" s="3"/>
    </row>
    <row r="124" spans="1:17" x14ac:dyDescent="0.25">
      <c r="A124" s="3" t="s">
        <v>20</v>
      </c>
      <c r="B124" s="3" t="s">
        <v>84</v>
      </c>
      <c r="C124" s="3" t="s">
        <v>94</v>
      </c>
      <c r="D124" s="3" t="s">
        <v>100</v>
      </c>
      <c r="E124" s="3" t="str">
        <f>'CUOTA LTP'!C68</f>
        <v>DA VENEZIA RETAMALES ANTONIO</v>
      </c>
      <c r="F124" s="3" t="s">
        <v>89</v>
      </c>
      <c r="G124" s="3" t="s">
        <v>90</v>
      </c>
      <c r="H124" s="2">
        <f>'CUOTA LTP'!E69</f>
        <v>4.0000000000000002E-4</v>
      </c>
      <c r="I124" s="2">
        <f>'CUOTA LTP'!F69</f>
        <v>0</v>
      </c>
      <c r="J124" s="2">
        <f>'CUOTA LTP'!G69</f>
        <v>4.0200000000000001E-3</v>
      </c>
      <c r="K124" s="2">
        <f>'CUOTA LTP'!H69</f>
        <v>0</v>
      </c>
      <c r="L124" s="2">
        <f>'CUOTA LTP'!I69</f>
        <v>4.0200000000000001E-3</v>
      </c>
      <c r="M124" s="33">
        <f>'CUOTA LTP'!J69</f>
        <v>0</v>
      </c>
      <c r="N124" s="10" t="s">
        <v>91</v>
      </c>
      <c r="O124" s="10">
        <f>'RESUMEN '!$B$3</f>
        <v>44561</v>
      </c>
      <c r="P124" s="39">
        <v>2021</v>
      </c>
      <c r="Q124" s="3"/>
    </row>
    <row r="125" spans="1:17" x14ac:dyDescent="0.25">
      <c r="A125" s="3" t="s">
        <v>20</v>
      </c>
      <c r="B125" s="3" t="s">
        <v>84</v>
      </c>
      <c r="C125" s="3" t="s">
        <v>94</v>
      </c>
      <c r="D125" s="3" t="s">
        <v>100</v>
      </c>
      <c r="E125" s="3" t="str">
        <f>'CUOTA LTP'!C68</f>
        <v>DA VENEZIA RETAMALES ANTONIO</v>
      </c>
      <c r="F125" s="3" t="s">
        <v>87</v>
      </c>
      <c r="G125" s="3" t="s">
        <v>90</v>
      </c>
      <c r="H125" s="2">
        <f>'CUOTA LTP'!K6</f>
        <v>1.64432</v>
      </c>
      <c r="I125" s="2">
        <f>'CUOTA LTP'!L6</f>
        <v>0</v>
      </c>
      <c r="J125" s="2">
        <f>'CUOTA LTP'!M6</f>
        <v>1.64432</v>
      </c>
      <c r="K125" s="2">
        <f>'CUOTA LTP'!N6</f>
        <v>0</v>
      </c>
      <c r="L125" s="2">
        <f>'CUOTA LTP'!O6</f>
        <v>1.64432</v>
      </c>
      <c r="M125" s="33">
        <f>'CUOTA LTP'!P6</f>
        <v>0</v>
      </c>
      <c r="N125" s="10" t="s">
        <v>91</v>
      </c>
      <c r="O125" s="10">
        <f>'RESUMEN '!$B$3</f>
        <v>44561</v>
      </c>
      <c r="P125" s="39">
        <v>2021</v>
      </c>
      <c r="Q125" s="3"/>
    </row>
    <row r="126" spans="1:17" x14ac:dyDescent="0.25">
      <c r="A126" s="3" t="s">
        <v>20</v>
      </c>
      <c r="B126" s="3" t="s">
        <v>84</v>
      </c>
      <c r="C126" s="3" t="s">
        <v>94</v>
      </c>
      <c r="D126" s="3" t="s">
        <v>100</v>
      </c>
      <c r="E126" s="3" t="str">
        <f>'CUOTA LTP'!C70</f>
        <v>ENFERMAR LTDA. SOC. PESQ.</v>
      </c>
      <c r="F126" s="3" t="s">
        <v>87</v>
      </c>
      <c r="G126" s="3" t="s">
        <v>88</v>
      </c>
      <c r="H126" s="2">
        <f>'CUOTA LTP'!E70</f>
        <v>9.7739999999999994E-2</v>
      </c>
      <c r="I126" s="2">
        <f>'CUOTA LTP'!F70</f>
        <v>-5.2259999999999994E-2</v>
      </c>
      <c r="J126" s="2">
        <f>'CUOTA LTP'!G70</f>
        <v>4.548E-2</v>
      </c>
      <c r="K126" s="2">
        <f>'CUOTA LTP'!H70</f>
        <v>0</v>
      </c>
      <c r="L126" s="2">
        <f>'CUOTA LTP'!I70</f>
        <v>4.548E-2</v>
      </c>
      <c r="M126" s="33">
        <f>'CUOTA LTP'!J70</f>
        <v>0</v>
      </c>
      <c r="N126" s="10" t="s">
        <v>91</v>
      </c>
      <c r="O126" s="10">
        <f>'RESUMEN '!$B$3</f>
        <v>44561</v>
      </c>
      <c r="P126" s="39">
        <v>2021</v>
      </c>
      <c r="Q126" s="3"/>
    </row>
    <row r="127" spans="1:17" x14ac:dyDescent="0.25">
      <c r="A127" s="3" t="s">
        <v>20</v>
      </c>
      <c r="B127" s="3" t="s">
        <v>84</v>
      </c>
      <c r="C127" s="3" t="s">
        <v>94</v>
      </c>
      <c r="D127" s="3" t="s">
        <v>100</v>
      </c>
      <c r="E127" s="3" t="str">
        <f>'CUOTA LTP'!C70</f>
        <v>ENFERMAR LTDA. SOC. PESQ.</v>
      </c>
      <c r="F127" s="3" t="s">
        <v>89</v>
      </c>
      <c r="G127" s="3" t="s">
        <v>90</v>
      </c>
      <c r="H127" s="2">
        <f>'CUOTA LTP'!E71</f>
        <v>1.0800000000000001E-2</v>
      </c>
      <c r="I127" s="2">
        <f>'CUOTA LTP'!F71</f>
        <v>0</v>
      </c>
      <c r="J127" s="2">
        <f>'CUOTA LTP'!G71</f>
        <v>5.6279999999999997E-2</v>
      </c>
      <c r="K127" s="2">
        <f>'CUOTA LTP'!H71</f>
        <v>0</v>
      </c>
      <c r="L127" s="2">
        <f>'CUOTA LTP'!I71</f>
        <v>5.6279999999999997E-2</v>
      </c>
      <c r="M127" s="33">
        <f>'CUOTA LTP'!J71</f>
        <v>0</v>
      </c>
      <c r="N127" s="10" t="s">
        <v>91</v>
      </c>
      <c r="O127" s="10">
        <f>'RESUMEN '!$B$3</f>
        <v>44561</v>
      </c>
      <c r="P127" s="39">
        <v>2021</v>
      </c>
      <c r="Q127" s="3"/>
    </row>
    <row r="128" spans="1:17" x14ac:dyDescent="0.25">
      <c r="A128" s="3" t="s">
        <v>20</v>
      </c>
      <c r="B128" s="3" t="s">
        <v>84</v>
      </c>
      <c r="C128" s="3" t="s">
        <v>94</v>
      </c>
      <c r="D128" s="3" t="s">
        <v>100</v>
      </c>
      <c r="E128" s="3" t="str">
        <f>'CUOTA LTP'!C70</f>
        <v>ENFERMAR LTDA. SOC. PESQ.</v>
      </c>
      <c r="F128" s="3" t="s">
        <v>87</v>
      </c>
      <c r="G128" s="3" t="s">
        <v>90</v>
      </c>
      <c r="H128" s="2">
        <f>'CUOTA LTP'!K70</f>
        <v>0.10854</v>
      </c>
      <c r="I128" s="2">
        <f>'CUOTA LTP'!L70</f>
        <v>-5.2259999999999994E-2</v>
      </c>
      <c r="J128" s="2">
        <f>'CUOTA LTP'!M70</f>
        <v>5.6280000000000004E-2</v>
      </c>
      <c r="K128" s="2">
        <f>'CUOTA LTP'!N70</f>
        <v>0</v>
      </c>
      <c r="L128" s="2">
        <f>'CUOTA LTP'!O70</f>
        <v>5.6280000000000004E-2</v>
      </c>
      <c r="M128" s="33">
        <f>'CUOTA LTP'!P70</f>
        <v>0</v>
      </c>
      <c r="N128" s="10" t="s">
        <v>91</v>
      </c>
      <c r="O128" s="10">
        <f>'RESUMEN '!$B$3</f>
        <v>44561</v>
      </c>
      <c r="P128" s="39">
        <v>2021</v>
      </c>
      <c r="Q128" s="3"/>
    </row>
    <row r="129" spans="1:17" x14ac:dyDescent="0.25">
      <c r="A129" s="3" t="s">
        <v>20</v>
      </c>
      <c r="B129" s="3" t="s">
        <v>84</v>
      </c>
      <c r="C129" s="3" t="s">
        <v>94</v>
      </c>
      <c r="D129" s="3" t="s">
        <v>100</v>
      </c>
      <c r="E129" s="3" t="str">
        <f>'CUOTA LTP'!C76</f>
        <v>RUBIO Y MAUAD LTDA.</v>
      </c>
      <c r="F129" s="3" t="s">
        <v>87</v>
      </c>
      <c r="G129" s="3" t="s">
        <v>88</v>
      </c>
      <c r="H129" s="2">
        <f>'CUOTA LTP'!E76</f>
        <v>0.46335999999999999</v>
      </c>
      <c r="I129" s="2">
        <f>'CUOTA LTP'!F76</f>
        <v>-0.51054379999999888</v>
      </c>
      <c r="J129" s="2">
        <f>'CUOTA LTP'!G76</f>
        <v>-4.7183799999998888E-2</v>
      </c>
      <c r="K129" s="2">
        <f>'CUOTA LTP'!H76</f>
        <v>0</v>
      </c>
      <c r="L129" s="2">
        <f>'CUOTA LTP'!I76</f>
        <v>-4.7183799999998888E-2</v>
      </c>
      <c r="M129" s="33">
        <f>'CUOTA LTP'!J76</f>
        <v>0</v>
      </c>
      <c r="N129" s="10" t="s">
        <v>91</v>
      </c>
      <c r="O129" s="10">
        <f>'RESUMEN '!$B$3</f>
        <v>44561</v>
      </c>
      <c r="P129" s="39">
        <v>2021</v>
      </c>
      <c r="Q129" s="3"/>
    </row>
    <row r="130" spans="1:17" x14ac:dyDescent="0.25">
      <c r="A130" s="3" t="s">
        <v>20</v>
      </c>
      <c r="B130" s="3" t="s">
        <v>84</v>
      </c>
      <c r="C130" s="3" t="s">
        <v>94</v>
      </c>
      <c r="D130" s="3" t="s">
        <v>100</v>
      </c>
      <c r="E130" s="11" t="str">
        <f>'CUOTA LTP'!C76</f>
        <v>RUBIO Y MAUAD LTDA.</v>
      </c>
      <c r="F130" s="3" t="s">
        <v>89</v>
      </c>
      <c r="G130" s="3" t="s">
        <v>90</v>
      </c>
      <c r="H130" s="2">
        <f>'CUOTA LTP'!E77</f>
        <v>5.1199999999999996E-2</v>
      </c>
      <c r="I130" s="2">
        <f>'CUOTA LTP'!F77</f>
        <v>0</v>
      </c>
      <c r="J130" s="2">
        <f>'CUOTA LTP'!G77</f>
        <v>4.0162000000011078E-3</v>
      </c>
      <c r="K130" s="2">
        <f>'CUOTA LTP'!H77</f>
        <v>0</v>
      </c>
      <c r="L130" s="2">
        <f>'CUOTA LTP'!I77</f>
        <v>4.0162000000011078E-3</v>
      </c>
      <c r="M130" s="33">
        <f>'CUOTA LTP'!J77</f>
        <v>0</v>
      </c>
      <c r="N130" s="10" t="s">
        <v>91</v>
      </c>
      <c r="O130" s="10">
        <f>'RESUMEN '!$B$3</f>
        <v>44561</v>
      </c>
      <c r="P130" s="39">
        <v>2021</v>
      </c>
      <c r="Q130" s="3"/>
    </row>
    <row r="131" spans="1:17" x14ac:dyDescent="0.25">
      <c r="A131" s="3" t="s">
        <v>20</v>
      </c>
      <c r="B131" s="3" t="s">
        <v>84</v>
      </c>
      <c r="C131" s="3" t="s">
        <v>94</v>
      </c>
      <c r="D131" s="3" t="s">
        <v>100</v>
      </c>
      <c r="E131" s="11" t="str">
        <f>'CUOTA LTP'!C76</f>
        <v>RUBIO Y MAUAD LTDA.</v>
      </c>
      <c r="F131" s="3" t="s">
        <v>87</v>
      </c>
      <c r="G131" s="3" t="s">
        <v>90</v>
      </c>
      <c r="H131" s="3">
        <f>'CUOTA LTP'!K76</f>
        <v>0.51456000000000002</v>
      </c>
      <c r="I131" s="3">
        <f>'CUOTA LTP'!L76</f>
        <v>-0.51054379999999888</v>
      </c>
      <c r="J131" s="3">
        <f>'CUOTA LTP'!M76</f>
        <v>4.0162000000011355E-3</v>
      </c>
      <c r="K131" s="3">
        <f>'CUOTA LTP'!N76</f>
        <v>0</v>
      </c>
      <c r="L131" s="3">
        <f>'CUOTA LTP'!O76</f>
        <v>4.0162000000011355E-3</v>
      </c>
      <c r="M131" s="33">
        <f>'CUOTA LTP'!P76</f>
        <v>0</v>
      </c>
      <c r="N131" s="10" t="s">
        <v>91</v>
      </c>
      <c r="O131" s="10">
        <f>'RESUMEN '!$B$3</f>
        <v>44561</v>
      </c>
      <c r="P131" s="39">
        <v>2021</v>
      </c>
      <c r="Q131" s="3"/>
    </row>
    <row r="132" spans="1:17" x14ac:dyDescent="0.25">
      <c r="A132" s="3" t="s">
        <v>20</v>
      </c>
      <c r="B132" s="3" t="s">
        <v>84</v>
      </c>
      <c r="C132" s="3" t="s">
        <v>95</v>
      </c>
      <c r="D132" s="3" t="s">
        <v>100</v>
      </c>
      <c r="E132" s="3" t="str">
        <f>'CUOTA LTP'!C78</f>
        <v>ANTARTIC SEAFOOD S.A.</v>
      </c>
      <c r="F132" s="3" t="s">
        <v>87</v>
      </c>
      <c r="G132" s="3" t="s">
        <v>88</v>
      </c>
      <c r="H132" s="2">
        <f>'CUOTA LTP'!E78</f>
        <v>168.04961000000003</v>
      </c>
      <c r="I132" s="2">
        <f>'CUOTA LTP'!F78</f>
        <v>0</v>
      </c>
      <c r="J132" s="2">
        <f>'CUOTA LTP'!G78</f>
        <v>168.04961000000003</v>
      </c>
      <c r="K132" s="2">
        <f>'CUOTA LTP'!H78</f>
        <v>158.084</v>
      </c>
      <c r="L132" s="2">
        <f>'CUOTA LTP'!I78</f>
        <v>9.9656100000000265</v>
      </c>
      <c r="M132" s="33">
        <f>'CUOTA LTP'!J78</f>
        <v>0.9406984044771064</v>
      </c>
      <c r="N132" s="10" t="s">
        <v>91</v>
      </c>
      <c r="O132" s="10">
        <f>'RESUMEN '!$B$3</f>
        <v>44561</v>
      </c>
      <c r="P132" s="39">
        <v>2021</v>
      </c>
      <c r="Q132" s="3"/>
    </row>
    <row r="133" spans="1:17" x14ac:dyDescent="0.25">
      <c r="A133" s="3" t="s">
        <v>20</v>
      </c>
      <c r="B133" s="3" t="s">
        <v>84</v>
      </c>
      <c r="C133" s="3" t="s">
        <v>95</v>
      </c>
      <c r="D133" s="3" t="s">
        <v>100</v>
      </c>
      <c r="E133" s="3" t="str">
        <f>'CUOTA LTP'!C78</f>
        <v>ANTARTIC SEAFOOD S.A.</v>
      </c>
      <c r="F133" s="3" t="s">
        <v>89</v>
      </c>
      <c r="G133" s="3" t="s">
        <v>90</v>
      </c>
      <c r="H133" s="2">
        <f>'CUOTA LTP'!E79</f>
        <v>18.580830000000002</v>
      </c>
      <c r="I133" s="2">
        <f>'CUOTA LTP'!F79</f>
        <v>0</v>
      </c>
      <c r="J133" s="2">
        <f>'CUOTA LTP'!G79</f>
        <v>28.546440000000029</v>
      </c>
      <c r="K133" s="2">
        <f>'CUOTA LTP'!H79</f>
        <v>8.9749999999999996</v>
      </c>
      <c r="L133" s="2">
        <f>'CUOTA LTP'!I79</f>
        <v>19.571440000000031</v>
      </c>
      <c r="M133" s="33">
        <f>'CUOTA LTP'!J79</f>
        <v>0.31439997421745025</v>
      </c>
      <c r="N133" s="10" t="s">
        <v>91</v>
      </c>
      <c r="O133" s="10">
        <f>'RESUMEN '!$B$3</f>
        <v>44561</v>
      </c>
      <c r="P133" s="39">
        <v>2021</v>
      </c>
      <c r="Q133" s="3"/>
    </row>
    <row r="134" spans="1:17" x14ac:dyDescent="0.25">
      <c r="A134" s="3" t="s">
        <v>20</v>
      </c>
      <c r="B134" s="3" t="s">
        <v>84</v>
      </c>
      <c r="C134" s="3" t="s">
        <v>95</v>
      </c>
      <c r="D134" s="3" t="s">
        <v>100</v>
      </c>
      <c r="E134" s="3" t="str">
        <f>'CUOTA LTP'!C78</f>
        <v>ANTARTIC SEAFOOD S.A.</v>
      </c>
      <c r="F134" s="3" t="s">
        <v>87</v>
      </c>
      <c r="G134" s="3" t="s">
        <v>90</v>
      </c>
      <c r="H134" s="2">
        <f>'CUOTA LTP'!K78</f>
        <v>186.63044000000002</v>
      </c>
      <c r="I134" s="2">
        <f>'CUOTA LTP'!L78</f>
        <v>0</v>
      </c>
      <c r="J134" s="2">
        <f>'CUOTA LTP'!M78</f>
        <v>186.63044000000002</v>
      </c>
      <c r="K134" s="2">
        <f>'CUOTA LTP'!N78</f>
        <v>167.059</v>
      </c>
      <c r="L134" s="2">
        <f>'CUOTA LTP'!O78</f>
        <v>19.571440000000024</v>
      </c>
      <c r="M134" s="33">
        <f>'CUOTA LTP'!P78</f>
        <v>0.89513264824323391</v>
      </c>
      <c r="N134" s="10" t="s">
        <v>91</v>
      </c>
      <c r="O134" s="10">
        <f>'RESUMEN '!$B$3</f>
        <v>44561</v>
      </c>
      <c r="P134" s="39">
        <v>2021</v>
      </c>
      <c r="Q134" s="3"/>
    </row>
    <row r="135" spans="1:17" x14ac:dyDescent="0.25">
      <c r="A135" s="3" t="s">
        <v>20</v>
      </c>
      <c r="B135" s="3" t="s">
        <v>84</v>
      </c>
      <c r="C135" s="3" t="s">
        <v>95</v>
      </c>
      <c r="D135" s="3" t="s">
        <v>100</v>
      </c>
      <c r="E135" s="3" t="str">
        <f>'CUOTA LTP'!C80</f>
        <v>QUINTERO S.A. PESQ.</v>
      </c>
      <c r="F135" s="3" t="s">
        <v>87</v>
      </c>
      <c r="G135" s="3" t="s">
        <v>88</v>
      </c>
      <c r="H135" s="2">
        <f>'CUOTA LTP'!E80</f>
        <v>314.82414</v>
      </c>
      <c r="I135" s="2">
        <f>'CUOTA LTP'!F80</f>
        <v>-20.135240499999998</v>
      </c>
      <c r="J135" s="2">
        <f>'CUOTA LTP'!G80</f>
        <v>294.68889949999999</v>
      </c>
      <c r="K135" s="2">
        <f>'CUOTA LTP'!H80</f>
        <v>105.52499999999999</v>
      </c>
      <c r="L135" s="2">
        <f>'CUOTA LTP'!I80</f>
        <v>189.16389950000001</v>
      </c>
      <c r="M135" s="33">
        <f>'CUOTA LTP'!J80</f>
        <v>0.3580894977009475</v>
      </c>
      <c r="N135" s="10" t="s">
        <v>91</v>
      </c>
      <c r="O135" s="10">
        <f>'RESUMEN '!$B$3</f>
        <v>44561</v>
      </c>
      <c r="P135" s="39">
        <v>2021</v>
      </c>
      <c r="Q135" s="3"/>
    </row>
    <row r="136" spans="1:17" x14ac:dyDescent="0.25">
      <c r="A136" s="3" t="s">
        <v>20</v>
      </c>
      <c r="B136" s="3" t="s">
        <v>84</v>
      </c>
      <c r="C136" s="3" t="s">
        <v>95</v>
      </c>
      <c r="D136" s="3" t="s">
        <v>100</v>
      </c>
      <c r="E136" s="3" t="str">
        <f>'CUOTA LTP'!C80</f>
        <v>QUINTERO S.A. PESQ.</v>
      </c>
      <c r="F136" s="3" t="s">
        <v>89</v>
      </c>
      <c r="G136" s="3" t="s">
        <v>90</v>
      </c>
      <c r="H136" s="2">
        <f>'CUOTA LTP'!E81</f>
        <v>34.809369999999994</v>
      </c>
      <c r="I136" s="2">
        <f>'CUOTA LTP'!F81</f>
        <v>0</v>
      </c>
      <c r="J136" s="2">
        <f>'CUOTA LTP'!G81</f>
        <v>223.97326950000001</v>
      </c>
      <c r="K136" s="2">
        <f>'CUOTA LTP'!H81</f>
        <v>63.305</v>
      </c>
      <c r="L136" s="2">
        <f>'CUOTA LTP'!I81</f>
        <v>160.66826950000001</v>
      </c>
      <c r="M136" s="33">
        <f>'CUOTA LTP'!J81</f>
        <v>0.28264533594264468</v>
      </c>
      <c r="N136" s="10" t="s">
        <v>91</v>
      </c>
      <c r="O136" s="10">
        <f>'RESUMEN '!$B$3</f>
        <v>44561</v>
      </c>
      <c r="P136" s="39">
        <v>2021</v>
      </c>
      <c r="Q136" s="3"/>
    </row>
    <row r="137" spans="1:17" x14ac:dyDescent="0.25">
      <c r="A137" s="3" t="s">
        <v>20</v>
      </c>
      <c r="B137" s="3" t="s">
        <v>84</v>
      </c>
      <c r="C137" s="3" t="s">
        <v>95</v>
      </c>
      <c r="D137" s="3" t="s">
        <v>100</v>
      </c>
      <c r="E137" s="3" t="str">
        <f>'CUOTA LTP'!C80</f>
        <v>QUINTERO S.A. PESQ.</v>
      </c>
      <c r="F137" s="3" t="s">
        <v>87</v>
      </c>
      <c r="G137" s="3" t="s">
        <v>90</v>
      </c>
      <c r="H137" s="2">
        <f>'CUOTA LTP'!K80</f>
        <v>349.63351</v>
      </c>
      <c r="I137" s="2">
        <f>'CUOTA LTP'!L80</f>
        <v>-20.135240499999998</v>
      </c>
      <c r="J137" s="2">
        <f>'CUOTA LTP'!M80</f>
        <v>329.49826949999999</v>
      </c>
      <c r="K137" s="2">
        <f>'CUOTA LTP'!N80</f>
        <v>168.82999999999998</v>
      </c>
      <c r="L137" s="2">
        <f>'CUOTA LTP'!O80</f>
        <v>160.66826950000001</v>
      </c>
      <c r="M137" s="33">
        <f>'CUOTA LTP'!P80</f>
        <v>0.51238508856569276</v>
      </c>
      <c r="N137" s="10" t="s">
        <v>91</v>
      </c>
      <c r="O137" s="10">
        <f>'RESUMEN '!$B$3</f>
        <v>44561</v>
      </c>
      <c r="P137" s="39">
        <v>2021</v>
      </c>
      <c r="Q137" s="3"/>
    </row>
    <row r="138" spans="1:17" x14ac:dyDescent="0.25">
      <c r="A138" s="3" t="s">
        <v>20</v>
      </c>
      <c r="B138" s="3" t="s">
        <v>84</v>
      </c>
      <c r="C138" s="3" t="s">
        <v>95</v>
      </c>
      <c r="D138" s="3" t="s">
        <v>100</v>
      </c>
      <c r="E138" s="3" t="str">
        <f>'CUOTA LTP'!C82</f>
        <v>BAYCIC BAYCIC MARIA</v>
      </c>
      <c r="F138" s="3" t="s">
        <v>87</v>
      </c>
      <c r="G138" s="3" t="s">
        <v>88</v>
      </c>
      <c r="H138" s="2">
        <f>'CUOTA LTP'!E82</f>
        <v>3.066E-2</v>
      </c>
      <c r="I138" s="2">
        <f>'CUOTA LTP'!F82</f>
        <v>0</v>
      </c>
      <c r="J138" s="2">
        <f>'CUOTA LTP'!G82</f>
        <v>3.066E-2</v>
      </c>
      <c r="K138" s="2">
        <f>'CUOTA LTP'!H82</f>
        <v>0</v>
      </c>
      <c r="L138" s="2">
        <f>'CUOTA LTP'!I82</f>
        <v>3.066E-2</v>
      </c>
      <c r="M138" s="33">
        <f>'CUOTA LTP'!J82</f>
        <v>0</v>
      </c>
      <c r="N138" s="10" t="s">
        <v>91</v>
      </c>
      <c r="O138" s="10">
        <f>'RESUMEN '!$B$3</f>
        <v>44561</v>
      </c>
      <c r="P138" s="39">
        <v>2021</v>
      </c>
      <c r="Q138" s="3"/>
    </row>
    <row r="139" spans="1:17" x14ac:dyDescent="0.25">
      <c r="A139" s="3" t="s">
        <v>20</v>
      </c>
      <c r="B139" s="3" t="s">
        <v>84</v>
      </c>
      <c r="C139" s="3" t="s">
        <v>95</v>
      </c>
      <c r="D139" s="3" t="s">
        <v>100</v>
      </c>
      <c r="E139" s="3" t="str">
        <f>'CUOTA LTP'!C82</f>
        <v>BAYCIC BAYCIC MARIA</v>
      </c>
      <c r="F139" s="3" t="s">
        <v>89</v>
      </c>
      <c r="G139" s="3" t="s">
        <v>90</v>
      </c>
      <c r="H139" s="2">
        <f>'CUOTA LTP'!E83</f>
        <v>3.3899999999999998E-3</v>
      </c>
      <c r="I139" s="2">
        <f>'CUOTA LTP'!F83</f>
        <v>0</v>
      </c>
      <c r="J139" s="2">
        <f>'CUOTA LTP'!G83</f>
        <v>3.4049999999999997E-2</v>
      </c>
      <c r="K139" s="2">
        <f>'CUOTA LTP'!H83</f>
        <v>0</v>
      </c>
      <c r="L139" s="2">
        <f>'CUOTA LTP'!I83</f>
        <v>3.4049999999999997E-2</v>
      </c>
      <c r="M139" s="33">
        <f>'CUOTA LTP'!J83</f>
        <v>0</v>
      </c>
      <c r="N139" s="10" t="s">
        <v>91</v>
      </c>
      <c r="O139" s="10">
        <f>'RESUMEN '!$B$3</f>
        <v>44561</v>
      </c>
      <c r="P139" s="39">
        <v>2021</v>
      </c>
      <c r="Q139" s="3"/>
    </row>
    <row r="140" spans="1:17" x14ac:dyDescent="0.25">
      <c r="A140" s="3" t="s">
        <v>20</v>
      </c>
      <c r="B140" s="3" t="s">
        <v>84</v>
      </c>
      <c r="C140" s="3" t="s">
        <v>95</v>
      </c>
      <c r="D140" s="3" t="s">
        <v>100</v>
      </c>
      <c r="E140" s="3" t="str">
        <f>'CUOTA LTP'!C82</f>
        <v>BAYCIC BAYCIC MARIA</v>
      </c>
      <c r="F140" s="3" t="s">
        <v>87</v>
      </c>
      <c r="G140" s="3" t="s">
        <v>90</v>
      </c>
      <c r="H140" s="2">
        <f>'CUOTA LTP'!K82</f>
        <v>3.4049999999999997E-2</v>
      </c>
      <c r="I140" s="2">
        <f>'CUOTA LTP'!L82</f>
        <v>0</v>
      </c>
      <c r="J140" s="2">
        <f>'CUOTA LTP'!M82</f>
        <v>3.4049999999999997E-2</v>
      </c>
      <c r="K140" s="2">
        <f>'CUOTA LTP'!N82</f>
        <v>0</v>
      </c>
      <c r="L140" s="2">
        <f>'CUOTA LTP'!O82</f>
        <v>3.4049999999999997E-2</v>
      </c>
      <c r="M140" s="33">
        <f>'CUOTA LTP'!P82</f>
        <v>0</v>
      </c>
      <c r="N140" s="10" t="s">
        <v>91</v>
      </c>
      <c r="O140" s="10">
        <f>'RESUMEN '!$B$3</f>
        <v>44561</v>
      </c>
      <c r="P140" s="39">
        <v>2021</v>
      </c>
      <c r="Q140" s="3"/>
    </row>
    <row r="141" spans="1:17" x14ac:dyDescent="0.25">
      <c r="A141" s="3" t="s">
        <v>20</v>
      </c>
      <c r="B141" s="3" t="s">
        <v>84</v>
      </c>
      <c r="C141" s="3" t="s">
        <v>95</v>
      </c>
      <c r="D141" s="3" t="s">
        <v>100</v>
      </c>
      <c r="E141" s="3" t="str">
        <f>'CUOTA LTP'!C84</f>
        <v>BRACPESCA S.A.</v>
      </c>
      <c r="F141" s="3" t="s">
        <v>87</v>
      </c>
      <c r="G141" s="3" t="s">
        <v>88</v>
      </c>
      <c r="H141" s="2">
        <f>'CUOTA LTP'!E84</f>
        <v>165.15867</v>
      </c>
      <c r="I141" s="2">
        <f>'CUOTA LTP'!F84</f>
        <v>19.7127935</v>
      </c>
      <c r="J141" s="2">
        <f>'CUOTA LTP'!G84</f>
        <v>184.8714635</v>
      </c>
      <c r="K141" s="2">
        <f>'CUOTA LTP'!H84</f>
        <v>90.629000000000005</v>
      </c>
      <c r="L141" s="2">
        <f>'CUOTA LTP'!I84</f>
        <v>94.242463499999999</v>
      </c>
      <c r="M141" s="33">
        <f>'CUOTA LTP'!J84</f>
        <v>0.49022709229539907</v>
      </c>
      <c r="N141" s="10" t="s">
        <v>91</v>
      </c>
      <c r="O141" s="10">
        <f>'RESUMEN '!$B$3</f>
        <v>44561</v>
      </c>
      <c r="P141" s="39">
        <v>2021</v>
      </c>
      <c r="Q141" s="3"/>
    </row>
    <row r="142" spans="1:17" x14ac:dyDescent="0.25">
      <c r="A142" s="3" t="s">
        <v>20</v>
      </c>
      <c r="B142" s="3" t="s">
        <v>84</v>
      </c>
      <c r="C142" s="3" t="s">
        <v>95</v>
      </c>
      <c r="D142" s="3" t="s">
        <v>100</v>
      </c>
      <c r="E142" s="3" t="str">
        <f>'CUOTA LTP'!C84</f>
        <v>BRACPESCA S.A.</v>
      </c>
      <c r="F142" s="3" t="s">
        <v>89</v>
      </c>
      <c r="G142" s="3" t="s">
        <v>90</v>
      </c>
      <c r="H142" s="2">
        <f>'CUOTA LTP'!E85</f>
        <v>18.261230000000001</v>
      </c>
      <c r="I142" s="2">
        <f>'CUOTA LTP'!F85</f>
        <v>0</v>
      </c>
      <c r="J142" s="2">
        <f>'CUOTA LTP'!G85</f>
        <v>112.5036935</v>
      </c>
      <c r="K142" s="2">
        <f>'CUOTA LTP'!H85</f>
        <v>0.66800000000000004</v>
      </c>
      <c r="L142" s="2">
        <f>'CUOTA LTP'!I85</f>
        <v>111.83569349999999</v>
      </c>
      <c r="M142" s="33">
        <f>'CUOTA LTP'!J85</f>
        <v>5.937582840335816E-3</v>
      </c>
      <c r="N142" s="10" t="s">
        <v>91</v>
      </c>
      <c r="O142" s="10">
        <f>'RESUMEN '!$B$3</f>
        <v>44561</v>
      </c>
      <c r="P142" s="39">
        <v>2021</v>
      </c>
      <c r="Q142" s="3"/>
    </row>
    <row r="143" spans="1:17" x14ac:dyDescent="0.25">
      <c r="A143" s="3" t="s">
        <v>20</v>
      </c>
      <c r="B143" s="3" t="s">
        <v>84</v>
      </c>
      <c r="C143" s="3" t="s">
        <v>95</v>
      </c>
      <c r="D143" s="3" t="s">
        <v>100</v>
      </c>
      <c r="E143" s="3" t="str">
        <f>'CUOTA LTP'!C84</f>
        <v>BRACPESCA S.A.</v>
      </c>
      <c r="F143" s="3" t="s">
        <v>87</v>
      </c>
      <c r="G143" s="3" t="s">
        <v>90</v>
      </c>
      <c r="H143" s="2">
        <f>'CUOTA LTP'!K84</f>
        <v>183.41990000000001</v>
      </c>
      <c r="I143" s="2">
        <f>'CUOTA LTP'!L84</f>
        <v>19.7127935</v>
      </c>
      <c r="J143" s="2">
        <f>'CUOTA LTP'!M84</f>
        <v>203.13269350000002</v>
      </c>
      <c r="K143" s="2">
        <f>'CUOTA LTP'!N84</f>
        <v>91.297000000000011</v>
      </c>
      <c r="L143" s="2">
        <f>'CUOTA LTP'!O84</f>
        <v>111.8356935</v>
      </c>
      <c r="M143" s="33">
        <f>'CUOTA LTP'!P84</f>
        <v>0.44944513080067044</v>
      </c>
      <c r="N143" s="10" t="s">
        <v>91</v>
      </c>
      <c r="O143" s="10">
        <f>'RESUMEN '!$B$3</f>
        <v>44561</v>
      </c>
      <c r="P143" s="39">
        <v>2021</v>
      </c>
      <c r="Q143" s="3"/>
    </row>
    <row r="144" spans="1:17" x14ac:dyDescent="0.25">
      <c r="A144" s="3" t="s">
        <v>20</v>
      </c>
      <c r="B144" s="3" t="s">
        <v>84</v>
      </c>
      <c r="C144" s="3" t="s">
        <v>95</v>
      </c>
      <c r="D144" s="3" t="s">
        <v>100</v>
      </c>
      <c r="E144" s="3" t="str">
        <f>'CUOTA LTP'!C86</f>
        <v>CAMANCHACA PESCA SUR S.A.</v>
      </c>
      <c r="F144" s="3" t="s">
        <v>87</v>
      </c>
      <c r="G144" s="3" t="s">
        <v>88</v>
      </c>
      <c r="H144" s="2">
        <f>'CUOTA LTP'!E86</f>
        <v>5.3724500000000006</v>
      </c>
      <c r="I144" s="2">
        <f>'CUOTA LTP'!F86</f>
        <v>0</v>
      </c>
      <c r="J144" s="2">
        <f>'CUOTA LTP'!G86</f>
        <v>5.3724500000000006</v>
      </c>
      <c r="K144" s="2">
        <f>'CUOTA LTP'!H86</f>
        <v>0</v>
      </c>
      <c r="L144" s="2">
        <f>'CUOTA LTP'!I86</f>
        <v>5.3724500000000006</v>
      </c>
      <c r="M144" s="33">
        <f>'CUOTA LTP'!J86</f>
        <v>0</v>
      </c>
      <c r="N144" s="10" t="s">
        <v>91</v>
      </c>
      <c r="O144" s="10">
        <f>'RESUMEN '!$B$3</f>
        <v>44561</v>
      </c>
      <c r="P144" s="39">
        <v>2021</v>
      </c>
      <c r="Q144" s="3"/>
    </row>
    <row r="145" spans="1:17" x14ac:dyDescent="0.25">
      <c r="A145" s="3" t="s">
        <v>20</v>
      </c>
      <c r="B145" s="3" t="s">
        <v>84</v>
      </c>
      <c r="C145" s="3" t="s">
        <v>95</v>
      </c>
      <c r="D145" s="3" t="s">
        <v>100</v>
      </c>
      <c r="E145" s="3" t="str">
        <f>'CUOTA LTP'!C86</f>
        <v>CAMANCHACA PESCA SUR S.A.</v>
      </c>
      <c r="F145" s="3" t="s">
        <v>89</v>
      </c>
      <c r="G145" s="3" t="s">
        <v>90</v>
      </c>
      <c r="H145" s="2">
        <f>'CUOTA LTP'!E87</f>
        <v>0.59401999999999999</v>
      </c>
      <c r="I145" s="2">
        <f>'CUOTA LTP'!F87</f>
        <v>0</v>
      </c>
      <c r="J145" s="2">
        <f>'CUOTA LTP'!G87</f>
        <v>5.9664700000000011</v>
      </c>
      <c r="K145" s="2">
        <f>'CUOTA LTP'!H87</f>
        <v>0</v>
      </c>
      <c r="L145" s="2">
        <f>'CUOTA LTP'!I87</f>
        <v>5.9664700000000011</v>
      </c>
      <c r="M145" s="33">
        <f>'CUOTA LTP'!J87</f>
        <v>0</v>
      </c>
      <c r="N145" s="10" t="s">
        <v>91</v>
      </c>
      <c r="O145" s="10">
        <f>'RESUMEN '!$B$3</f>
        <v>44561</v>
      </c>
      <c r="P145" s="39">
        <v>2021</v>
      </c>
      <c r="Q145" s="3"/>
    </row>
    <row r="146" spans="1:17" x14ac:dyDescent="0.25">
      <c r="A146" s="3" t="s">
        <v>20</v>
      </c>
      <c r="B146" s="3" t="s">
        <v>84</v>
      </c>
      <c r="C146" s="3" t="s">
        <v>95</v>
      </c>
      <c r="D146" s="3" t="s">
        <v>100</v>
      </c>
      <c r="E146" s="3" t="str">
        <f>'CUOTA LTP'!C86</f>
        <v>CAMANCHACA PESCA SUR S.A.</v>
      </c>
      <c r="F146" s="3" t="s">
        <v>87</v>
      </c>
      <c r="G146" s="3" t="s">
        <v>90</v>
      </c>
      <c r="H146" s="2">
        <f>'CUOTA LTP'!K86</f>
        <v>5.9664700000000011</v>
      </c>
      <c r="I146" s="2">
        <f>'CUOTA LTP'!L86</f>
        <v>0</v>
      </c>
      <c r="J146" s="2">
        <f>'CUOTA LTP'!M86</f>
        <v>5.9664700000000011</v>
      </c>
      <c r="K146" s="2">
        <f>'CUOTA LTP'!N86</f>
        <v>0</v>
      </c>
      <c r="L146" s="2">
        <f>'CUOTA LTP'!O86</f>
        <v>5.9664700000000011</v>
      </c>
      <c r="M146" s="33">
        <f>'CUOTA LTP'!P86</f>
        <v>0</v>
      </c>
      <c r="N146" s="10" t="s">
        <v>91</v>
      </c>
      <c r="O146" s="10">
        <f>'RESUMEN '!$B$3</f>
        <v>44561</v>
      </c>
      <c r="P146" s="39">
        <v>2021</v>
      </c>
      <c r="Q146" s="3"/>
    </row>
    <row r="147" spans="1:17" x14ac:dyDescent="0.25">
      <c r="A147" s="3" t="s">
        <v>20</v>
      </c>
      <c r="B147" s="3" t="s">
        <v>84</v>
      </c>
      <c r="C147" s="3" t="s">
        <v>95</v>
      </c>
      <c r="D147" s="3" t="s">
        <v>100</v>
      </c>
      <c r="E147" s="3" t="str">
        <f>'CUOTA LTP'!C88</f>
        <v>ANTONIO CRUZ CORDOVA NAKOUZI E.I.R.L.</v>
      </c>
      <c r="F147" s="3" t="s">
        <v>87</v>
      </c>
      <c r="G147" s="3" t="s">
        <v>88</v>
      </c>
      <c r="H147" s="2">
        <f>'CUOTA LTP'!E88</f>
        <v>4.7962499999999997</v>
      </c>
      <c r="I147" s="2">
        <f>'CUOTA LTP'!F88</f>
        <v>0</v>
      </c>
      <c r="J147" s="2">
        <f>'CUOTA LTP'!G88</f>
        <v>4.7962499999999997</v>
      </c>
      <c r="K147" s="2">
        <f>'CUOTA LTP'!H88</f>
        <v>2.1549999999999998</v>
      </c>
      <c r="L147" s="2">
        <f>'CUOTA LTP'!I88</f>
        <v>2.6412499999999999</v>
      </c>
      <c r="M147" s="33">
        <f>'CUOTA LTP'!J88</f>
        <v>0.44930935626791763</v>
      </c>
      <c r="N147" s="10" t="s">
        <v>91</v>
      </c>
      <c r="O147" s="10">
        <f>'RESUMEN '!$B$3</f>
        <v>44561</v>
      </c>
      <c r="P147" s="39">
        <v>2021</v>
      </c>
      <c r="Q147" s="3"/>
    </row>
    <row r="148" spans="1:17" x14ac:dyDescent="0.25">
      <c r="A148" s="3" t="s">
        <v>20</v>
      </c>
      <c r="B148" s="3" t="s">
        <v>84</v>
      </c>
      <c r="C148" s="3" t="s">
        <v>95</v>
      </c>
      <c r="D148" s="3" t="s">
        <v>100</v>
      </c>
      <c r="E148" s="3" t="str">
        <f>'CUOTA LTP'!C88</f>
        <v>ANTONIO CRUZ CORDOVA NAKOUZI E.I.R.L.</v>
      </c>
      <c r="F148" s="3" t="s">
        <v>89</v>
      </c>
      <c r="G148" s="3" t="s">
        <v>90</v>
      </c>
      <c r="H148" s="2">
        <f>'CUOTA LTP'!E89</f>
        <v>0.53030999999999995</v>
      </c>
      <c r="I148" s="2">
        <f>'CUOTA LTP'!F89</f>
        <v>0</v>
      </c>
      <c r="J148" s="2">
        <f>'CUOTA LTP'!G89</f>
        <v>3.1715599999999999</v>
      </c>
      <c r="K148" s="2">
        <f>'CUOTA LTP'!H89</f>
        <v>0</v>
      </c>
      <c r="L148" s="2">
        <f>'CUOTA LTP'!I89</f>
        <v>3.1715599999999999</v>
      </c>
      <c r="M148" s="33">
        <f>'CUOTA LTP'!J89</f>
        <v>0</v>
      </c>
      <c r="N148" s="10" t="s">
        <v>91</v>
      </c>
      <c r="O148" s="10">
        <f>'RESUMEN '!$B$3</f>
        <v>44561</v>
      </c>
      <c r="P148" s="39">
        <v>2021</v>
      </c>
      <c r="Q148" s="3"/>
    </row>
    <row r="149" spans="1:17" x14ac:dyDescent="0.25">
      <c r="A149" s="3" t="s">
        <v>20</v>
      </c>
      <c r="B149" s="3" t="s">
        <v>84</v>
      </c>
      <c r="C149" s="3" t="s">
        <v>95</v>
      </c>
      <c r="D149" s="3" t="s">
        <v>100</v>
      </c>
      <c r="E149" s="3" t="str">
        <f>'CUOTA LTP'!C88</f>
        <v>ANTONIO CRUZ CORDOVA NAKOUZI E.I.R.L.</v>
      </c>
      <c r="F149" s="3" t="s">
        <v>87</v>
      </c>
      <c r="G149" s="3" t="s">
        <v>90</v>
      </c>
      <c r="H149" s="2">
        <f>'CUOTA LTP'!K88</f>
        <v>5.3265599999999997</v>
      </c>
      <c r="I149" s="2">
        <f>'CUOTA LTP'!L88</f>
        <v>0</v>
      </c>
      <c r="J149" s="2">
        <f>'CUOTA LTP'!M88</f>
        <v>5.3265599999999997</v>
      </c>
      <c r="K149" s="2">
        <f>'CUOTA LTP'!N88</f>
        <v>2.1549999999999998</v>
      </c>
      <c r="L149" s="2">
        <f>'CUOTA LTP'!O88</f>
        <v>3.1715599999999999</v>
      </c>
      <c r="M149" s="33">
        <f>'CUOTA LTP'!P88</f>
        <v>0.40457631191613347</v>
      </c>
      <c r="N149" s="10" t="s">
        <v>91</v>
      </c>
      <c r="O149" s="10">
        <f>'RESUMEN '!$B$3</f>
        <v>44561</v>
      </c>
      <c r="P149" s="39">
        <v>2021</v>
      </c>
      <c r="Q149" s="3"/>
    </row>
    <row r="150" spans="1:17" x14ac:dyDescent="0.25">
      <c r="A150" s="3" t="s">
        <v>20</v>
      </c>
      <c r="B150" s="3" t="s">
        <v>84</v>
      </c>
      <c r="C150" s="3" t="s">
        <v>95</v>
      </c>
      <c r="D150" s="3" t="s">
        <v>100</v>
      </c>
      <c r="E150" s="3" t="str">
        <f>'CUOTA LTP'!C90</f>
        <v>GRIMAR S.A. PESQ.</v>
      </c>
      <c r="F150" s="3" t="s">
        <v>87</v>
      </c>
      <c r="G150" s="3" t="s">
        <v>88</v>
      </c>
      <c r="H150" s="2">
        <f>'CUOTA LTP'!E90</f>
        <v>2.9014600000000002</v>
      </c>
      <c r="I150" s="2">
        <f>'CUOTA LTP'!F90</f>
        <v>0</v>
      </c>
      <c r="J150" s="2">
        <f>'CUOTA LTP'!G90</f>
        <v>2.9014600000000002</v>
      </c>
      <c r="K150" s="2">
        <f>'CUOTA LTP'!H90</f>
        <v>0</v>
      </c>
      <c r="L150" s="2">
        <f>'CUOTA LTP'!I90</f>
        <v>2.9014600000000002</v>
      </c>
      <c r="M150" s="33">
        <f>'CUOTA LTP'!J90</f>
        <v>0</v>
      </c>
      <c r="N150" s="10" t="s">
        <v>91</v>
      </c>
      <c r="O150" s="10">
        <f>'RESUMEN '!$B$3</f>
        <v>44561</v>
      </c>
      <c r="P150" s="39">
        <v>2021</v>
      </c>
      <c r="Q150" s="3"/>
    </row>
    <row r="151" spans="1:17" x14ac:dyDescent="0.25">
      <c r="A151" s="3" t="s">
        <v>20</v>
      </c>
      <c r="B151" s="3" t="s">
        <v>84</v>
      </c>
      <c r="C151" s="3" t="s">
        <v>95</v>
      </c>
      <c r="D151" s="3" t="s">
        <v>100</v>
      </c>
      <c r="E151" s="3" t="str">
        <f>'CUOTA LTP'!C90</f>
        <v>GRIMAR S.A. PESQ.</v>
      </c>
      <c r="F151" s="3" t="s">
        <v>89</v>
      </c>
      <c r="G151" s="3" t="s">
        <v>90</v>
      </c>
      <c r="H151" s="2">
        <f>'CUOTA LTP'!E91</f>
        <v>0.32080999999999998</v>
      </c>
      <c r="I151" s="2">
        <f>'CUOTA LTP'!F91</f>
        <v>0</v>
      </c>
      <c r="J151" s="2">
        <f>'CUOTA LTP'!G91</f>
        <v>3.22227</v>
      </c>
      <c r="K151" s="2">
        <f>'CUOTA LTP'!H91</f>
        <v>0</v>
      </c>
      <c r="L151" s="2">
        <f>'CUOTA LTP'!I91</f>
        <v>3.22227</v>
      </c>
      <c r="M151" s="33">
        <f>'CUOTA LTP'!J91</f>
        <v>0</v>
      </c>
      <c r="N151" s="10" t="s">
        <v>91</v>
      </c>
      <c r="O151" s="10">
        <f>'RESUMEN '!$B$3</f>
        <v>44561</v>
      </c>
      <c r="P151" s="39">
        <v>2021</v>
      </c>
      <c r="Q151" s="3"/>
    </row>
    <row r="152" spans="1:17" x14ac:dyDescent="0.25">
      <c r="A152" s="3" t="s">
        <v>20</v>
      </c>
      <c r="B152" s="3" t="s">
        <v>84</v>
      </c>
      <c r="C152" s="3" t="s">
        <v>95</v>
      </c>
      <c r="D152" s="3" t="s">
        <v>100</v>
      </c>
      <c r="E152" s="3" t="str">
        <f>'CUOTA LTP'!C90</f>
        <v>GRIMAR S.A. PESQ.</v>
      </c>
      <c r="F152" s="3" t="s">
        <v>87</v>
      </c>
      <c r="G152" s="3" t="s">
        <v>90</v>
      </c>
      <c r="H152" s="2">
        <f>'CUOTA LTP'!K90</f>
        <v>3.22227</v>
      </c>
      <c r="I152" s="2">
        <f>'CUOTA LTP'!L90</f>
        <v>0</v>
      </c>
      <c r="J152" s="2">
        <f>'CUOTA LTP'!M90</f>
        <v>3.22227</v>
      </c>
      <c r="K152" s="2">
        <f>'CUOTA LTP'!N90</f>
        <v>0</v>
      </c>
      <c r="L152" s="2">
        <f>'CUOTA LTP'!O90</f>
        <v>3.22227</v>
      </c>
      <c r="M152" s="33">
        <f>'CUOTA LTP'!P90</f>
        <v>0</v>
      </c>
      <c r="N152" s="10" t="s">
        <v>91</v>
      </c>
      <c r="O152" s="10">
        <f>'RESUMEN '!$B$3</f>
        <v>44561</v>
      </c>
      <c r="P152" s="39">
        <v>2021</v>
      </c>
      <c r="Q152" s="3"/>
    </row>
    <row r="153" spans="1:17" x14ac:dyDescent="0.25">
      <c r="A153" s="3" t="s">
        <v>20</v>
      </c>
      <c r="B153" s="3" t="s">
        <v>84</v>
      </c>
      <c r="C153" s="3" t="s">
        <v>95</v>
      </c>
      <c r="D153" s="3" t="s">
        <v>100</v>
      </c>
      <c r="E153" s="3" t="str">
        <f>'CUOTA LTP'!C92</f>
        <v>ISLADAMAS S.A. PESQ.</v>
      </c>
      <c r="F153" s="3" t="s">
        <v>87</v>
      </c>
      <c r="G153" s="3" t="s">
        <v>88</v>
      </c>
      <c r="H153" s="2">
        <f>'CUOTA LTP'!E92</f>
        <v>305.85439000000002</v>
      </c>
      <c r="I153" s="2">
        <f>'CUOTA LTP'!F92</f>
        <v>1.4414464999999979</v>
      </c>
      <c r="J153" s="2">
        <f>'CUOTA LTP'!G92</f>
        <v>307.29583650000001</v>
      </c>
      <c r="K153" s="2">
        <f>'CUOTA LTP'!H92</f>
        <v>299.48199999999997</v>
      </c>
      <c r="L153" s="2">
        <f>'CUOTA LTP'!I92</f>
        <v>7.8138365000000363</v>
      </c>
      <c r="M153" s="33">
        <f>'CUOTA LTP'!J92</f>
        <v>0.97457226694316101</v>
      </c>
      <c r="N153" s="10" t="s">
        <v>91</v>
      </c>
      <c r="O153" s="10">
        <f>'RESUMEN '!$B$3</f>
        <v>44561</v>
      </c>
      <c r="P153" s="39">
        <v>2021</v>
      </c>
      <c r="Q153" s="3"/>
    </row>
    <row r="154" spans="1:17" x14ac:dyDescent="0.25">
      <c r="A154" s="3" t="s">
        <v>20</v>
      </c>
      <c r="B154" s="3" t="s">
        <v>84</v>
      </c>
      <c r="C154" s="3" t="s">
        <v>95</v>
      </c>
      <c r="D154" s="3" t="s">
        <v>100</v>
      </c>
      <c r="E154" s="3" t="str">
        <f>'CUOTA LTP'!C92</f>
        <v>ISLADAMAS S.A. PESQ.</v>
      </c>
      <c r="F154" s="3" t="s">
        <v>89</v>
      </c>
      <c r="G154" s="3" t="s">
        <v>90</v>
      </c>
      <c r="H154" s="2">
        <f>'CUOTA LTP'!E93</f>
        <v>33.817669999999993</v>
      </c>
      <c r="I154" s="2">
        <f>'CUOTA LTP'!F93</f>
        <v>0</v>
      </c>
      <c r="J154" s="2">
        <f>'CUOTA LTP'!G93</f>
        <v>41.631506500000029</v>
      </c>
      <c r="K154" s="2">
        <f>'CUOTA LTP'!H93</f>
        <v>67.510999999999996</v>
      </c>
      <c r="L154" s="2">
        <f>'CUOTA LTP'!I93</f>
        <v>-25.879493499999967</v>
      </c>
      <c r="M154" s="33">
        <f>'CUOTA LTP'!J93</f>
        <v>1.6216324047749737</v>
      </c>
      <c r="N154" s="10" t="s">
        <v>91</v>
      </c>
      <c r="O154" s="10">
        <f>'RESUMEN '!$B$3</f>
        <v>44561</v>
      </c>
      <c r="P154" s="39">
        <v>2021</v>
      </c>
      <c r="Q154" s="3"/>
    </row>
    <row r="155" spans="1:17" x14ac:dyDescent="0.25">
      <c r="A155" s="3" t="s">
        <v>20</v>
      </c>
      <c r="B155" s="3" t="s">
        <v>84</v>
      </c>
      <c r="C155" s="3" t="s">
        <v>95</v>
      </c>
      <c r="D155" s="3" t="s">
        <v>100</v>
      </c>
      <c r="E155" s="3" t="str">
        <f>'CUOTA LTP'!C92</f>
        <v>ISLADAMAS S.A. PESQ.</v>
      </c>
      <c r="F155" s="3" t="s">
        <v>87</v>
      </c>
      <c r="G155" s="3" t="s">
        <v>90</v>
      </c>
      <c r="H155" s="2">
        <f>'CUOTA LTP'!K92</f>
        <v>339.67205999999999</v>
      </c>
      <c r="I155" s="2">
        <f>'CUOTA LTP'!L92</f>
        <v>1.4414464999999979</v>
      </c>
      <c r="J155" s="2">
        <f>'CUOTA LTP'!M92</f>
        <v>341.11350649999997</v>
      </c>
      <c r="K155" s="2">
        <f>'CUOTA LTP'!N92</f>
        <v>366.99299999999994</v>
      </c>
      <c r="L155" s="2">
        <f>'CUOTA LTP'!O92</f>
        <v>-25.879493499999967</v>
      </c>
      <c r="M155" s="33">
        <f>'CUOTA LTP'!P92</f>
        <v>1.0758676892203327</v>
      </c>
      <c r="N155" s="10" t="s">
        <v>91</v>
      </c>
      <c r="O155" s="10">
        <f>'RESUMEN '!$B$3</f>
        <v>44561</v>
      </c>
      <c r="P155" s="39">
        <v>2021</v>
      </c>
      <c r="Q155" s="3"/>
    </row>
    <row r="156" spans="1:17" x14ac:dyDescent="0.25">
      <c r="A156" s="3" t="s">
        <v>20</v>
      </c>
      <c r="B156" s="3" t="s">
        <v>84</v>
      </c>
      <c r="C156" s="3" t="s">
        <v>95</v>
      </c>
      <c r="D156" s="3" t="s">
        <v>100</v>
      </c>
      <c r="E156" s="3" t="str">
        <f>'CUOTA LTP'!C94</f>
        <v>LANDES S.A. PESQ.</v>
      </c>
      <c r="F156" s="3" t="s">
        <v>87</v>
      </c>
      <c r="G156" s="3" t="s">
        <v>88</v>
      </c>
      <c r="H156" s="2">
        <f>'CUOTA LTP'!E94</f>
        <v>1.58379</v>
      </c>
      <c r="I156" s="2">
        <f>'CUOTA LTP'!F94</f>
        <v>0</v>
      </c>
      <c r="J156" s="2">
        <f>'CUOTA LTP'!G94</f>
        <v>1.58379</v>
      </c>
      <c r="K156" s="2">
        <f>'CUOTA LTP'!H94</f>
        <v>0</v>
      </c>
      <c r="L156" s="2">
        <f>'CUOTA LTP'!I94</f>
        <v>1.58379</v>
      </c>
      <c r="M156" s="33">
        <f>'CUOTA LTP'!J94</f>
        <v>0</v>
      </c>
      <c r="N156" s="10" t="s">
        <v>91</v>
      </c>
      <c r="O156" s="10">
        <f>'RESUMEN '!$B$3</f>
        <v>44561</v>
      </c>
      <c r="P156" s="39">
        <v>2021</v>
      </c>
      <c r="Q156" s="3"/>
    </row>
    <row r="157" spans="1:17" x14ac:dyDescent="0.25">
      <c r="A157" s="3" t="s">
        <v>20</v>
      </c>
      <c r="B157" s="3" t="s">
        <v>84</v>
      </c>
      <c r="C157" s="3" t="s">
        <v>95</v>
      </c>
      <c r="D157" s="3" t="s">
        <v>100</v>
      </c>
      <c r="E157" s="3" t="str">
        <f>'CUOTA LTP'!C94</f>
        <v>LANDES S.A. PESQ.</v>
      </c>
      <c r="F157" s="3" t="s">
        <v>89</v>
      </c>
      <c r="G157" s="3" t="s">
        <v>90</v>
      </c>
      <c r="H157" s="2">
        <f>'CUOTA LTP'!E95</f>
        <v>0.17512</v>
      </c>
      <c r="I157" s="2">
        <f>'CUOTA LTP'!F95</f>
        <v>0</v>
      </c>
      <c r="J157" s="2">
        <f>'CUOTA LTP'!G95</f>
        <v>1.75891</v>
      </c>
      <c r="K157" s="2">
        <f>'CUOTA LTP'!H95</f>
        <v>0</v>
      </c>
      <c r="L157" s="2">
        <f>'CUOTA LTP'!I95</f>
        <v>1.75891</v>
      </c>
      <c r="M157" s="33">
        <f>'CUOTA LTP'!J95</f>
        <v>0</v>
      </c>
      <c r="N157" s="10" t="s">
        <v>91</v>
      </c>
      <c r="O157" s="10">
        <f>'RESUMEN '!$B$3</f>
        <v>44561</v>
      </c>
      <c r="P157" s="39">
        <v>2021</v>
      </c>
      <c r="Q157" s="3"/>
    </row>
    <row r="158" spans="1:17" x14ac:dyDescent="0.25">
      <c r="A158" s="3" t="s">
        <v>20</v>
      </c>
      <c r="B158" s="3" t="s">
        <v>84</v>
      </c>
      <c r="C158" s="3" t="s">
        <v>95</v>
      </c>
      <c r="D158" s="3" t="s">
        <v>100</v>
      </c>
      <c r="E158" s="3" t="str">
        <f>'CUOTA LTP'!C94</f>
        <v>LANDES S.A. PESQ.</v>
      </c>
      <c r="F158" s="3" t="s">
        <v>87</v>
      </c>
      <c r="G158" s="3" t="s">
        <v>90</v>
      </c>
      <c r="H158" s="2">
        <f>'CUOTA LTP'!K94</f>
        <v>1.75891</v>
      </c>
      <c r="I158" s="2">
        <f>'CUOTA LTP'!L94</f>
        <v>0</v>
      </c>
      <c r="J158" s="2">
        <f>'CUOTA LTP'!M94</f>
        <v>1.75891</v>
      </c>
      <c r="K158" s="2">
        <f>'CUOTA LTP'!N94</f>
        <v>0</v>
      </c>
      <c r="L158" s="2">
        <f>'CUOTA LTP'!O94</f>
        <v>1.75891</v>
      </c>
      <c r="M158" s="33">
        <f>'CUOTA LTP'!P94</f>
        <v>0</v>
      </c>
      <c r="N158" s="10" t="s">
        <v>91</v>
      </c>
      <c r="O158" s="10">
        <f>'RESUMEN '!$B$3</f>
        <v>44561</v>
      </c>
      <c r="P158" s="39">
        <v>2021</v>
      </c>
      <c r="Q158" s="3"/>
    </row>
    <row r="159" spans="1:17" x14ac:dyDescent="0.25">
      <c r="A159" s="3" t="s">
        <v>20</v>
      </c>
      <c r="B159" s="3" t="s">
        <v>84</v>
      </c>
      <c r="C159" s="3" t="s">
        <v>95</v>
      </c>
      <c r="D159" s="3" t="s">
        <v>100</v>
      </c>
      <c r="E159" s="3" t="str">
        <f>'CUOTA LTP'!C96</f>
        <v>ZUÑIGA ROMERO GONZALO</v>
      </c>
      <c r="F159" s="3" t="s">
        <v>87</v>
      </c>
      <c r="G159" s="3" t="s">
        <v>88</v>
      </c>
      <c r="H159" s="2">
        <f>'CUOTA LTP'!E96</f>
        <v>33.200389999999999</v>
      </c>
      <c r="I159" s="2">
        <f>'CUOTA LTP'!F96</f>
        <v>0</v>
      </c>
      <c r="J159" s="2">
        <f>'CUOTA LTP'!G96</f>
        <v>33.200389999999999</v>
      </c>
      <c r="K159" s="2">
        <f>'CUOTA LTP'!H96</f>
        <v>32.557000000000002</v>
      </c>
      <c r="L159" s="2">
        <f>'CUOTA LTP'!I96</f>
        <v>0.64338999999999658</v>
      </c>
      <c r="M159" s="33">
        <f>'CUOTA LTP'!J96</f>
        <v>0.98062101077728314</v>
      </c>
      <c r="N159" s="10" t="s">
        <v>91</v>
      </c>
      <c r="O159" s="10">
        <f>'RESUMEN '!$B$3</f>
        <v>44561</v>
      </c>
      <c r="P159" s="39">
        <v>2021</v>
      </c>
      <c r="Q159" s="3"/>
    </row>
    <row r="160" spans="1:17" x14ac:dyDescent="0.25">
      <c r="A160" s="3" t="s">
        <v>20</v>
      </c>
      <c r="B160" s="3" t="s">
        <v>84</v>
      </c>
      <c r="C160" s="3" t="s">
        <v>95</v>
      </c>
      <c r="D160" s="3" t="s">
        <v>100</v>
      </c>
      <c r="E160" s="3" t="str">
        <f>'CUOTA LTP'!C96</f>
        <v>ZUÑIGA ROMERO GONZALO</v>
      </c>
      <c r="F160" s="3" t="s">
        <v>89</v>
      </c>
      <c r="G160" s="3" t="s">
        <v>90</v>
      </c>
      <c r="H160" s="2">
        <f>'CUOTA LTP'!E97</f>
        <v>3.6708799999999999</v>
      </c>
      <c r="I160" s="2">
        <f>'CUOTA LTP'!F97</f>
        <v>0</v>
      </c>
      <c r="J160" s="2">
        <f>'CUOTA LTP'!G97</f>
        <v>4.3142699999999969</v>
      </c>
      <c r="K160" s="2">
        <f>'CUOTA LTP'!H97</f>
        <v>0</v>
      </c>
      <c r="L160" s="2">
        <f>'CUOTA LTP'!I97</f>
        <v>4.3142699999999969</v>
      </c>
      <c r="M160" s="33">
        <f>'CUOTA LTP'!J97</f>
        <v>0</v>
      </c>
      <c r="N160" s="10" t="s">
        <v>91</v>
      </c>
      <c r="O160" s="10">
        <f>'RESUMEN '!$B$3</f>
        <v>44561</v>
      </c>
      <c r="P160" s="39">
        <v>2021</v>
      </c>
      <c r="Q160" s="3"/>
    </row>
    <row r="161" spans="1:17" x14ac:dyDescent="0.25">
      <c r="A161" s="3" t="s">
        <v>20</v>
      </c>
      <c r="B161" s="3" t="s">
        <v>84</v>
      </c>
      <c r="C161" s="3" t="s">
        <v>95</v>
      </c>
      <c r="D161" s="3" t="s">
        <v>100</v>
      </c>
      <c r="E161" s="3" t="str">
        <f>'CUOTA LTP'!C96</f>
        <v>ZUÑIGA ROMERO GONZALO</v>
      </c>
      <c r="F161" s="3" t="s">
        <v>87</v>
      </c>
      <c r="G161" s="3" t="s">
        <v>90</v>
      </c>
      <c r="H161" s="2">
        <f>'CUOTA LTP'!K96</f>
        <v>36.871269999999996</v>
      </c>
      <c r="I161" s="2">
        <f>'CUOTA LTP'!L96</f>
        <v>0</v>
      </c>
      <c r="J161" s="2">
        <f>'CUOTA LTP'!M96</f>
        <v>36.871269999999996</v>
      </c>
      <c r="K161" s="2">
        <f>'CUOTA LTP'!N96</f>
        <v>32.557000000000002</v>
      </c>
      <c r="L161" s="2">
        <f>'CUOTA LTP'!O96</f>
        <v>4.3142699999999934</v>
      </c>
      <c r="M161" s="33">
        <f>'CUOTA LTP'!P96</f>
        <v>0.88299101170098038</v>
      </c>
      <c r="N161" s="10" t="s">
        <v>91</v>
      </c>
      <c r="O161" s="10">
        <f>'RESUMEN '!$B$3</f>
        <v>44561</v>
      </c>
      <c r="P161" s="39">
        <v>2021</v>
      </c>
      <c r="Q161" s="3"/>
    </row>
    <row r="162" spans="1:17" x14ac:dyDescent="0.25">
      <c r="A162" s="3" t="s">
        <v>20</v>
      </c>
      <c r="B162" s="3" t="s">
        <v>84</v>
      </c>
      <c r="C162" s="3" t="s">
        <v>95</v>
      </c>
      <c r="D162" s="3" t="s">
        <v>100</v>
      </c>
      <c r="E162" s="3" t="str">
        <f>'CUOTA LTP'!C98</f>
        <v>MOROZIN YURECIC MARIO</v>
      </c>
      <c r="F162" s="3" t="s">
        <v>87</v>
      </c>
      <c r="G162" s="3" t="s">
        <v>88</v>
      </c>
      <c r="H162" s="2">
        <f>'CUOTA LTP'!E98</f>
        <v>3.066E-2</v>
      </c>
      <c r="I162" s="2">
        <f>'CUOTA LTP'!F98</f>
        <v>0</v>
      </c>
      <c r="J162" s="2">
        <f>'CUOTA LTP'!G98</f>
        <v>3.066E-2</v>
      </c>
      <c r="K162" s="2">
        <f>'CUOTA LTP'!H98</f>
        <v>0</v>
      </c>
      <c r="L162" s="2">
        <f>'CUOTA LTP'!I98</f>
        <v>3.066E-2</v>
      </c>
      <c r="M162" s="33">
        <f>'CUOTA LTP'!J98</f>
        <v>0</v>
      </c>
      <c r="N162" s="10" t="s">
        <v>91</v>
      </c>
      <c r="O162" s="10">
        <f>'RESUMEN '!$B$3</f>
        <v>44561</v>
      </c>
      <c r="P162" s="39">
        <v>2021</v>
      </c>
      <c r="Q162" s="3"/>
    </row>
    <row r="163" spans="1:17" x14ac:dyDescent="0.25">
      <c r="A163" s="3" t="s">
        <v>20</v>
      </c>
      <c r="B163" s="3" t="s">
        <v>84</v>
      </c>
      <c r="C163" s="3" t="s">
        <v>95</v>
      </c>
      <c r="D163" s="3" t="s">
        <v>100</v>
      </c>
      <c r="E163" s="3" t="str">
        <f>'CUOTA LTP'!C98</f>
        <v>MOROZIN YURECIC MARIO</v>
      </c>
      <c r="F163" s="3" t="s">
        <v>89</v>
      </c>
      <c r="G163" s="3" t="s">
        <v>90</v>
      </c>
      <c r="H163" s="2">
        <f>'CUOTA LTP'!E99</f>
        <v>3.3899999999999998E-3</v>
      </c>
      <c r="I163" s="2">
        <f>'CUOTA LTP'!F99</f>
        <v>0</v>
      </c>
      <c r="J163" s="2">
        <f>'CUOTA LTP'!G99</f>
        <v>3.4049999999999997E-2</v>
      </c>
      <c r="K163" s="2">
        <f>'CUOTA LTP'!H99</f>
        <v>0</v>
      </c>
      <c r="L163" s="2">
        <f>'CUOTA LTP'!I99</f>
        <v>3.4049999999999997E-2</v>
      </c>
      <c r="M163" s="33">
        <f>'CUOTA LTP'!J99</f>
        <v>0</v>
      </c>
      <c r="N163" s="10" t="s">
        <v>91</v>
      </c>
      <c r="O163" s="10">
        <f>'RESUMEN '!$B$3</f>
        <v>44561</v>
      </c>
      <c r="P163" s="39">
        <v>2021</v>
      </c>
      <c r="Q163" s="3"/>
    </row>
    <row r="164" spans="1:17" x14ac:dyDescent="0.25">
      <c r="A164" s="3" t="s">
        <v>20</v>
      </c>
      <c r="B164" s="3" t="s">
        <v>84</v>
      </c>
      <c r="C164" s="3" t="s">
        <v>95</v>
      </c>
      <c r="D164" s="3" t="s">
        <v>100</v>
      </c>
      <c r="E164" s="3" t="str">
        <f>'CUOTA LTP'!C98</f>
        <v>MOROZIN YURECIC MARIO</v>
      </c>
      <c r="F164" s="3" t="s">
        <v>87</v>
      </c>
      <c r="G164" s="3" t="s">
        <v>90</v>
      </c>
      <c r="H164" s="2">
        <f>'CUOTA LTP'!K98</f>
        <v>3.4049999999999997E-2</v>
      </c>
      <c r="I164" s="2">
        <f>'CUOTA LTP'!L98</f>
        <v>0</v>
      </c>
      <c r="J164" s="2">
        <f>'CUOTA LTP'!M98</f>
        <v>3.4049999999999997E-2</v>
      </c>
      <c r="K164" s="2">
        <f>'CUOTA LTP'!N98</f>
        <v>0</v>
      </c>
      <c r="L164" s="2">
        <f>'CUOTA LTP'!O98</f>
        <v>3.4049999999999997E-2</v>
      </c>
      <c r="M164" s="33">
        <f>'CUOTA LTP'!P98</f>
        <v>0</v>
      </c>
      <c r="N164" s="10" t="s">
        <v>91</v>
      </c>
      <c r="O164" s="10">
        <f>'RESUMEN '!$B$3</f>
        <v>44561</v>
      </c>
      <c r="P164" s="39">
        <v>2021</v>
      </c>
      <c r="Q164" s="3"/>
    </row>
    <row r="165" spans="1:17" x14ac:dyDescent="0.25">
      <c r="A165" s="3" t="s">
        <v>20</v>
      </c>
      <c r="B165" s="3" t="s">
        <v>84</v>
      </c>
      <c r="C165" s="3" t="s">
        <v>95</v>
      </c>
      <c r="D165" s="3" t="s">
        <v>100</v>
      </c>
      <c r="E165" s="3" t="str">
        <f>'CUOTA LTP'!C100</f>
        <v>QUINTERO LTDA. SOC. PESQ.</v>
      </c>
      <c r="F165" s="3" t="s">
        <v>87</v>
      </c>
      <c r="G165" s="3" t="s">
        <v>88</v>
      </c>
      <c r="H165" s="2">
        <f>'CUOTA LTP'!E100</f>
        <v>2.044E-2</v>
      </c>
      <c r="I165" s="2">
        <f>'CUOTA LTP'!F100</f>
        <v>19.885540499999998</v>
      </c>
      <c r="J165" s="2">
        <f>'CUOTA LTP'!G100</f>
        <v>19.905980499999998</v>
      </c>
      <c r="K165" s="2">
        <f>'CUOTA LTP'!H100</f>
        <v>0</v>
      </c>
      <c r="L165" s="2">
        <f>'CUOTA LTP'!I100</f>
        <v>19.905980499999998</v>
      </c>
      <c r="M165" s="33">
        <f>'CUOTA LTP'!J100</f>
        <v>0</v>
      </c>
      <c r="N165" s="10" t="s">
        <v>91</v>
      </c>
      <c r="O165" s="10">
        <f>'RESUMEN '!$B$3</f>
        <v>44561</v>
      </c>
      <c r="P165" s="39">
        <v>2021</v>
      </c>
      <c r="Q165" s="3"/>
    </row>
    <row r="166" spans="1:17" x14ac:dyDescent="0.25">
      <c r="A166" s="3" t="s">
        <v>20</v>
      </c>
      <c r="B166" s="3" t="s">
        <v>84</v>
      </c>
      <c r="C166" s="3" t="s">
        <v>95</v>
      </c>
      <c r="D166" s="3" t="s">
        <v>100</v>
      </c>
      <c r="E166" s="3" t="str">
        <f>'CUOTA LTP'!C100</f>
        <v>QUINTERO LTDA. SOC. PESQ.</v>
      </c>
      <c r="F166" s="3" t="s">
        <v>89</v>
      </c>
      <c r="G166" s="3" t="s">
        <v>90</v>
      </c>
      <c r="H166" s="2">
        <f>'CUOTA LTP'!E101</f>
        <v>2.2599999999999999E-3</v>
      </c>
      <c r="I166" s="2">
        <f>'CUOTA LTP'!F101</f>
        <v>0</v>
      </c>
      <c r="J166" s="2">
        <f>'CUOTA LTP'!G101</f>
        <v>19.908240499999998</v>
      </c>
      <c r="K166" s="2">
        <f>'CUOTA LTP'!H101</f>
        <v>0</v>
      </c>
      <c r="L166" s="2">
        <f>'CUOTA LTP'!I101</f>
        <v>19.908240499999998</v>
      </c>
      <c r="M166" s="33">
        <f>'CUOTA LTP'!J101</f>
        <v>0</v>
      </c>
      <c r="N166" s="10" t="s">
        <v>91</v>
      </c>
      <c r="O166" s="10">
        <f>'RESUMEN '!$B$3</f>
        <v>44561</v>
      </c>
      <c r="P166" s="39">
        <v>2021</v>
      </c>
      <c r="Q166" s="3"/>
    </row>
    <row r="167" spans="1:17" x14ac:dyDescent="0.25">
      <c r="A167" s="3" t="s">
        <v>20</v>
      </c>
      <c r="B167" s="3" t="s">
        <v>84</v>
      </c>
      <c r="C167" s="3" t="s">
        <v>95</v>
      </c>
      <c r="D167" s="3" t="s">
        <v>100</v>
      </c>
      <c r="E167" s="3" t="str">
        <f>'CUOTA LTP'!C100</f>
        <v>QUINTERO LTDA. SOC. PESQ.</v>
      </c>
      <c r="F167" s="3" t="s">
        <v>87</v>
      </c>
      <c r="G167" s="3" t="s">
        <v>90</v>
      </c>
      <c r="H167" s="2">
        <f>'CUOTA LTP'!K100</f>
        <v>2.2699999999999998E-2</v>
      </c>
      <c r="I167" s="2">
        <f>'CUOTA LTP'!L100</f>
        <v>19.885540499999998</v>
      </c>
      <c r="J167" s="2">
        <f>'CUOTA LTP'!M100</f>
        <v>19.908240499999998</v>
      </c>
      <c r="K167" s="2">
        <f>'CUOTA LTP'!N100</f>
        <v>0</v>
      </c>
      <c r="L167" s="2">
        <f>'CUOTA LTP'!O100</f>
        <v>19.908240499999998</v>
      </c>
      <c r="M167" s="33">
        <f>'CUOTA LTP'!P100</f>
        <v>0</v>
      </c>
      <c r="N167" s="10" t="s">
        <v>91</v>
      </c>
      <c r="O167" s="10">
        <f>'RESUMEN '!$B$3</f>
        <v>44561</v>
      </c>
      <c r="P167" s="39">
        <v>2021</v>
      </c>
      <c r="Q167" s="3"/>
    </row>
    <row r="168" spans="1:17" x14ac:dyDescent="0.25">
      <c r="A168" s="3" t="s">
        <v>20</v>
      </c>
      <c r="B168" s="3" t="s">
        <v>84</v>
      </c>
      <c r="C168" s="3" t="s">
        <v>95</v>
      </c>
      <c r="D168" s="3" t="s">
        <v>100</v>
      </c>
      <c r="E168" s="3" t="str">
        <f>'CUOTA LTP'!C102</f>
        <v>PACIFICBLU SPA.</v>
      </c>
      <c r="F168" s="3" t="s">
        <v>87</v>
      </c>
      <c r="G168" s="3" t="s">
        <v>88</v>
      </c>
      <c r="H168" s="2">
        <f>'CUOTA LTP'!E102</f>
        <v>18.582519999999999</v>
      </c>
      <c r="I168" s="2">
        <f>'CUOTA LTP'!F102</f>
        <v>-19.7127935</v>
      </c>
      <c r="J168" s="2">
        <f>'CUOTA LTP'!G102</f>
        <v>-1.1302735000000013</v>
      </c>
      <c r="K168" s="2">
        <f>'CUOTA LTP'!H102</f>
        <v>0</v>
      </c>
      <c r="L168" s="2">
        <f>'CUOTA LTP'!I102</f>
        <v>-1.1302735000000013</v>
      </c>
      <c r="M168" s="33">
        <f>'CUOTA LTP'!J102</f>
        <v>0</v>
      </c>
      <c r="N168" s="10" t="s">
        <v>91</v>
      </c>
      <c r="O168" s="10">
        <f>'RESUMEN '!$B$3</f>
        <v>44561</v>
      </c>
      <c r="P168" s="39">
        <v>2021</v>
      </c>
      <c r="Q168" s="3"/>
    </row>
    <row r="169" spans="1:17" x14ac:dyDescent="0.25">
      <c r="A169" s="3" t="s">
        <v>20</v>
      </c>
      <c r="B169" s="3" t="s">
        <v>84</v>
      </c>
      <c r="C169" s="3" t="s">
        <v>95</v>
      </c>
      <c r="D169" s="3" t="s">
        <v>100</v>
      </c>
      <c r="E169" s="3" t="str">
        <f>'CUOTA LTP'!C102</f>
        <v>PACIFICBLU SPA.</v>
      </c>
      <c r="F169" s="3" t="s">
        <v>89</v>
      </c>
      <c r="G169" s="3" t="s">
        <v>90</v>
      </c>
      <c r="H169" s="2">
        <f>'CUOTA LTP'!E103</f>
        <v>2.0546199999999999</v>
      </c>
      <c r="I169" s="2">
        <f>'CUOTA LTP'!F103</f>
        <v>0</v>
      </c>
      <c r="J169" s="2">
        <f>'CUOTA LTP'!G103</f>
        <v>0.92434649999999863</v>
      </c>
      <c r="K169" s="2">
        <f>'CUOTA LTP'!H103</f>
        <v>0</v>
      </c>
      <c r="L169" s="2">
        <f>'CUOTA LTP'!I103</f>
        <v>0.92434649999999863</v>
      </c>
      <c r="M169" s="33">
        <f>'CUOTA LTP'!J103</f>
        <v>0</v>
      </c>
      <c r="N169" s="10" t="s">
        <v>91</v>
      </c>
      <c r="O169" s="10">
        <f>'RESUMEN '!$B$3</f>
        <v>44561</v>
      </c>
      <c r="P169" s="39">
        <v>2021</v>
      </c>
      <c r="Q169" s="3"/>
    </row>
    <row r="170" spans="1:17" x14ac:dyDescent="0.25">
      <c r="A170" s="3" t="s">
        <v>20</v>
      </c>
      <c r="B170" s="3" t="s">
        <v>84</v>
      </c>
      <c r="C170" s="3" t="s">
        <v>95</v>
      </c>
      <c r="D170" s="3" t="s">
        <v>100</v>
      </c>
      <c r="E170" s="3" t="str">
        <f>'CUOTA LTP'!C102</f>
        <v>PACIFICBLU SPA.</v>
      </c>
      <c r="F170" s="3" t="s">
        <v>87</v>
      </c>
      <c r="G170" s="3" t="s">
        <v>90</v>
      </c>
      <c r="H170" s="2">
        <f>'CUOTA LTP'!K102</f>
        <v>20.637139999999999</v>
      </c>
      <c r="I170" s="2">
        <f>'CUOTA LTP'!L102</f>
        <v>-19.7127935</v>
      </c>
      <c r="J170" s="2">
        <f>'CUOTA LTP'!M102</f>
        <v>0.92434649999999863</v>
      </c>
      <c r="K170" s="2">
        <f>'CUOTA LTP'!N102</f>
        <v>0</v>
      </c>
      <c r="L170" s="2">
        <f>'CUOTA LTP'!O102</f>
        <v>0.92434649999999863</v>
      </c>
      <c r="M170" s="33">
        <f>'CUOTA LTP'!P102</f>
        <v>0</v>
      </c>
      <c r="N170" s="10" t="s">
        <v>91</v>
      </c>
      <c r="O170" s="10">
        <f>'RESUMEN '!$B$3</f>
        <v>44561</v>
      </c>
      <c r="P170" s="39">
        <v>2021</v>
      </c>
      <c r="Q170" s="3"/>
    </row>
    <row r="171" spans="1:17" x14ac:dyDescent="0.25">
      <c r="A171" s="3" t="s">
        <v>20</v>
      </c>
      <c r="B171" s="3" t="s">
        <v>84</v>
      </c>
      <c r="C171" s="3" t="s">
        <v>95</v>
      </c>
      <c r="D171" s="3" t="s">
        <v>100</v>
      </c>
      <c r="E171" s="3" t="str">
        <f>'CUOTA LTP'!C104</f>
        <v>DA VENEZIA RETAMALES ANTONIO</v>
      </c>
      <c r="F171" s="3" t="s">
        <v>87</v>
      </c>
      <c r="G171" s="3" t="s">
        <v>88</v>
      </c>
      <c r="H171" s="2">
        <f>'CUOTA LTP'!E104</f>
        <v>1.022E-2</v>
      </c>
      <c r="I171" s="2">
        <f>'CUOTA LTP'!F104</f>
        <v>0</v>
      </c>
      <c r="J171" s="2">
        <f>'CUOTA LTP'!G104</f>
        <v>1.022E-2</v>
      </c>
      <c r="K171" s="2">
        <f>'CUOTA LTP'!H104</f>
        <v>0</v>
      </c>
      <c r="L171" s="2">
        <f>'CUOTA LTP'!I104</f>
        <v>1.022E-2</v>
      </c>
      <c r="M171" s="33">
        <f>'CUOTA LTP'!J104</f>
        <v>0</v>
      </c>
      <c r="N171" s="10" t="s">
        <v>91</v>
      </c>
      <c r="O171" s="10">
        <f>'RESUMEN '!$B$3</f>
        <v>44561</v>
      </c>
      <c r="P171" s="39">
        <v>2021</v>
      </c>
      <c r="Q171" s="3"/>
    </row>
    <row r="172" spans="1:17" x14ac:dyDescent="0.25">
      <c r="A172" s="3" t="s">
        <v>20</v>
      </c>
      <c r="B172" s="3" t="s">
        <v>84</v>
      </c>
      <c r="C172" s="3" t="s">
        <v>95</v>
      </c>
      <c r="D172" s="3" t="s">
        <v>100</v>
      </c>
      <c r="E172" s="3" t="str">
        <f>'CUOTA LTP'!C104</f>
        <v>DA VENEZIA RETAMALES ANTONIO</v>
      </c>
      <c r="F172" s="3" t="s">
        <v>89</v>
      </c>
      <c r="G172" s="3" t="s">
        <v>90</v>
      </c>
      <c r="H172" s="2">
        <f>'CUOTA LTP'!E105</f>
        <v>1.1299999999999999E-3</v>
      </c>
      <c r="I172" s="2">
        <f>'CUOTA LTP'!F105</f>
        <v>0</v>
      </c>
      <c r="J172" s="2">
        <f>'CUOTA LTP'!G105</f>
        <v>1.1349999999999999E-2</v>
      </c>
      <c r="K172" s="2">
        <f>'CUOTA LTP'!H105</f>
        <v>0</v>
      </c>
      <c r="L172" s="2">
        <f>'CUOTA LTP'!I105</f>
        <v>1.1349999999999999E-2</v>
      </c>
      <c r="M172" s="33">
        <f>'CUOTA LTP'!J105</f>
        <v>0</v>
      </c>
      <c r="N172" s="10" t="s">
        <v>91</v>
      </c>
      <c r="O172" s="10">
        <f>'RESUMEN '!$B$3</f>
        <v>44561</v>
      </c>
      <c r="P172" s="39">
        <v>2021</v>
      </c>
      <c r="Q172" s="3"/>
    </row>
    <row r="173" spans="1:17" x14ac:dyDescent="0.25">
      <c r="A173" s="3" t="s">
        <v>20</v>
      </c>
      <c r="B173" s="3" t="s">
        <v>84</v>
      </c>
      <c r="C173" s="3" t="s">
        <v>95</v>
      </c>
      <c r="D173" s="3" t="s">
        <v>100</v>
      </c>
      <c r="E173" s="3" t="str">
        <f>'CUOTA LTP'!C104</f>
        <v>DA VENEZIA RETAMALES ANTONIO</v>
      </c>
      <c r="F173" s="3" t="s">
        <v>87</v>
      </c>
      <c r="G173" s="3" t="s">
        <v>90</v>
      </c>
      <c r="H173" s="2">
        <f>'CUOTA LTP'!K104</f>
        <v>1.1349999999999999E-2</v>
      </c>
      <c r="I173" s="2">
        <f>'CUOTA LTP'!L104</f>
        <v>0</v>
      </c>
      <c r="J173" s="2">
        <f>'CUOTA LTP'!M104</f>
        <v>1.1349999999999999E-2</v>
      </c>
      <c r="K173" s="2">
        <f>'CUOTA LTP'!N104</f>
        <v>0</v>
      </c>
      <c r="L173" s="2">
        <f>'CUOTA LTP'!O104</f>
        <v>1.1349999999999999E-2</v>
      </c>
      <c r="M173" s="33">
        <f>'CUOTA LTP'!P104</f>
        <v>0</v>
      </c>
      <c r="N173" s="10" t="s">
        <v>91</v>
      </c>
      <c r="O173" s="10">
        <f>'RESUMEN '!$B$3</f>
        <v>44561</v>
      </c>
      <c r="P173" s="39">
        <v>2021</v>
      </c>
      <c r="Q173" s="3"/>
    </row>
    <row r="174" spans="1:17" x14ac:dyDescent="0.25">
      <c r="A174" s="3" t="s">
        <v>20</v>
      </c>
      <c r="B174" s="3" t="s">
        <v>84</v>
      </c>
      <c r="C174" s="3" t="s">
        <v>95</v>
      </c>
      <c r="D174" s="3" t="s">
        <v>100</v>
      </c>
      <c r="E174" s="3" t="str">
        <f>'CUOTA LTP'!C106</f>
        <v>ENFERMAR LTDA. SOC. PESQ.</v>
      </c>
      <c r="F174" s="3" t="s">
        <v>87</v>
      </c>
      <c r="G174" s="3" t="s">
        <v>88</v>
      </c>
      <c r="H174" s="2">
        <f>'CUOTA LTP'!E106</f>
        <v>0.27594000000000002</v>
      </c>
      <c r="I174" s="2">
        <f>'CUOTA LTP'!F106</f>
        <v>-0.14754999999999999</v>
      </c>
      <c r="J174" s="2">
        <f>'CUOTA LTP'!G106</f>
        <v>0.12839000000000003</v>
      </c>
      <c r="K174" s="2">
        <f>'CUOTA LTP'!H106</f>
        <v>0</v>
      </c>
      <c r="L174" s="2">
        <f>'CUOTA LTP'!I106</f>
        <v>0.12839000000000003</v>
      </c>
      <c r="M174" s="33">
        <f>'CUOTA LTP'!J106</f>
        <v>0</v>
      </c>
      <c r="N174" s="10" t="s">
        <v>91</v>
      </c>
      <c r="O174" s="10">
        <f>'RESUMEN '!$B$3</f>
        <v>44561</v>
      </c>
      <c r="P174" s="39">
        <v>2021</v>
      </c>
      <c r="Q174" s="3"/>
    </row>
    <row r="175" spans="1:17" x14ac:dyDescent="0.25">
      <c r="A175" s="3" t="s">
        <v>20</v>
      </c>
      <c r="B175" s="3" t="s">
        <v>84</v>
      </c>
      <c r="C175" s="3" t="s">
        <v>95</v>
      </c>
      <c r="D175" s="3" t="s">
        <v>100</v>
      </c>
      <c r="E175" s="3" t="str">
        <f>'CUOTA LTP'!C106</f>
        <v>ENFERMAR LTDA. SOC. PESQ.</v>
      </c>
      <c r="F175" s="3" t="s">
        <v>89</v>
      </c>
      <c r="G175" s="3" t="s">
        <v>90</v>
      </c>
      <c r="H175" s="2">
        <f>'CUOTA LTP'!E107</f>
        <v>3.0509999999999999E-2</v>
      </c>
      <c r="I175" s="2">
        <f>'CUOTA LTP'!F107</f>
        <v>0</v>
      </c>
      <c r="J175" s="2">
        <f>'CUOTA LTP'!G107</f>
        <v>0.15890000000000004</v>
      </c>
      <c r="K175" s="2">
        <f>'CUOTA LTP'!H107</f>
        <v>0</v>
      </c>
      <c r="L175" s="2">
        <f>'CUOTA LTP'!I107</f>
        <v>0.15890000000000004</v>
      </c>
      <c r="M175" s="33">
        <f>'CUOTA LTP'!J107</f>
        <v>0</v>
      </c>
      <c r="N175" s="10" t="s">
        <v>91</v>
      </c>
      <c r="O175" s="10">
        <f>'RESUMEN '!$B$3</f>
        <v>44561</v>
      </c>
      <c r="P175" s="39">
        <v>2021</v>
      </c>
      <c r="Q175" s="3"/>
    </row>
    <row r="176" spans="1:17" x14ac:dyDescent="0.25">
      <c r="A176" s="3" t="s">
        <v>20</v>
      </c>
      <c r="B176" s="3" t="s">
        <v>84</v>
      </c>
      <c r="C176" s="3" t="s">
        <v>95</v>
      </c>
      <c r="D176" s="3" t="s">
        <v>100</v>
      </c>
      <c r="E176" s="3" t="str">
        <f>'CUOTA LTP'!C106</f>
        <v>ENFERMAR LTDA. SOC. PESQ.</v>
      </c>
      <c r="F176" s="3" t="s">
        <v>87</v>
      </c>
      <c r="G176" s="3" t="s">
        <v>90</v>
      </c>
      <c r="H176" s="2">
        <f>'CUOTA LTP'!K106</f>
        <v>0.30645</v>
      </c>
      <c r="I176" s="2">
        <f>'CUOTA LTP'!L106</f>
        <v>-0.14754999999999999</v>
      </c>
      <c r="J176" s="2">
        <f>'CUOTA LTP'!M106</f>
        <v>0.15890000000000001</v>
      </c>
      <c r="K176" s="2">
        <f>'CUOTA LTP'!N106</f>
        <v>0</v>
      </c>
      <c r="L176" s="2">
        <f>'CUOTA LTP'!O106</f>
        <v>0.15890000000000001</v>
      </c>
      <c r="M176" s="33">
        <f>'CUOTA LTP'!P106</f>
        <v>0</v>
      </c>
      <c r="N176" s="10" t="s">
        <v>91</v>
      </c>
      <c r="O176" s="10">
        <f>'RESUMEN '!$B$3</f>
        <v>44561</v>
      </c>
      <c r="P176" s="39">
        <v>2021</v>
      </c>
      <c r="Q176" s="3"/>
    </row>
    <row r="177" spans="1:17" x14ac:dyDescent="0.25">
      <c r="A177" s="3" t="s">
        <v>20</v>
      </c>
      <c r="B177" s="3" t="s">
        <v>84</v>
      </c>
      <c r="C177" s="3" t="s">
        <v>95</v>
      </c>
      <c r="D177" s="3" t="s">
        <v>100</v>
      </c>
      <c r="E177" s="3" t="str">
        <f>'CUOTA LTP'!C112</f>
        <v>RUBIO Y MAUAD LTDA.</v>
      </c>
      <c r="F177" s="3" t="s">
        <v>87</v>
      </c>
      <c r="G177" s="3" t="s">
        <v>88</v>
      </c>
      <c r="H177" s="2">
        <f>'CUOTA LTP'!E112</f>
        <v>1.3081199999999999</v>
      </c>
      <c r="I177" s="2">
        <f>'CUOTA LTP'!F112</f>
        <v>-1.4414464999999979</v>
      </c>
      <c r="J177" s="2">
        <f>'CUOTA LTP'!G112</f>
        <v>-0.13332649999999791</v>
      </c>
      <c r="K177" s="2">
        <f>'CUOTA LTP'!H112</f>
        <v>0</v>
      </c>
      <c r="L177" s="2">
        <f>'CUOTA LTP'!I112</f>
        <v>-0.13332649999999791</v>
      </c>
      <c r="M177" s="33">
        <f>'CUOTA LTP'!J112</f>
        <v>0</v>
      </c>
      <c r="N177" s="10" t="s">
        <v>91</v>
      </c>
      <c r="O177" s="10">
        <f>'RESUMEN '!$B$3</f>
        <v>44561</v>
      </c>
      <c r="P177" s="39">
        <v>2021</v>
      </c>
      <c r="Q177" s="3"/>
    </row>
    <row r="178" spans="1:17" x14ac:dyDescent="0.25">
      <c r="A178" s="3" t="s">
        <v>20</v>
      </c>
      <c r="B178" s="3" t="s">
        <v>84</v>
      </c>
      <c r="C178" s="3" t="s">
        <v>95</v>
      </c>
      <c r="D178" s="3" t="s">
        <v>100</v>
      </c>
      <c r="E178" s="3" t="str">
        <f>'CUOTA LTP'!C112</f>
        <v>RUBIO Y MAUAD LTDA.</v>
      </c>
      <c r="F178" s="3" t="s">
        <v>89</v>
      </c>
      <c r="G178" s="3" t="s">
        <v>90</v>
      </c>
      <c r="H178" s="2">
        <f>'CUOTA LTP'!E113</f>
        <v>0.14462999999999998</v>
      </c>
      <c r="I178" s="2">
        <f>'CUOTA LTP'!F113</f>
        <v>0</v>
      </c>
      <c r="J178" s="2">
        <f>'CUOTA LTP'!G113</f>
        <v>1.1303500000002076E-2</v>
      </c>
      <c r="K178" s="2">
        <f>'CUOTA LTP'!H113</f>
        <v>0</v>
      </c>
      <c r="L178" s="2">
        <f>'CUOTA LTP'!I113</f>
        <v>1.1303500000002076E-2</v>
      </c>
      <c r="M178" s="33">
        <f>'CUOTA LTP'!J113</f>
        <v>0</v>
      </c>
      <c r="N178" s="10" t="s">
        <v>91</v>
      </c>
      <c r="O178" s="10">
        <f>'RESUMEN '!$B$3</f>
        <v>44561</v>
      </c>
      <c r="P178" s="39">
        <v>2021</v>
      </c>
      <c r="Q178" s="3"/>
    </row>
    <row r="179" spans="1:17" x14ac:dyDescent="0.25">
      <c r="A179" s="3" t="s">
        <v>20</v>
      </c>
      <c r="B179" s="3" t="s">
        <v>84</v>
      </c>
      <c r="C179" s="3" t="s">
        <v>95</v>
      </c>
      <c r="D179" s="3" t="s">
        <v>100</v>
      </c>
      <c r="E179" s="3" t="str">
        <f>'CUOTA LTP'!C112</f>
        <v>RUBIO Y MAUAD LTDA.</v>
      </c>
      <c r="F179" s="3" t="s">
        <v>87</v>
      </c>
      <c r="G179" s="3" t="s">
        <v>90</v>
      </c>
      <c r="H179" s="2">
        <f>'CUOTA LTP'!K112</f>
        <v>1.45275</v>
      </c>
      <c r="I179" s="2">
        <f>'CUOTA LTP'!L112</f>
        <v>-1.4414464999999979</v>
      </c>
      <c r="J179" s="2">
        <f>'CUOTA LTP'!M112</f>
        <v>1.1303500000002131E-2</v>
      </c>
      <c r="K179" s="2">
        <f>'CUOTA LTP'!N112</f>
        <v>0</v>
      </c>
      <c r="L179" s="2">
        <f>'CUOTA LTP'!O112</f>
        <v>1.1303500000002131E-2</v>
      </c>
      <c r="M179" s="33">
        <f>'CUOTA LTP'!P112</f>
        <v>0</v>
      </c>
      <c r="N179" s="10" t="s">
        <v>91</v>
      </c>
      <c r="O179" s="10">
        <f>'RESUMEN '!$B$3</f>
        <v>44561</v>
      </c>
      <c r="P179" s="39">
        <v>2021</v>
      </c>
      <c r="Q179" s="3"/>
    </row>
    <row r="180" spans="1:17" x14ac:dyDescent="0.25">
      <c r="A180" s="3" t="s">
        <v>20</v>
      </c>
      <c r="B180" s="3" t="s">
        <v>84</v>
      </c>
      <c r="C180" s="3" t="s">
        <v>96</v>
      </c>
      <c r="D180" s="3" t="s">
        <v>100</v>
      </c>
      <c r="E180" s="3" t="str">
        <f>'CUOTA LTP'!C114</f>
        <v>ANTARTIC SEAFOOD S.A.</v>
      </c>
      <c r="F180" s="3" t="s">
        <v>87</v>
      </c>
      <c r="G180" s="3" t="s">
        <v>88</v>
      </c>
      <c r="H180" s="2">
        <f>'CUOTA LTP'!E114</f>
        <v>130.88794999999999</v>
      </c>
      <c r="I180" s="2">
        <f>'CUOTA LTP'!F114</f>
        <v>0</v>
      </c>
      <c r="J180" s="2">
        <f>'CUOTA LTP'!G114</f>
        <v>130.88794999999999</v>
      </c>
      <c r="K180" s="2">
        <f>'CUOTA LTP'!H114</f>
        <v>122.151</v>
      </c>
      <c r="L180" s="2">
        <f>'CUOTA LTP'!I114</f>
        <v>8.7369499999999931</v>
      </c>
      <c r="M180" s="33">
        <f>'CUOTA LTP'!J114</f>
        <v>0.93324862983949253</v>
      </c>
      <c r="N180" s="10" t="s">
        <v>91</v>
      </c>
      <c r="O180" s="10">
        <f>'RESUMEN '!$B$3</f>
        <v>44561</v>
      </c>
      <c r="P180" s="39">
        <v>2021</v>
      </c>
      <c r="Q180" s="3"/>
    </row>
    <row r="181" spans="1:17" x14ac:dyDescent="0.25">
      <c r="A181" s="3" t="s">
        <v>20</v>
      </c>
      <c r="B181" s="3" t="s">
        <v>84</v>
      </c>
      <c r="C181" s="3" t="s">
        <v>96</v>
      </c>
      <c r="D181" s="3" t="s">
        <v>100</v>
      </c>
      <c r="E181" s="3" t="str">
        <f>'CUOTA LTP'!C114</f>
        <v>ANTARTIC SEAFOOD S.A.</v>
      </c>
      <c r="F181" s="3" t="s">
        <v>89</v>
      </c>
      <c r="G181" s="3" t="s">
        <v>90</v>
      </c>
      <c r="H181" s="2">
        <f>'CUOTA LTP'!E115</f>
        <v>14.470019999999998</v>
      </c>
      <c r="I181" s="2">
        <f>'CUOTA LTP'!F115</f>
        <v>0</v>
      </c>
      <c r="J181" s="2">
        <f>'CUOTA LTP'!G115</f>
        <v>23.206969999999991</v>
      </c>
      <c r="K181" s="2">
        <f>'CUOTA LTP'!H115</f>
        <v>17.875</v>
      </c>
      <c r="L181" s="2">
        <f>'CUOTA LTP'!I115</f>
        <v>5.3319699999999912</v>
      </c>
      <c r="M181" s="33">
        <f>'CUOTA LTP'!J115</f>
        <v>0.77024273310992375</v>
      </c>
      <c r="N181" s="10" t="s">
        <v>91</v>
      </c>
      <c r="O181" s="10">
        <f>'RESUMEN '!$B$3</f>
        <v>44561</v>
      </c>
      <c r="P181" s="39">
        <v>2021</v>
      </c>
      <c r="Q181" s="3"/>
    </row>
    <row r="182" spans="1:17" x14ac:dyDescent="0.25">
      <c r="A182" s="3" t="s">
        <v>20</v>
      </c>
      <c r="B182" s="3" t="s">
        <v>84</v>
      </c>
      <c r="C182" s="3" t="s">
        <v>96</v>
      </c>
      <c r="D182" s="3" t="s">
        <v>100</v>
      </c>
      <c r="E182" s="3" t="str">
        <f>'CUOTA LTP'!C114</f>
        <v>ANTARTIC SEAFOOD S.A.</v>
      </c>
      <c r="F182" s="3" t="s">
        <v>87</v>
      </c>
      <c r="G182" s="3" t="s">
        <v>90</v>
      </c>
      <c r="H182" s="2">
        <f>'CUOTA LTP'!K114</f>
        <v>145.35796999999999</v>
      </c>
      <c r="I182" s="2">
        <f>'CUOTA LTP'!L114</f>
        <v>0</v>
      </c>
      <c r="J182" s="2">
        <f>'CUOTA LTP'!M114</f>
        <v>145.35796999999999</v>
      </c>
      <c r="K182" s="2">
        <f>'CUOTA LTP'!N114</f>
        <v>140.02600000000001</v>
      </c>
      <c r="L182" s="2">
        <f>'CUOTA LTP'!O114</f>
        <v>5.3319699999999841</v>
      </c>
      <c r="M182" s="33">
        <f>'CUOTA LTP'!P114</f>
        <v>0.96331835124004561</v>
      </c>
      <c r="N182" s="10" t="s">
        <v>91</v>
      </c>
      <c r="O182" s="10">
        <f>'RESUMEN '!$B$3</f>
        <v>44561</v>
      </c>
      <c r="P182" s="39">
        <v>2021</v>
      </c>
      <c r="Q182" s="3"/>
    </row>
    <row r="183" spans="1:17" x14ac:dyDescent="0.25">
      <c r="A183" s="3" t="s">
        <v>20</v>
      </c>
      <c r="B183" s="3" t="s">
        <v>84</v>
      </c>
      <c r="C183" s="3" t="s">
        <v>96</v>
      </c>
      <c r="D183" s="3" t="s">
        <v>100</v>
      </c>
      <c r="E183" s="3" t="str">
        <f>'CUOTA LTP'!C116</f>
        <v>QUINTERO S.A. PESQ.</v>
      </c>
      <c r="F183" s="3" t="s">
        <v>87</v>
      </c>
      <c r="G183" s="3" t="s">
        <v>88</v>
      </c>
      <c r="H183" s="2">
        <f>'CUOTA LTP'!E116</f>
        <v>245.20549</v>
      </c>
      <c r="I183" s="2">
        <f>'CUOTA LTP'!F116</f>
        <v>-15.682425199999999</v>
      </c>
      <c r="J183" s="2">
        <f>'CUOTA LTP'!G116</f>
        <v>229.52306479999999</v>
      </c>
      <c r="K183" s="2">
        <f>'CUOTA LTP'!H116</f>
        <v>223.62099999999998</v>
      </c>
      <c r="L183" s="2">
        <f>'CUOTA LTP'!I116</f>
        <v>5.9020648000000051</v>
      </c>
      <c r="M183" s="33">
        <f>'CUOTA LTP'!J116</f>
        <v>0.97428552635813359</v>
      </c>
      <c r="N183" s="10" t="s">
        <v>91</v>
      </c>
      <c r="O183" s="10">
        <f>'RESUMEN '!$B$3</f>
        <v>44561</v>
      </c>
      <c r="P183" s="39">
        <v>2021</v>
      </c>
      <c r="Q183" s="3"/>
    </row>
    <row r="184" spans="1:17" x14ac:dyDescent="0.25">
      <c r="A184" s="3" t="s">
        <v>20</v>
      </c>
      <c r="B184" s="3" t="s">
        <v>84</v>
      </c>
      <c r="C184" s="3" t="s">
        <v>96</v>
      </c>
      <c r="D184" s="3" t="s">
        <v>100</v>
      </c>
      <c r="E184" s="3" t="str">
        <f>'CUOTA LTP'!C116</f>
        <v>QUINTERO S.A. PESQ.</v>
      </c>
      <c r="F184" s="3" t="s">
        <v>89</v>
      </c>
      <c r="G184" s="3" t="s">
        <v>90</v>
      </c>
      <c r="H184" s="2">
        <f>'CUOTA LTP'!E117</f>
        <v>27.108149999999998</v>
      </c>
      <c r="I184" s="2">
        <f>'CUOTA LTP'!F117</f>
        <v>0</v>
      </c>
      <c r="J184" s="2">
        <f>'CUOTA LTP'!G117</f>
        <v>33.0102148</v>
      </c>
      <c r="K184" s="2">
        <f>'CUOTA LTP'!H117</f>
        <v>16.286999999999999</v>
      </c>
      <c r="L184" s="2">
        <f>'CUOTA LTP'!I117</f>
        <v>16.723214800000001</v>
      </c>
      <c r="M184" s="33">
        <f>'CUOTA LTP'!J117</f>
        <v>0.49339273005881801</v>
      </c>
      <c r="N184" s="10" t="s">
        <v>91</v>
      </c>
      <c r="O184" s="10">
        <f>'RESUMEN '!$B$3</f>
        <v>44561</v>
      </c>
      <c r="P184" s="39">
        <v>2021</v>
      </c>
      <c r="Q184" s="3"/>
    </row>
    <row r="185" spans="1:17" x14ac:dyDescent="0.25">
      <c r="A185" s="3" t="s">
        <v>20</v>
      </c>
      <c r="B185" s="3" t="s">
        <v>84</v>
      </c>
      <c r="C185" s="3" t="s">
        <v>96</v>
      </c>
      <c r="D185" s="3" t="s">
        <v>100</v>
      </c>
      <c r="E185" s="3" t="str">
        <f>'CUOTA LTP'!C116</f>
        <v>QUINTERO S.A. PESQ.</v>
      </c>
      <c r="F185" s="3" t="s">
        <v>87</v>
      </c>
      <c r="G185" s="3" t="s">
        <v>90</v>
      </c>
      <c r="H185" s="2">
        <f>'CUOTA LTP'!K116</f>
        <v>272.31364000000002</v>
      </c>
      <c r="I185" s="2">
        <f>'CUOTA LTP'!L116</f>
        <v>-15.682425199999999</v>
      </c>
      <c r="J185" s="2">
        <f>'CUOTA LTP'!M116</f>
        <v>256.63121480000001</v>
      </c>
      <c r="K185" s="2">
        <f>'CUOTA LTP'!N116</f>
        <v>239.90799999999999</v>
      </c>
      <c r="L185" s="2">
        <f>'CUOTA LTP'!O116</f>
        <v>16.723214800000022</v>
      </c>
      <c r="M185" s="33">
        <f>'CUOTA LTP'!P116</f>
        <v>0.93483561688692896</v>
      </c>
      <c r="N185" s="10" t="s">
        <v>91</v>
      </c>
      <c r="O185" s="10">
        <f>'RESUMEN '!$B$3</f>
        <v>44561</v>
      </c>
      <c r="P185" s="39">
        <v>2021</v>
      </c>
      <c r="Q185" s="3"/>
    </row>
    <row r="186" spans="1:17" x14ac:dyDescent="0.25">
      <c r="A186" s="3" t="s">
        <v>20</v>
      </c>
      <c r="B186" s="3" t="s">
        <v>84</v>
      </c>
      <c r="C186" s="3" t="s">
        <v>96</v>
      </c>
      <c r="D186" s="3" t="s">
        <v>100</v>
      </c>
      <c r="E186" s="3" t="str">
        <f>'CUOTA LTP'!C118</f>
        <v>BAYCIC BAYCIC MARIA</v>
      </c>
      <c r="F186" s="3" t="s">
        <v>87</v>
      </c>
      <c r="G186" s="3" t="s">
        <v>88</v>
      </c>
      <c r="H186" s="2">
        <f>'CUOTA LTP'!E118</f>
        <v>2.3879999999999998E-2</v>
      </c>
      <c r="I186" s="2">
        <f>'CUOTA LTP'!F118</f>
        <v>0</v>
      </c>
      <c r="J186" s="2">
        <f>'CUOTA LTP'!G118</f>
        <v>2.3879999999999998E-2</v>
      </c>
      <c r="K186" s="2">
        <f>'CUOTA LTP'!H118</f>
        <v>0</v>
      </c>
      <c r="L186" s="2">
        <f>'CUOTA LTP'!I118</f>
        <v>2.3879999999999998E-2</v>
      </c>
      <c r="M186" s="33">
        <f>'CUOTA LTP'!J118</f>
        <v>0</v>
      </c>
      <c r="N186" s="10" t="s">
        <v>91</v>
      </c>
      <c r="O186" s="10">
        <f>'RESUMEN '!$B$3</f>
        <v>44561</v>
      </c>
      <c r="P186" s="39">
        <v>2021</v>
      </c>
      <c r="Q186" s="3"/>
    </row>
    <row r="187" spans="1:17" x14ac:dyDescent="0.25">
      <c r="A187" s="3" t="s">
        <v>20</v>
      </c>
      <c r="B187" s="3" t="s">
        <v>84</v>
      </c>
      <c r="C187" s="3" t="s">
        <v>96</v>
      </c>
      <c r="D187" s="3" t="s">
        <v>100</v>
      </c>
      <c r="E187" s="3" t="str">
        <f>'CUOTA LTP'!C118</f>
        <v>BAYCIC BAYCIC MARIA</v>
      </c>
      <c r="F187" s="3" t="s">
        <v>89</v>
      </c>
      <c r="G187" s="3" t="s">
        <v>90</v>
      </c>
      <c r="H187" s="2">
        <f>'CUOTA LTP'!E119</f>
        <v>2.64E-3</v>
      </c>
      <c r="I187" s="2">
        <f>'CUOTA LTP'!F119</f>
        <v>0</v>
      </c>
      <c r="J187" s="2">
        <f>'CUOTA LTP'!G119</f>
        <v>2.6519999999999998E-2</v>
      </c>
      <c r="K187" s="2">
        <f>'CUOTA LTP'!H119</f>
        <v>0</v>
      </c>
      <c r="L187" s="2">
        <f>'CUOTA LTP'!I119</f>
        <v>2.6519999999999998E-2</v>
      </c>
      <c r="M187" s="33">
        <f>'CUOTA LTP'!J119</f>
        <v>0</v>
      </c>
      <c r="N187" s="10" t="s">
        <v>91</v>
      </c>
      <c r="O187" s="10">
        <f>'RESUMEN '!$B$3</f>
        <v>44561</v>
      </c>
      <c r="P187" s="39">
        <v>2021</v>
      </c>
      <c r="Q187" s="3"/>
    </row>
    <row r="188" spans="1:17" x14ac:dyDescent="0.25">
      <c r="A188" s="3" t="s">
        <v>20</v>
      </c>
      <c r="B188" s="3" t="s">
        <v>84</v>
      </c>
      <c r="C188" s="3" t="s">
        <v>96</v>
      </c>
      <c r="D188" s="3" t="s">
        <v>100</v>
      </c>
      <c r="E188" s="3" t="str">
        <f>'CUOTA LTP'!C118</f>
        <v>BAYCIC BAYCIC MARIA</v>
      </c>
      <c r="F188" s="3" t="s">
        <v>87</v>
      </c>
      <c r="G188" s="3" t="s">
        <v>90</v>
      </c>
      <c r="H188" s="2">
        <f>'CUOTA LTP'!K118</f>
        <v>2.6519999999999998E-2</v>
      </c>
      <c r="I188" s="2">
        <f>'CUOTA LTP'!L118</f>
        <v>0</v>
      </c>
      <c r="J188" s="2">
        <f>'CUOTA LTP'!M118</f>
        <v>2.6519999999999998E-2</v>
      </c>
      <c r="K188" s="2">
        <f>'CUOTA LTP'!N118</f>
        <v>0</v>
      </c>
      <c r="L188" s="2">
        <f>'CUOTA LTP'!O118</f>
        <v>2.6519999999999998E-2</v>
      </c>
      <c r="M188" s="33">
        <f>'CUOTA LTP'!P118</f>
        <v>0</v>
      </c>
      <c r="N188" s="10" t="s">
        <v>91</v>
      </c>
      <c r="O188" s="10">
        <f>'RESUMEN '!$B$3</f>
        <v>44561</v>
      </c>
      <c r="P188" s="39">
        <v>2021</v>
      </c>
      <c r="Q188" s="3"/>
    </row>
    <row r="189" spans="1:17" x14ac:dyDescent="0.25">
      <c r="A189" s="3" t="s">
        <v>20</v>
      </c>
      <c r="B189" s="3" t="s">
        <v>84</v>
      </c>
      <c r="C189" s="3" t="s">
        <v>96</v>
      </c>
      <c r="D189" s="3" t="s">
        <v>100</v>
      </c>
      <c r="E189" s="3" t="str">
        <f>'CUOTA LTP'!C120</f>
        <v>BRACPESCA S.A.</v>
      </c>
      <c r="F189" s="3" t="s">
        <v>87</v>
      </c>
      <c r="G189" s="3" t="s">
        <v>88</v>
      </c>
      <c r="H189" s="2">
        <f>'CUOTA LTP'!E120</f>
        <v>128.63630999999998</v>
      </c>
      <c r="I189" s="2">
        <f>'CUOTA LTP'!F120</f>
        <v>15.3534004</v>
      </c>
      <c r="J189" s="2">
        <f>'CUOTA LTP'!G120</f>
        <v>143.98971039999998</v>
      </c>
      <c r="K189" s="2">
        <f>'CUOTA LTP'!H120</f>
        <v>114.248</v>
      </c>
      <c r="L189" s="2">
        <f>'CUOTA LTP'!I120</f>
        <v>29.741710399999974</v>
      </c>
      <c r="M189" s="33">
        <f>'CUOTA LTP'!J120</f>
        <v>0.79344558498396722</v>
      </c>
      <c r="N189" s="10" t="s">
        <v>91</v>
      </c>
      <c r="O189" s="10">
        <f>'RESUMEN '!$B$3</f>
        <v>44561</v>
      </c>
      <c r="P189" s="39">
        <v>2021</v>
      </c>
      <c r="Q189" s="3"/>
    </row>
    <row r="190" spans="1:17" x14ac:dyDescent="0.25">
      <c r="A190" s="3" t="s">
        <v>20</v>
      </c>
      <c r="B190" s="3" t="s">
        <v>84</v>
      </c>
      <c r="C190" s="3" t="s">
        <v>96</v>
      </c>
      <c r="D190" s="3" t="s">
        <v>100</v>
      </c>
      <c r="E190" s="3" t="str">
        <f>'CUOTA LTP'!C120</f>
        <v>BRACPESCA S.A.</v>
      </c>
      <c r="F190" s="3" t="s">
        <v>89</v>
      </c>
      <c r="G190" s="3" t="s">
        <v>90</v>
      </c>
      <c r="H190" s="2">
        <f>'CUOTA LTP'!E121</f>
        <v>14.221100000000002</v>
      </c>
      <c r="I190" s="2">
        <f>'CUOTA LTP'!F121</f>
        <v>0</v>
      </c>
      <c r="J190" s="2">
        <f>'CUOTA LTP'!G121</f>
        <v>43.962810399999974</v>
      </c>
      <c r="K190" s="2">
        <f>'CUOTA LTP'!H121</f>
        <v>0</v>
      </c>
      <c r="L190" s="2">
        <f>'CUOTA LTP'!I121</f>
        <v>43.962810399999974</v>
      </c>
      <c r="M190" s="33">
        <f>'CUOTA LTP'!J121</f>
        <v>0</v>
      </c>
      <c r="N190" s="10" t="s">
        <v>91</v>
      </c>
      <c r="O190" s="10">
        <f>'RESUMEN '!$B$3</f>
        <v>44561</v>
      </c>
      <c r="P190" s="39">
        <v>2021</v>
      </c>
      <c r="Q190" s="3"/>
    </row>
    <row r="191" spans="1:17" x14ac:dyDescent="0.25">
      <c r="A191" s="3" t="s">
        <v>20</v>
      </c>
      <c r="B191" s="3" t="s">
        <v>84</v>
      </c>
      <c r="C191" s="3" t="s">
        <v>96</v>
      </c>
      <c r="D191" s="3" t="s">
        <v>100</v>
      </c>
      <c r="E191" s="3" t="str">
        <f>'CUOTA LTP'!C120</f>
        <v>BRACPESCA S.A.</v>
      </c>
      <c r="F191" s="3" t="s">
        <v>87</v>
      </c>
      <c r="G191" s="3" t="s">
        <v>90</v>
      </c>
      <c r="H191" s="2">
        <f>'CUOTA LTP'!K120</f>
        <v>142.85740999999999</v>
      </c>
      <c r="I191" s="2">
        <f>'CUOTA LTP'!L120</f>
        <v>15.3534004</v>
      </c>
      <c r="J191" s="2">
        <f>'CUOTA LTP'!M120</f>
        <v>158.21081039999999</v>
      </c>
      <c r="K191" s="2">
        <f>'CUOTA LTP'!N120</f>
        <v>114.248</v>
      </c>
      <c r="L191" s="2">
        <f>'CUOTA LTP'!O120</f>
        <v>43.962810399999981</v>
      </c>
      <c r="M191" s="33">
        <f>'CUOTA LTP'!P120</f>
        <v>0.72212511718478634</v>
      </c>
      <c r="N191" s="10" t="s">
        <v>91</v>
      </c>
      <c r="O191" s="10">
        <f>'RESUMEN '!$B$3</f>
        <v>44561</v>
      </c>
      <c r="P191" s="39">
        <v>2021</v>
      </c>
      <c r="Q191" s="3"/>
    </row>
    <row r="192" spans="1:17" x14ac:dyDescent="0.25">
      <c r="A192" s="3" t="s">
        <v>20</v>
      </c>
      <c r="B192" s="3" t="s">
        <v>84</v>
      </c>
      <c r="C192" s="3" t="s">
        <v>96</v>
      </c>
      <c r="D192" s="3" t="s">
        <v>100</v>
      </c>
      <c r="E192" s="3" t="str">
        <f>'CUOTA LTP'!C122</f>
        <v>CAMANCHACA PESCA SUR S.A.</v>
      </c>
      <c r="F192" s="3" t="s">
        <v>87</v>
      </c>
      <c r="G192" s="3" t="s">
        <v>88</v>
      </c>
      <c r="H192" s="2">
        <f>'CUOTA LTP'!E122</f>
        <v>4.1844099999999997</v>
      </c>
      <c r="I192" s="2">
        <f>'CUOTA LTP'!F122</f>
        <v>0</v>
      </c>
      <c r="J192" s="2">
        <f>'CUOTA LTP'!G122</f>
        <v>4.1844099999999997</v>
      </c>
      <c r="K192" s="2">
        <f>'CUOTA LTP'!H122</f>
        <v>0</v>
      </c>
      <c r="L192" s="2">
        <f>'CUOTA LTP'!I122</f>
        <v>4.1844099999999997</v>
      </c>
      <c r="M192" s="33">
        <f>'CUOTA LTP'!J122</f>
        <v>0</v>
      </c>
      <c r="N192" s="10" t="s">
        <v>91</v>
      </c>
      <c r="O192" s="10">
        <f>'RESUMEN '!$B$3</f>
        <v>44561</v>
      </c>
      <c r="P192" s="39">
        <v>2021</v>
      </c>
      <c r="Q192" s="3"/>
    </row>
    <row r="193" spans="1:17" x14ac:dyDescent="0.25">
      <c r="A193" s="3" t="s">
        <v>20</v>
      </c>
      <c r="B193" s="3" t="s">
        <v>84</v>
      </c>
      <c r="C193" s="3" t="s">
        <v>96</v>
      </c>
      <c r="D193" s="3" t="s">
        <v>100</v>
      </c>
      <c r="E193" s="3" t="str">
        <f>'CUOTA LTP'!C122</f>
        <v>CAMANCHACA PESCA SUR S.A.</v>
      </c>
      <c r="F193" s="3" t="s">
        <v>89</v>
      </c>
      <c r="G193" s="3" t="s">
        <v>90</v>
      </c>
      <c r="H193" s="2">
        <f>'CUOTA LTP'!E123</f>
        <v>0.46260000000000001</v>
      </c>
      <c r="I193" s="2">
        <f>'CUOTA LTP'!F123</f>
        <v>0</v>
      </c>
      <c r="J193" s="2">
        <f>'CUOTA LTP'!G123</f>
        <v>4.6470099999999999</v>
      </c>
      <c r="K193" s="2">
        <f>'CUOTA LTP'!H123</f>
        <v>0</v>
      </c>
      <c r="L193" s="2">
        <f>'CUOTA LTP'!I123</f>
        <v>4.6470099999999999</v>
      </c>
      <c r="M193" s="33">
        <f>'CUOTA LTP'!J123</f>
        <v>0</v>
      </c>
      <c r="N193" s="10" t="s">
        <v>91</v>
      </c>
      <c r="O193" s="10">
        <f>'RESUMEN '!$B$3</f>
        <v>44561</v>
      </c>
      <c r="P193" s="39">
        <v>2021</v>
      </c>
      <c r="Q193" s="3"/>
    </row>
    <row r="194" spans="1:17" x14ac:dyDescent="0.25">
      <c r="A194" s="3" t="s">
        <v>20</v>
      </c>
      <c r="B194" s="3" t="s">
        <v>84</v>
      </c>
      <c r="C194" s="3" t="s">
        <v>96</v>
      </c>
      <c r="D194" s="3" t="s">
        <v>100</v>
      </c>
      <c r="E194" s="3" t="str">
        <f>'CUOTA LTP'!C122</f>
        <v>CAMANCHACA PESCA SUR S.A.</v>
      </c>
      <c r="F194" s="3" t="s">
        <v>87</v>
      </c>
      <c r="G194" s="3" t="s">
        <v>90</v>
      </c>
      <c r="H194" s="2">
        <f>'CUOTA LTP'!K122</f>
        <v>4.6470099999999999</v>
      </c>
      <c r="I194" s="2">
        <f>'CUOTA LTP'!L122</f>
        <v>0</v>
      </c>
      <c r="J194" s="2">
        <f>'CUOTA LTP'!M122</f>
        <v>4.6470099999999999</v>
      </c>
      <c r="K194" s="2">
        <f>'CUOTA LTP'!N122</f>
        <v>0</v>
      </c>
      <c r="L194" s="2">
        <f>'CUOTA LTP'!O122</f>
        <v>4.6470099999999999</v>
      </c>
      <c r="M194" s="33">
        <f>'CUOTA LTP'!P122</f>
        <v>0</v>
      </c>
      <c r="N194" s="10" t="s">
        <v>91</v>
      </c>
      <c r="O194" s="10">
        <f>'RESUMEN '!$B$3</f>
        <v>44561</v>
      </c>
      <c r="P194" s="39">
        <v>2021</v>
      </c>
      <c r="Q194" s="3"/>
    </row>
    <row r="195" spans="1:17" x14ac:dyDescent="0.25">
      <c r="A195" s="3" t="s">
        <v>20</v>
      </c>
      <c r="B195" s="3" t="s">
        <v>84</v>
      </c>
      <c r="C195" s="3" t="s">
        <v>96</v>
      </c>
      <c r="D195" s="3" t="s">
        <v>100</v>
      </c>
      <c r="E195" s="3" t="str">
        <f>'CUOTA LTP'!C124</f>
        <v>ANTONIO CRUZ CORDOVA NAKOUZI E.I.R.L.</v>
      </c>
      <c r="F195" s="3" t="s">
        <v>87</v>
      </c>
      <c r="G195" s="3" t="s">
        <v>88</v>
      </c>
      <c r="H195" s="2">
        <f>'CUOTA LTP'!E124</f>
        <v>3.73563</v>
      </c>
      <c r="I195" s="2">
        <f>'CUOTA LTP'!F124</f>
        <v>0</v>
      </c>
      <c r="J195" s="2">
        <f>'CUOTA LTP'!G124</f>
        <v>3.73563</v>
      </c>
      <c r="K195" s="2">
        <f>'CUOTA LTP'!H124</f>
        <v>3.6</v>
      </c>
      <c r="L195" s="2">
        <f>'CUOTA LTP'!I124</f>
        <v>0.13562999999999992</v>
      </c>
      <c r="M195" s="33">
        <f>'CUOTA LTP'!J124</f>
        <v>0.9636928710819862</v>
      </c>
      <c r="N195" s="10" t="s">
        <v>91</v>
      </c>
      <c r="O195" s="10">
        <f>'RESUMEN '!$B$3</f>
        <v>44561</v>
      </c>
      <c r="P195" s="39">
        <v>2021</v>
      </c>
      <c r="Q195" s="3"/>
    </row>
    <row r="196" spans="1:17" x14ac:dyDescent="0.25">
      <c r="A196" s="3" t="s">
        <v>20</v>
      </c>
      <c r="B196" s="3" t="s">
        <v>84</v>
      </c>
      <c r="C196" s="3" t="s">
        <v>96</v>
      </c>
      <c r="D196" s="3" t="s">
        <v>100</v>
      </c>
      <c r="E196" s="3" t="str">
        <f>'CUOTA LTP'!C124</f>
        <v>ANTONIO CRUZ CORDOVA NAKOUZI E.I.R.L.</v>
      </c>
      <c r="F196" s="3" t="s">
        <v>89</v>
      </c>
      <c r="G196" s="3" t="s">
        <v>90</v>
      </c>
      <c r="H196" s="2">
        <f>'CUOTA LTP'!E125</f>
        <v>0.41298000000000001</v>
      </c>
      <c r="I196" s="2">
        <f>'CUOTA LTP'!F125</f>
        <v>0</v>
      </c>
      <c r="J196" s="2">
        <f>'CUOTA LTP'!G125</f>
        <v>0.54860999999999993</v>
      </c>
      <c r="K196" s="2">
        <f>'CUOTA LTP'!H125</f>
        <v>0</v>
      </c>
      <c r="L196" s="2">
        <f>'CUOTA LTP'!I125</f>
        <v>0.54860999999999993</v>
      </c>
      <c r="M196" s="33">
        <f>'CUOTA LTP'!J125</f>
        <v>0</v>
      </c>
      <c r="N196" s="10" t="s">
        <v>91</v>
      </c>
      <c r="O196" s="10">
        <f>'RESUMEN '!$B$3</f>
        <v>44561</v>
      </c>
      <c r="P196" s="39">
        <v>2021</v>
      </c>
      <c r="Q196" s="3"/>
    </row>
    <row r="197" spans="1:17" x14ac:dyDescent="0.25">
      <c r="A197" s="3" t="s">
        <v>20</v>
      </c>
      <c r="B197" s="3" t="s">
        <v>84</v>
      </c>
      <c r="C197" s="3" t="s">
        <v>96</v>
      </c>
      <c r="D197" s="3" t="s">
        <v>100</v>
      </c>
      <c r="E197" s="3" t="str">
        <f>'CUOTA LTP'!C124</f>
        <v>ANTONIO CRUZ CORDOVA NAKOUZI E.I.R.L.</v>
      </c>
      <c r="F197" s="3" t="s">
        <v>87</v>
      </c>
      <c r="G197" s="3" t="s">
        <v>90</v>
      </c>
      <c r="H197" s="2">
        <f>'CUOTA LTP'!K124</f>
        <v>4.1486099999999997</v>
      </c>
      <c r="I197" s="2">
        <f>'CUOTA LTP'!L124</f>
        <v>0</v>
      </c>
      <c r="J197" s="2">
        <f>'CUOTA LTP'!M124</f>
        <v>4.1486099999999997</v>
      </c>
      <c r="K197" s="2">
        <f>'CUOTA LTP'!N124</f>
        <v>3.6</v>
      </c>
      <c r="L197" s="2">
        <f>'CUOTA LTP'!O124</f>
        <v>0.5486099999999996</v>
      </c>
      <c r="M197" s="33">
        <f>'CUOTA LTP'!P124</f>
        <v>0.86776052701989348</v>
      </c>
      <c r="N197" s="10" t="s">
        <v>91</v>
      </c>
      <c r="O197" s="10">
        <f>'RESUMEN '!$B$3</f>
        <v>44561</v>
      </c>
      <c r="P197" s="39">
        <v>2021</v>
      </c>
      <c r="Q197" s="3"/>
    </row>
    <row r="198" spans="1:17" x14ac:dyDescent="0.25">
      <c r="A198" s="3" t="s">
        <v>20</v>
      </c>
      <c r="B198" s="3" t="s">
        <v>84</v>
      </c>
      <c r="C198" s="3" t="s">
        <v>96</v>
      </c>
      <c r="D198" s="3" t="s">
        <v>100</v>
      </c>
      <c r="E198" s="3" t="str">
        <f>'CUOTA LTP'!C126</f>
        <v>GRIMAR S.A. PESQ.</v>
      </c>
      <c r="F198" s="3" t="s">
        <v>87</v>
      </c>
      <c r="G198" s="3" t="s">
        <v>88</v>
      </c>
      <c r="H198" s="2">
        <f>'CUOTA LTP'!E126</f>
        <v>2.2598400000000001</v>
      </c>
      <c r="I198" s="2">
        <f>'CUOTA LTP'!F126</f>
        <v>0</v>
      </c>
      <c r="J198" s="2">
        <f>'CUOTA LTP'!G126</f>
        <v>2.2598400000000001</v>
      </c>
      <c r="K198" s="2">
        <f>'CUOTA LTP'!H126</f>
        <v>0</v>
      </c>
      <c r="L198" s="2">
        <f>'CUOTA LTP'!I126</f>
        <v>2.2598400000000001</v>
      </c>
      <c r="M198" s="33">
        <f>'CUOTA LTP'!J126</f>
        <v>0</v>
      </c>
      <c r="N198" s="10" t="s">
        <v>91</v>
      </c>
      <c r="O198" s="10">
        <f>'RESUMEN '!$B$3</f>
        <v>44561</v>
      </c>
      <c r="P198" s="39">
        <v>2021</v>
      </c>
      <c r="Q198" s="3"/>
    </row>
    <row r="199" spans="1:17" x14ac:dyDescent="0.25">
      <c r="A199" s="3" t="s">
        <v>20</v>
      </c>
      <c r="B199" s="3" t="s">
        <v>84</v>
      </c>
      <c r="C199" s="3" t="s">
        <v>96</v>
      </c>
      <c r="D199" s="3" t="s">
        <v>100</v>
      </c>
      <c r="E199" s="3" t="str">
        <f>'CUOTA LTP'!C126</f>
        <v>GRIMAR S.A. PESQ.</v>
      </c>
      <c r="F199" s="3" t="s">
        <v>89</v>
      </c>
      <c r="G199" s="3" t="s">
        <v>90</v>
      </c>
      <c r="H199" s="2">
        <f>'CUOTA LTP'!E127</f>
        <v>0.24983</v>
      </c>
      <c r="I199" s="2">
        <f>'CUOTA LTP'!F127</f>
        <v>0</v>
      </c>
      <c r="J199" s="2">
        <f>'CUOTA LTP'!G127</f>
        <v>2.5096699999999998</v>
      </c>
      <c r="K199" s="2">
        <f>'CUOTA LTP'!H127</f>
        <v>0</v>
      </c>
      <c r="L199" s="2">
        <f>'CUOTA LTP'!I127</f>
        <v>2.5096699999999998</v>
      </c>
      <c r="M199" s="33">
        <f>'CUOTA LTP'!J127</f>
        <v>0</v>
      </c>
      <c r="N199" s="10" t="s">
        <v>91</v>
      </c>
      <c r="O199" s="10">
        <f>'RESUMEN '!$B$3</f>
        <v>44561</v>
      </c>
      <c r="P199" s="39">
        <v>2021</v>
      </c>
      <c r="Q199" s="3"/>
    </row>
    <row r="200" spans="1:17" x14ac:dyDescent="0.25">
      <c r="A200" s="3" t="s">
        <v>20</v>
      </c>
      <c r="B200" s="3" t="s">
        <v>84</v>
      </c>
      <c r="C200" s="3" t="s">
        <v>96</v>
      </c>
      <c r="D200" s="3" t="s">
        <v>100</v>
      </c>
      <c r="E200" s="3" t="str">
        <f>'CUOTA LTP'!C126</f>
        <v>GRIMAR S.A. PESQ.</v>
      </c>
      <c r="F200" s="3" t="s">
        <v>87</v>
      </c>
      <c r="G200" s="3" t="s">
        <v>90</v>
      </c>
      <c r="H200" s="2">
        <f>'CUOTA LTP'!K126</f>
        <v>2.5096699999999998</v>
      </c>
      <c r="I200" s="2">
        <f>'CUOTA LTP'!L126</f>
        <v>0</v>
      </c>
      <c r="J200" s="2">
        <f>'CUOTA LTP'!M126</f>
        <v>2.5096699999999998</v>
      </c>
      <c r="K200" s="2">
        <f>'CUOTA LTP'!N126</f>
        <v>0</v>
      </c>
      <c r="L200" s="2">
        <f>'CUOTA LTP'!O126</f>
        <v>2.5096699999999998</v>
      </c>
      <c r="M200" s="33">
        <f>'CUOTA LTP'!P126</f>
        <v>0</v>
      </c>
      <c r="N200" s="10" t="s">
        <v>91</v>
      </c>
      <c r="O200" s="10">
        <f>'RESUMEN '!$B$3</f>
        <v>44561</v>
      </c>
      <c r="P200" s="39">
        <v>2021</v>
      </c>
      <c r="Q200" s="3"/>
    </row>
    <row r="201" spans="1:17" x14ac:dyDescent="0.25">
      <c r="A201" s="3" t="s">
        <v>20</v>
      </c>
      <c r="B201" s="3" t="s">
        <v>84</v>
      </c>
      <c r="C201" s="3" t="s">
        <v>96</v>
      </c>
      <c r="D201" s="3" t="s">
        <v>100</v>
      </c>
      <c r="E201" s="3" t="str">
        <f>'CUOTA LTP'!C128</f>
        <v>ISLADAMAS S.A. PESQ.</v>
      </c>
      <c r="F201" s="3" t="s">
        <v>87</v>
      </c>
      <c r="G201" s="3" t="s">
        <v>88</v>
      </c>
      <c r="H201" s="2">
        <f>'CUOTA LTP'!E128</f>
        <v>238.21925999999996</v>
      </c>
      <c r="I201" s="2">
        <f>'CUOTA LTP'!F128</f>
        <v>1.1226796000000014</v>
      </c>
      <c r="J201" s="2">
        <f>'CUOTA LTP'!G128</f>
        <v>239.34193959999996</v>
      </c>
      <c r="K201" s="2">
        <f>'CUOTA LTP'!H128</f>
        <v>120.95</v>
      </c>
      <c r="L201" s="2">
        <f>'CUOTA LTP'!I128</f>
        <v>118.39193959999996</v>
      </c>
      <c r="M201" s="33">
        <f>'CUOTA LTP'!J128</f>
        <v>0.50534394516120995</v>
      </c>
      <c r="N201" s="10" t="s">
        <v>91</v>
      </c>
      <c r="O201" s="10">
        <f>'RESUMEN '!$B$3</f>
        <v>44561</v>
      </c>
      <c r="P201" s="39">
        <v>2021</v>
      </c>
      <c r="Q201" s="3"/>
    </row>
    <row r="202" spans="1:17" x14ac:dyDescent="0.25">
      <c r="A202" s="3" t="s">
        <v>20</v>
      </c>
      <c r="B202" s="3" t="s">
        <v>84</v>
      </c>
      <c r="C202" s="3" t="s">
        <v>96</v>
      </c>
      <c r="D202" s="3" t="s">
        <v>100</v>
      </c>
      <c r="E202" s="3" t="str">
        <f>'CUOTA LTP'!C128</f>
        <v>ISLADAMAS S.A. PESQ.</v>
      </c>
      <c r="F202" s="3" t="s">
        <v>89</v>
      </c>
      <c r="G202" s="3" t="s">
        <v>90</v>
      </c>
      <c r="H202" s="2">
        <f>'CUOTA LTP'!E129</f>
        <v>26.335750000000008</v>
      </c>
      <c r="I202" s="2">
        <f>'CUOTA LTP'!F129</f>
        <v>0</v>
      </c>
      <c r="J202" s="2">
        <f>'CUOTA LTP'!G129</f>
        <v>144.72768959999996</v>
      </c>
      <c r="K202" s="2">
        <f>'CUOTA LTP'!H129</f>
        <v>17.613</v>
      </c>
      <c r="L202" s="2">
        <f>'CUOTA LTP'!I129</f>
        <v>127.11468959999996</v>
      </c>
      <c r="M202" s="33">
        <f>'CUOTA LTP'!J129</f>
        <v>0.12169751378384475</v>
      </c>
      <c r="N202" s="10" t="s">
        <v>91</v>
      </c>
      <c r="O202" s="10">
        <f>'RESUMEN '!$B$3</f>
        <v>44561</v>
      </c>
      <c r="P202" s="39">
        <v>2021</v>
      </c>
      <c r="Q202" s="3"/>
    </row>
    <row r="203" spans="1:17" x14ac:dyDescent="0.25">
      <c r="A203" s="3" t="s">
        <v>20</v>
      </c>
      <c r="B203" s="3" t="s">
        <v>84</v>
      </c>
      <c r="C203" s="3" t="s">
        <v>96</v>
      </c>
      <c r="D203" s="3" t="s">
        <v>100</v>
      </c>
      <c r="E203" s="3" t="str">
        <f>'CUOTA LTP'!C128</f>
        <v>ISLADAMAS S.A. PESQ.</v>
      </c>
      <c r="F203" s="3" t="s">
        <v>87</v>
      </c>
      <c r="G203" s="3" t="s">
        <v>90</v>
      </c>
      <c r="H203" s="2">
        <f>'CUOTA LTP'!K128</f>
        <v>264.55500999999998</v>
      </c>
      <c r="I203" s="2">
        <f>'CUOTA LTP'!L128</f>
        <v>1.1226796000000014</v>
      </c>
      <c r="J203" s="2">
        <f>'CUOTA LTP'!M128</f>
        <v>265.67768960000001</v>
      </c>
      <c r="K203" s="2">
        <f>'CUOTA LTP'!N128</f>
        <v>138.56299999999999</v>
      </c>
      <c r="L203" s="2">
        <f>'CUOTA LTP'!O128</f>
        <v>127.11468960000002</v>
      </c>
      <c r="M203" s="33">
        <f>'CUOTA LTP'!P128</f>
        <v>0.52154548697189507</v>
      </c>
      <c r="N203" s="10" t="s">
        <v>91</v>
      </c>
      <c r="O203" s="10">
        <f>'RESUMEN '!$B$3</f>
        <v>44561</v>
      </c>
      <c r="P203" s="39">
        <v>2021</v>
      </c>
      <c r="Q203" s="3"/>
    </row>
    <row r="204" spans="1:17" x14ac:dyDescent="0.25">
      <c r="A204" s="3" t="s">
        <v>20</v>
      </c>
      <c r="B204" s="3" t="s">
        <v>84</v>
      </c>
      <c r="C204" s="3" t="s">
        <v>96</v>
      </c>
      <c r="D204" s="3" t="s">
        <v>100</v>
      </c>
      <c r="E204" s="3" t="str">
        <f>'CUOTA LTP'!C130</f>
        <v>LANDES S.A. PESQ.</v>
      </c>
      <c r="F204" s="3" t="s">
        <v>87</v>
      </c>
      <c r="G204" s="3" t="s">
        <v>88</v>
      </c>
      <c r="H204" s="2">
        <f>'CUOTA LTP'!E130</f>
        <v>1.23356</v>
      </c>
      <c r="I204" s="2">
        <f>'CUOTA LTP'!F130</f>
        <v>0</v>
      </c>
      <c r="J204" s="2">
        <f>'CUOTA LTP'!G130</f>
        <v>1.23356</v>
      </c>
      <c r="K204" s="2">
        <f>'CUOTA LTP'!H130</f>
        <v>0</v>
      </c>
      <c r="L204" s="2">
        <f>'CUOTA LTP'!I130</f>
        <v>1.23356</v>
      </c>
      <c r="M204" s="33">
        <f>'CUOTA LTP'!J130</f>
        <v>0</v>
      </c>
      <c r="N204" s="10" t="s">
        <v>91</v>
      </c>
      <c r="O204" s="10">
        <f>'RESUMEN '!$B$3</f>
        <v>44561</v>
      </c>
      <c r="P204" s="39">
        <v>2021</v>
      </c>
      <c r="Q204" s="3"/>
    </row>
    <row r="205" spans="1:17" x14ac:dyDescent="0.25">
      <c r="A205" s="3" t="s">
        <v>20</v>
      </c>
      <c r="B205" s="3" t="s">
        <v>84</v>
      </c>
      <c r="C205" s="3" t="s">
        <v>96</v>
      </c>
      <c r="D205" s="3" t="s">
        <v>100</v>
      </c>
      <c r="E205" s="3" t="str">
        <f>'CUOTA LTP'!C130</f>
        <v>LANDES S.A. PESQ.</v>
      </c>
      <c r="F205" s="3" t="s">
        <v>89</v>
      </c>
      <c r="G205" s="3" t="s">
        <v>90</v>
      </c>
      <c r="H205" s="2">
        <f>'CUOTA LTP'!E131</f>
        <v>0.13636999999999999</v>
      </c>
      <c r="I205" s="2">
        <f>'CUOTA LTP'!F131</f>
        <v>0</v>
      </c>
      <c r="J205" s="2">
        <f>'CUOTA LTP'!G131</f>
        <v>1.3699300000000001</v>
      </c>
      <c r="K205" s="2">
        <f>'CUOTA LTP'!H131</f>
        <v>0</v>
      </c>
      <c r="L205" s="2">
        <f>'CUOTA LTP'!I131</f>
        <v>1.3699300000000001</v>
      </c>
      <c r="M205" s="33">
        <f>'CUOTA LTP'!J131</f>
        <v>0</v>
      </c>
      <c r="N205" s="10" t="s">
        <v>91</v>
      </c>
      <c r="O205" s="10">
        <f>'RESUMEN '!$B$3</f>
        <v>44561</v>
      </c>
      <c r="P205" s="39">
        <v>2021</v>
      </c>
      <c r="Q205" s="3"/>
    </row>
    <row r="206" spans="1:17" x14ac:dyDescent="0.25">
      <c r="A206" s="3" t="s">
        <v>20</v>
      </c>
      <c r="B206" s="3" t="s">
        <v>84</v>
      </c>
      <c r="C206" s="3" t="s">
        <v>96</v>
      </c>
      <c r="D206" s="3" t="s">
        <v>100</v>
      </c>
      <c r="E206" s="3" t="str">
        <f>'CUOTA LTP'!C130</f>
        <v>LANDES S.A. PESQ.</v>
      </c>
      <c r="F206" s="3" t="s">
        <v>87</v>
      </c>
      <c r="G206" s="3" t="s">
        <v>90</v>
      </c>
      <c r="H206" s="2">
        <f>'CUOTA LTP'!K130</f>
        <v>1.3699300000000001</v>
      </c>
      <c r="I206" s="2">
        <f>'CUOTA LTP'!L130</f>
        <v>0</v>
      </c>
      <c r="J206" s="2">
        <f>'CUOTA LTP'!M130</f>
        <v>1.3699300000000001</v>
      </c>
      <c r="K206" s="2">
        <f>'CUOTA LTP'!N130</f>
        <v>0</v>
      </c>
      <c r="L206" s="2">
        <f>'CUOTA LTP'!O130</f>
        <v>1.3699300000000001</v>
      </c>
      <c r="M206" s="33">
        <f>'CUOTA LTP'!P130</f>
        <v>0</v>
      </c>
      <c r="N206" s="10" t="s">
        <v>91</v>
      </c>
      <c r="O206" s="10">
        <f>'RESUMEN '!$B$3</f>
        <v>44561</v>
      </c>
      <c r="P206" s="39">
        <v>2021</v>
      </c>
      <c r="Q206" s="3"/>
    </row>
    <row r="207" spans="1:17" x14ac:dyDescent="0.25">
      <c r="A207" s="3" t="s">
        <v>20</v>
      </c>
      <c r="B207" s="3" t="s">
        <v>84</v>
      </c>
      <c r="C207" s="3" t="s">
        <v>96</v>
      </c>
      <c r="D207" s="3" t="s">
        <v>100</v>
      </c>
      <c r="E207" s="3" t="str">
        <f>'CUOTA LTP'!C132</f>
        <v>ZUÑIGA ROMERO GONZALO</v>
      </c>
      <c r="F207" s="3" t="s">
        <v>87</v>
      </c>
      <c r="G207" s="3" t="s">
        <v>88</v>
      </c>
      <c r="H207" s="2">
        <f>'CUOTA LTP'!E132</f>
        <v>25.858619999999998</v>
      </c>
      <c r="I207" s="2">
        <f>'CUOTA LTP'!F132</f>
        <v>0</v>
      </c>
      <c r="J207" s="2">
        <f>'CUOTA LTP'!G132</f>
        <v>25.858619999999998</v>
      </c>
      <c r="K207" s="2">
        <f>'CUOTA LTP'!H132</f>
        <v>0</v>
      </c>
      <c r="L207" s="2">
        <f>'CUOTA LTP'!I132</f>
        <v>25.858619999999998</v>
      </c>
      <c r="M207" s="33">
        <f>'CUOTA LTP'!J132</f>
        <v>0</v>
      </c>
      <c r="N207" s="10" t="s">
        <v>91</v>
      </c>
      <c r="O207" s="10">
        <f>'RESUMEN '!$B$3</f>
        <v>44561</v>
      </c>
      <c r="P207" s="39">
        <v>2021</v>
      </c>
      <c r="Q207" s="3"/>
    </row>
    <row r="208" spans="1:17" x14ac:dyDescent="0.25">
      <c r="A208" s="3" t="s">
        <v>20</v>
      </c>
      <c r="B208" s="3" t="s">
        <v>84</v>
      </c>
      <c r="C208" s="3" t="s">
        <v>96</v>
      </c>
      <c r="D208" s="3" t="s">
        <v>100</v>
      </c>
      <c r="E208" s="3" t="str">
        <f>'CUOTA LTP'!C132</f>
        <v>ZUÑIGA ROMERO GONZALO</v>
      </c>
      <c r="F208" s="3" t="s">
        <v>89</v>
      </c>
      <c r="G208" s="3" t="s">
        <v>90</v>
      </c>
      <c r="H208" s="2">
        <f>'CUOTA LTP'!E133</f>
        <v>2.8587400000000001</v>
      </c>
      <c r="I208" s="2">
        <f>'CUOTA LTP'!F133</f>
        <v>0</v>
      </c>
      <c r="J208" s="2">
        <f>'CUOTA LTP'!G133</f>
        <v>28.717359999999999</v>
      </c>
      <c r="K208" s="2">
        <f>'CUOTA LTP'!H133</f>
        <v>0</v>
      </c>
      <c r="L208" s="2">
        <f>'CUOTA LTP'!I133</f>
        <v>28.717359999999999</v>
      </c>
      <c r="M208" s="33">
        <f>'CUOTA LTP'!J133</f>
        <v>0</v>
      </c>
      <c r="N208" s="10" t="s">
        <v>91</v>
      </c>
      <c r="O208" s="10">
        <f>'RESUMEN '!$B$3</f>
        <v>44561</v>
      </c>
      <c r="P208" s="39">
        <v>2021</v>
      </c>
      <c r="Q208" s="3"/>
    </row>
    <row r="209" spans="1:17" x14ac:dyDescent="0.25">
      <c r="A209" s="3" t="s">
        <v>20</v>
      </c>
      <c r="B209" s="3" t="s">
        <v>84</v>
      </c>
      <c r="C209" s="3" t="s">
        <v>96</v>
      </c>
      <c r="D209" s="3" t="s">
        <v>100</v>
      </c>
      <c r="E209" s="3" t="str">
        <f>'CUOTA LTP'!C132</f>
        <v>ZUÑIGA ROMERO GONZALO</v>
      </c>
      <c r="F209" s="3" t="s">
        <v>87</v>
      </c>
      <c r="G209" s="3" t="s">
        <v>90</v>
      </c>
      <c r="H209" s="2">
        <f>'CUOTA LTP'!K132</f>
        <v>28.717359999999999</v>
      </c>
      <c r="I209" s="2">
        <f>'CUOTA LTP'!L132</f>
        <v>0</v>
      </c>
      <c r="J209" s="2">
        <f>'CUOTA LTP'!M132</f>
        <v>28.717359999999999</v>
      </c>
      <c r="K209" s="2">
        <f>'CUOTA LTP'!N132</f>
        <v>0</v>
      </c>
      <c r="L209" s="2">
        <f>'CUOTA LTP'!O132</f>
        <v>28.717359999999999</v>
      </c>
      <c r="M209" s="33">
        <f>'CUOTA LTP'!P132</f>
        <v>0</v>
      </c>
      <c r="N209" s="10" t="s">
        <v>91</v>
      </c>
      <c r="O209" s="10">
        <f>'RESUMEN '!$B$3</f>
        <v>44561</v>
      </c>
      <c r="P209" s="39">
        <v>2021</v>
      </c>
      <c r="Q209" s="3"/>
    </row>
    <row r="210" spans="1:17" x14ac:dyDescent="0.25">
      <c r="A210" s="3" t="s">
        <v>20</v>
      </c>
      <c r="B210" s="3" t="s">
        <v>84</v>
      </c>
      <c r="C210" s="3" t="s">
        <v>96</v>
      </c>
      <c r="D210" s="3" t="s">
        <v>100</v>
      </c>
      <c r="E210" s="3" t="str">
        <f>'CUOTA LTP'!C134</f>
        <v>MOROZIN YURECIC MARIO</v>
      </c>
      <c r="F210" s="3" t="s">
        <v>87</v>
      </c>
      <c r="G210" s="3" t="s">
        <v>88</v>
      </c>
      <c r="H210" s="2">
        <f>'CUOTA LTP'!E134</f>
        <v>2.3879999999999998E-2</v>
      </c>
      <c r="I210" s="2">
        <f>'CUOTA LTP'!F134</f>
        <v>0</v>
      </c>
      <c r="J210" s="2">
        <f>'CUOTA LTP'!G134</f>
        <v>2.3879999999999998E-2</v>
      </c>
      <c r="K210" s="2">
        <f>'CUOTA LTP'!H134</f>
        <v>0</v>
      </c>
      <c r="L210" s="2">
        <f>'CUOTA LTP'!I134</f>
        <v>2.3879999999999998E-2</v>
      </c>
      <c r="M210" s="33">
        <f>'CUOTA LTP'!J134</f>
        <v>0</v>
      </c>
      <c r="N210" s="10" t="s">
        <v>91</v>
      </c>
      <c r="O210" s="10">
        <f>'RESUMEN '!$B$3</f>
        <v>44561</v>
      </c>
      <c r="P210" s="39">
        <v>2021</v>
      </c>
      <c r="Q210" s="3"/>
    </row>
    <row r="211" spans="1:17" x14ac:dyDescent="0.25">
      <c r="A211" s="3" t="s">
        <v>20</v>
      </c>
      <c r="B211" s="3" t="s">
        <v>84</v>
      </c>
      <c r="C211" s="3" t="s">
        <v>96</v>
      </c>
      <c r="D211" s="3" t="s">
        <v>100</v>
      </c>
      <c r="E211" s="3" t="str">
        <f>'CUOTA LTP'!C134</f>
        <v>MOROZIN YURECIC MARIO</v>
      </c>
      <c r="F211" s="3" t="s">
        <v>89</v>
      </c>
      <c r="G211" s="3" t="s">
        <v>90</v>
      </c>
      <c r="H211" s="2">
        <f>'CUOTA LTP'!E135</f>
        <v>2.64E-3</v>
      </c>
      <c r="I211" s="2">
        <f>'CUOTA LTP'!F135</f>
        <v>0</v>
      </c>
      <c r="J211" s="2">
        <f>'CUOTA LTP'!G135</f>
        <v>2.6519999999999998E-2</v>
      </c>
      <c r="K211" s="2">
        <f>'CUOTA LTP'!H135</f>
        <v>0</v>
      </c>
      <c r="L211" s="2">
        <f>'CUOTA LTP'!I135</f>
        <v>2.6519999999999998E-2</v>
      </c>
      <c r="M211" s="33">
        <f>'CUOTA LTP'!J135</f>
        <v>0</v>
      </c>
      <c r="N211" s="10" t="s">
        <v>91</v>
      </c>
      <c r="O211" s="10">
        <f>'RESUMEN '!$B$3</f>
        <v>44561</v>
      </c>
      <c r="P211" s="39">
        <v>2021</v>
      </c>
      <c r="Q211" s="3"/>
    </row>
    <row r="212" spans="1:17" x14ac:dyDescent="0.25">
      <c r="A212" s="3" t="s">
        <v>20</v>
      </c>
      <c r="B212" s="3" t="s">
        <v>84</v>
      </c>
      <c r="C212" s="3" t="s">
        <v>96</v>
      </c>
      <c r="D212" s="3" t="s">
        <v>100</v>
      </c>
      <c r="E212" s="3" t="str">
        <f>'CUOTA LTP'!C134</f>
        <v>MOROZIN YURECIC MARIO</v>
      </c>
      <c r="F212" s="3" t="s">
        <v>87</v>
      </c>
      <c r="G212" s="3" t="s">
        <v>90</v>
      </c>
      <c r="H212" s="2">
        <f>'CUOTA LTP'!K134</f>
        <v>2.6519999999999998E-2</v>
      </c>
      <c r="I212" s="2">
        <f>'CUOTA LTP'!L134</f>
        <v>0</v>
      </c>
      <c r="J212" s="2">
        <f>'CUOTA LTP'!M134</f>
        <v>2.6519999999999998E-2</v>
      </c>
      <c r="K212" s="2">
        <f>'CUOTA LTP'!N134</f>
        <v>0</v>
      </c>
      <c r="L212" s="2">
        <f>'CUOTA LTP'!O134</f>
        <v>2.6519999999999998E-2</v>
      </c>
      <c r="M212" s="33">
        <f>'CUOTA LTP'!P134</f>
        <v>0</v>
      </c>
      <c r="N212" s="10" t="s">
        <v>91</v>
      </c>
      <c r="O212" s="10">
        <f>'RESUMEN '!$B$3</f>
        <v>44561</v>
      </c>
      <c r="P212" s="39">
        <v>2021</v>
      </c>
      <c r="Q212" s="3"/>
    </row>
    <row r="213" spans="1:17" x14ac:dyDescent="0.25">
      <c r="A213" s="3" t="s">
        <v>20</v>
      </c>
      <c r="B213" s="3" t="s">
        <v>84</v>
      </c>
      <c r="C213" s="3" t="s">
        <v>96</v>
      </c>
      <c r="D213" s="3" t="s">
        <v>100</v>
      </c>
      <c r="E213" s="3" t="str">
        <f>'CUOTA LTP'!C136</f>
        <v>QUINTERO LTDA. SOC. PESQ.</v>
      </c>
      <c r="F213" s="3" t="s">
        <v>87</v>
      </c>
      <c r="G213" s="3" t="s">
        <v>88</v>
      </c>
      <c r="H213" s="2">
        <f>'CUOTA LTP'!E136</f>
        <v>1.592E-2</v>
      </c>
      <c r="I213" s="2">
        <f>'CUOTA LTP'!F136</f>
        <v>15.487945199999999</v>
      </c>
      <c r="J213" s="2">
        <f>'CUOTA LTP'!G136</f>
        <v>15.503865199999998</v>
      </c>
      <c r="K213" s="2">
        <f>'CUOTA LTP'!H136</f>
        <v>0</v>
      </c>
      <c r="L213" s="2">
        <f>'CUOTA LTP'!I136</f>
        <v>15.503865199999998</v>
      </c>
      <c r="M213" s="33">
        <f>'CUOTA LTP'!J136</f>
        <v>0</v>
      </c>
      <c r="N213" s="10" t="s">
        <v>91</v>
      </c>
      <c r="O213" s="10">
        <f>'RESUMEN '!$B$3</f>
        <v>44561</v>
      </c>
      <c r="P213" s="39">
        <v>2021</v>
      </c>
      <c r="Q213" s="3"/>
    </row>
    <row r="214" spans="1:17" x14ac:dyDescent="0.25">
      <c r="A214" s="3" t="s">
        <v>20</v>
      </c>
      <c r="B214" s="3" t="s">
        <v>84</v>
      </c>
      <c r="C214" s="3" t="s">
        <v>96</v>
      </c>
      <c r="D214" s="3" t="s">
        <v>100</v>
      </c>
      <c r="E214" s="3" t="str">
        <f>'CUOTA LTP'!C136</f>
        <v>QUINTERO LTDA. SOC. PESQ.</v>
      </c>
      <c r="F214" s="3" t="s">
        <v>89</v>
      </c>
      <c r="G214" s="3" t="s">
        <v>90</v>
      </c>
      <c r="H214" s="2">
        <f>'CUOTA LTP'!E137</f>
        <v>1.7600000000000001E-3</v>
      </c>
      <c r="I214" s="2">
        <f>'CUOTA LTP'!F137</f>
        <v>0</v>
      </c>
      <c r="J214" s="2">
        <f>'CUOTA LTP'!G137</f>
        <v>15.505625199999999</v>
      </c>
      <c r="K214" s="2">
        <f>'CUOTA LTP'!H137</f>
        <v>0</v>
      </c>
      <c r="L214" s="2">
        <f>'CUOTA LTP'!I137</f>
        <v>15.505625199999999</v>
      </c>
      <c r="M214" s="33">
        <f>'CUOTA LTP'!J137</f>
        <v>0</v>
      </c>
      <c r="N214" s="10" t="s">
        <v>91</v>
      </c>
      <c r="O214" s="10">
        <f>'RESUMEN '!$B$3</f>
        <v>44561</v>
      </c>
      <c r="P214" s="39">
        <v>2021</v>
      </c>
      <c r="Q214" s="3"/>
    </row>
    <row r="215" spans="1:17" x14ac:dyDescent="0.25">
      <c r="A215" s="3" t="s">
        <v>20</v>
      </c>
      <c r="B215" s="3" t="s">
        <v>84</v>
      </c>
      <c r="C215" s="3" t="s">
        <v>96</v>
      </c>
      <c r="D215" s="3" t="s">
        <v>100</v>
      </c>
      <c r="E215" s="3" t="str">
        <f>'CUOTA LTP'!C136</f>
        <v>QUINTERO LTDA. SOC. PESQ.</v>
      </c>
      <c r="F215" s="3" t="s">
        <v>87</v>
      </c>
      <c r="G215" s="3" t="s">
        <v>90</v>
      </c>
      <c r="H215" s="2">
        <f>'CUOTA LTP'!K136</f>
        <v>1.7680000000000001E-2</v>
      </c>
      <c r="I215" s="2">
        <f>'CUOTA LTP'!L136</f>
        <v>15.487945199999999</v>
      </c>
      <c r="J215" s="2">
        <f>'CUOTA LTP'!M136</f>
        <v>15.505625199999999</v>
      </c>
      <c r="K215" s="2">
        <f>'CUOTA LTP'!N136</f>
        <v>0</v>
      </c>
      <c r="L215" s="2">
        <f>'CUOTA LTP'!O136</f>
        <v>15.505625199999999</v>
      </c>
      <c r="M215" s="33">
        <f>'CUOTA LTP'!P136</f>
        <v>0</v>
      </c>
      <c r="N215" s="10" t="s">
        <v>91</v>
      </c>
      <c r="O215" s="10">
        <f>'RESUMEN '!$B$3</f>
        <v>44561</v>
      </c>
      <c r="P215" s="39">
        <v>2021</v>
      </c>
      <c r="Q215" s="3"/>
    </row>
    <row r="216" spans="1:17" x14ac:dyDescent="0.25">
      <c r="A216" s="3" t="s">
        <v>20</v>
      </c>
      <c r="B216" s="3" t="s">
        <v>84</v>
      </c>
      <c r="C216" s="3" t="s">
        <v>96</v>
      </c>
      <c r="D216" s="3" t="s">
        <v>100</v>
      </c>
      <c r="E216" s="3" t="str">
        <f>'CUOTA LTP'!C138</f>
        <v>PACIFICBLU SPA.</v>
      </c>
      <c r="F216" s="3" t="s">
        <v>87</v>
      </c>
      <c r="G216" s="3" t="s">
        <v>88</v>
      </c>
      <c r="H216" s="2">
        <f>'CUOTA LTP'!E138</f>
        <v>14.473269999999999</v>
      </c>
      <c r="I216" s="2">
        <f>'CUOTA LTP'!F138</f>
        <v>-15.3534004</v>
      </c>
      <c r="J216" s="2">
        <f>'CUOTA LTP'!G138</f>
        <v>-0.88013040000000053</v>
      </c>
      <c r="K216" s="2">
        <f>'CUOTA LTP'!H138</f>
        <v>0</v>
      </c>
      <c r="L216" s="2">
        <f>'CUOTA LTP'!I138</f>
        <v>-0.88013040000000053</v>
      </c>
      <c r="M216" s="33">
        <f>'CUOTA LTP'!J138</f>
        <v>0</v>
      </c>
      <c r="N216" s="10" t="s">
        <v>91</v>
      </c>
      <c r="O216" s="10">
        <f>'RESUMEN '!$B$3</f>
        <v>44561</v>
      </c>
      <c r="P216" s="39">
        <v>2021</v>
      </c>
      <c r="Q216" s="3"/>
    </row>
    <row r="217" spans="1:17" x14ac:dyDescent="0.25">
      <c r="A217" s="3" t="s">
        <v>20</v>
      </c>
      <c r="B217" s="3" t="s">
        <v>84</v>
      </c>
      <c r="C217" s="3" t="s">
        <v>96</v>
      </c>
      <c r="D217" s="3" t="s">
        <v>100</v>
      </c>
      <c r="E217" s="3" t="str">
        <f>'CUOTA LTP'!C138</f>
        <v>PACIFICBLU SPA.</v>
      </c>
      <c r="F217" s="3" t="s">
        <v>89</v>
      </c>
      <c r="G217" s="3" t="s">
        <v>90</v>
      </c>
      <c r="H217" s="2">
        <f>'CUOTA LTP'!E139</f>
        <v>1.600006</v>
      </c>
      <c r="I217" s="2">
        <f>'CUOTA LTP'!F139</f>
        <v>0</v>
      </c>
      <c r="J217" s="2">
        <f>'CUOTA LTP'!G139</f>
        <v>0.7198755999999995</v>
      </c>
      <c r="K217" s="2">
        <f>'CUOTA LTP'!H139</f>
        <v>0</v>
      </c>
      <c r="L217" s="2">
        <f>'CUOTA LTP'!I139</f>
        <v>0.7198755999999995</v>
      </c>
      <c r="M217" s="33">
        <f>'CUOTA LTP'!J139</f>
        <v>0</v>
      </c>
      <c r="N217" s="10" t="s">
        <v>91</v>
      </c>
      <c r="O217" s="10">
        <f>'RESUMEN '!$B$3</f>
        <v>44561</v>
      </c>
      <c r="P217" s="39">
        <v>2021</v>
      </c>
      <c r="Q217" s="3"/>
    </row>
    <row r="218" spans="1:17" x14ac:dyDescent="0.25">
      <c r="A218" s="3" t="s">
        <v>20</v>
      </c>
      <c r="B218" s="3" t="s">
        <v>84</v>
      </c>
      <c r="C218" s="3" t="s">
        <v>96</v>
      </c>
      <c r="D218" s="3" t="s">
        <v>100</v>
      </c>
      <c r="E218" s="3" t="str">
        <f>'CUOTA LTP'!C138</f>
        <v>PACIFICBLU SPA.</v>
      </c>
      <c r="F218" s="3" t="s">
        <v>87</v>
      </c>
      <c r="G218" s="3" t="s">
        <v>90</v>
      </c>
      <c r="H218" s="2">
        <f>'CUOTA LTP'!K138</f>
        <v>16.073276</v>
      </c>
      <c r="I218" s="2">
        <f>'CUOTA LTP'!L138</f>
        <v>-15.3534004</v>
      </c>
      <c r="J218" s="2">
        <f>'CUOTA LTP'!M138</f>
        <v>0.71987559999999995</v>
      </c>
      <c r="K218" s="2">
        <f>'CUOTA LTP'!N138</f>
        <v>0</v>
      </c>
      <c r="L218" s="2">
        <f>'CUOTA LTP'!O138</f>
        <v>0.71987559999999995</v>
      </c>
      <c r="M218" s="33">
        <f>'CUOTA LTP'!P138</f>
        <v>0</v>
      </c>
      <c r="N218" s="10" t="s">
        <v>91</v>
      </c>
      <c r="O218" s="10">
        <f>'RESUMEN '!$B$3</f>
        <v>44561</v>
      </c>
      <c r="P218" s="39">
        <v>2021</v>
      </c>
      <c r="Q218" s="3"/>
    </row>
    <row r="219" spans="1:17" x14ac:dyDescent="0.25">
      <c r="A219" s="3" t="s">
        <v>20</v>
      </c>
      <c r="B219" s="3" t="s">
        <v>84</v>
      </c>
      <c r="C219" s="3" t="s">
        <v>96</v>
      </c>
      <c r="D219" s="3" t="s">
        <v>100</v>
      </c>
      <c r="E219" s="3" t="str">
        <f>'CUOTA LTP'!C140</f>
        <v>DA VENEZIA RETAMALES ANTONIO</v>
      </c>
      <c r="F219" s="3" t="s">
        <v>87</v>
      </c>
      <c r="G219" s="3" t="s">
        <v>88</v>
      </c>
      <c r="H219" s="2">
        <f>'CUOTA LTP'!E140</f>
        <v>7.9600000000000001E-3</v>
      </c>
      <c r="I219" s="2">
        <f>'CUOTA LTP'!F140</f>
        <v>0</v>
      </c>
      <c r="J219" s="2">
        <f>'CUOTA LTP'!G140</f>
        <v>7.9600000000000001E-3</v>
      </c>
      <c r="K219" s="2">
        <f>'CUOTA LTP'!H140</f>
        <v>0</v>
      </c>
      <c r="L219" s="2">
        <f>'CUOTA LTP'!I140</f>
        <v>7.9600000000000001E-3</v>
      </c>
      <c r="M219" s="33">
        <f>'CUOTA LTP'!J140</f>
        <v>0</v>
      </c>
      <c r="N219" s="10" t="s">
        <v>91</v>
      </c>
      <c r="O219" s="10">
        <f>'RESUMEN '!$B$3</f>
        <v>44561</v>
      </c>
      <c r="P219" s="39">
        <v>2021</v>
      </c>
      <c r="Q219" s="3"/>
    </row>
    <row r="220" spans="1:17" x14ac:dyDescent="0.25">
      <c r="A220" s="3" t="s">
        <v>20</v>
      </c>
      <c r="B220" s="3" t="s">
        <v>84</v>
      </c>
      <c r="C220" s="3" t="s">
        <v>96</v>
      </c>
      <c r="D220" s="3" t="s">
        <v>100</v>
      </c>
      <c r="E220" s="3" t="str">
        <f>'CUOTA LTP'!C140</f>
        <v>DA VENEZIA RETAMALES ANTONIO</v>
      </c>
      <c r="F220" s="3" t="s">
        <v>89</v>
      </c>
      <c r="G220" s="3" t="s">
        <v>90</v>
      </c>
      <c r="H220" s="2">
        <f>'CUOTA LTP'!E141</f>
        <v>8.8000000000000003E-4</v>
      </c>
      <c r="I220" s="2">
        <f>'CUOTA LTP'!F141</f>
        <v>0</v>
      </c>
      <c r="J220" s="2">
        <f>'CUOTA LTP'!G141</f>
        <v>8.8400000000000006E-3</v>
      </c>
      <c r="K220" s="2">
        <f>'CUOTA LTP'!H141</f>
        <v>0</v>
      </c>
      <c r="L220" s="2">
        <f>'CUOTA LTP'!I141</f>
        <v>8.8400000000000006E-3</v>
      </c>
      <c r="M220" s="33">
        <f>'CUOTA LTP'!J141</f>
        <v>0</v>
      </c>
      <c r="N220" s="10" t="s">
        <v>91</v>
      </c>
      <c r="O220" s="10">
        <f>'RESUMEN '!$B$3</f>
        <v>44561</v>
      </c>
      <c r="P220" s="39">
        <v>2021</v>
      </c>
      <c r="Q220" s="3"/>
    </row>
    <row r="221" spans="1:17" x14ac:dyDescent="0.25">
      <c r="A221" s="3" t="s">
        <v>20</v>
      </c>
      <c r="B221" s="3" t="s">
        <v>84</v>
      </c>
      <c r="C221" s="3" t="s">
        <v>96</v>
      </c>
      <c r="D221" s="3" t="s">
        <v>100</v>
      </c>
      <c r="E221" s="3" t="str">
        <f>'CUOTA LTP'!C140</f>
        <v>DA VENEZIA RETAMALES ANTONIO</v>
      </c>
      <c r="F221" s="3" t="s">
        <v>87</v>
      </c>
      <c r="G221" s="3" t="s">
        <v>90</v>
      </c>
      <c r="H221" s="2">
        <f>'CUOTA LTP'!K140</f>
        <v>8.8400000000000006E-3</v>
      </c>
      <c r="I221" s="2">
        <f>'CUOTA LTP'!L140</f>
        <v>0</v>
      </c>
      <c r="J221" s="2">
        <f>'CUOTA LTP'!M140</f>
        <v>8.8400000000000006E-3</v>
      </c>
      <c r="K221" s="2">
        <f>'CUOTA LTP'!N140</f>
        <v>0</v>
      </c>
      <c r="L221" s="2">
        <f>'CUOTA LTP'!O140</f>
        <v>8.8400000000000006E-3</v>
      </c>
      <c r="M221" s="33">
        <f>'CUOTA LTP'!P140</f>
        <v>0</v>
      </c>
      <c r="N221" s="10" t="s">
        <v>91</v>
      </c>
      <c r="O221" s="10">
        <f>'RESUMEN '!$B$3</f>
        <v>44561</v>
      </c>
      <c r="P221" s="39">
        <v>2021</v>
      </c>
      <c r="Q221" s="3"/>
    </row>
    <row r="222" spans="1:17" x14ac:dyDescent="0.25">
      <c r="A222" s="3" t="s">
        <v>20</v>
      </c>
      <c r="B222" s="3" t="s">
        <v>84</v>
      </c>
      <c r="C222" s="3" t="s">
        <v>96</v>
      </c>
      <c r="D222" s="3" t="s">
        <v>100</v>
      </c>
      <c r="E222" s="3" t="str">
        <f>'CUOTA LTP'!C142</f>
        <v>ENFERMAR LTDA. SOC. PESQ.</v>
      </c>
      <c r="F222" s="3" t="s">
        <v>87</v>
      </c>
      <c r="G222" s="3" t="s">
        <v>88</v>
      </c>
      <c r="H222" s="2">
        <f>'CUOTA LTP'!E142</f>
        <v>0.21492</v>
      </c>
      <c r="I222" s="2">
        <f>'CUOTA LTP'!F142</f>
        <v>-0.11491999999999999</v>
      </c>
      <c r="J222" s="2">
        <f>'CUOTA LTP'!G142</f>
        <v>0.1</v>
      </c>
      <c r="K222" s="2">
        <f>'CUOTA LTP'!H142</f>
        <v>0</v>
      </c>
      <c r="L222" s="2">
        <f>'CUOTA LTP'!I142</f>
        <v>0.1</v>
      </c>
      <c r="M222" s="33">
        <f>'CUOTA LTP'!J142</f>
        <v>0</v>
      </c>
      <c r="N222" s="10" t="s">
        <v>91</v>
      </c>
      <c r="O222" s="10">
        <f>'RESUMEN '!$B$3</f>
        <v>44561</v>
      </c>
      <c r="P222" s="39">
        <v>2021</v>
      </c>
      <c r="Q222" s="3"/>
    </row>
    <row r="223" spans="1:17" x14ac:dyDescent="0.25">
      <c r="A223" s="3" t="s">
        <v>20</v>
      </c>
      <c r="B223" s="3" t="s">
        <v>84</v>
      </c>
      <c r="C223" s="3" t="s">
        <v>96</v>
      </c>
      <c r="D223" s="3" t="s">
        <v>100</v>
      </c>
      <c r="E223" s="3" t="str">
        <f>'CUOTA LTP'!C142</f>
        <v>ENFERMAR LTDA. SOC. PESQ.</v>
      </c>
      <c r="F223" s="3" t="s">
        <v>89</v>
      </c>
      <c r="G223" s="3" t="s">
        <v>90</v>
      </c>
      <c r="H223" s="2">
        <f>'CUOTA LTP'!E143</f>
        <v>2.376E-2</v>
      </c>
      <c r="I223" s="2">
        <f>'CUOTA LTP'!F143</f>
        <v>0</v>
      </c>
      <c r="J223" s="2">
        <f>'CUOTA LTP'!G143</f>
        <v>0.12376000000000001</v>
      </c>
      <c r="K223" s="2">
        <f>'CUOTA LTP'!H143</f>
        <v>0</v>
      </c>
      <c r="L223" s="2">
        <f>'CUOTA LTP'!I143</f>
        <v>0.12376000000000001</v>
      </c>
      <c r="M223" s="33">
        <f>'CUOTA LTP'!J143</f>
        <v>0</v>
      </c>
      <c r="N223" s="10" t="s">
        <v>91</v>
      </c>
      <c r="O223" s="10">
        <f>'RESUMEN '!$B$3</f>
        <v>44561</v>
      </c>
      <c r="P223" s="39">
        <v>2021</v>
      </c>
      <c r="Q223" s="3"/>
    </row>
    <row r="224" spans="1:17" x14ac:dyDescent="0.25">
      <c r="A224" s="3" t="s">
        <v>20</v>
      </c>
      <c r="B224" s="3" t="s">
        <v>84</v>
      </c>
      <c r="C224" s="3" t="s">
        <v>96</v>
      </c>
      <c r="D224" s="3" t="s">
        <v>100</v>
      </c>
      <c r="E224" s="3" t="str">
        <f>'CUOTA LTP'!C142</f>
        <v>ENFERMAR LTDA. SOC. PESQ.</v>
      </c>
      <c r="F224" s="3" t="s">
        <v>87</v>
      </c>
      <c r="G224" s="3" t="s">
        <v>90</v>
      </c>
      <c r="H224" s="2">
        <f>'CUOTA LTP'!K142</f>
        <v>0.23868</v>
      </c>
      <c r="I224" s="2">
        <f>'CUOTA LTP'!L142</f>
        <v>-0.11491999999999999</v>
      </c>
      <c r="J224" s="2">
        <f>'CUOTA LTP'!M142</f>
        <v>0.12376000000000001</v>
      </c>
      <c r="K224" s="2">
        <f>'CUOTA LTP'!N142</f>
        <v>0</v>
      </c>
      <c r="L224" s="2">
        <f>'CUOTA LTP'!O142</f>
        <v>0.12376000000000001</v>
      </c>
      <c r="M224" s="33">
        <f>'CUOTA LTP'!P142</f>
        <v>0</v>
      </c>
      <c r="N224" s="10" t="s">
        <v>91</v>
      </c>
      <c r="O224" s="10">
        <f>'RESUMEN '!$B$3</f>
        <v>44561</v>
      </c>
      <c r="P224" s="39">
        <v>2021</v>
      </c>
      <c r="Q224" s="3"/>
    </row>
    <row r="225" spans="1:17" x14ac:dyDescent="0.25">
      <c r="A225" s="3" t="s">
        <v>20</v>
      </c>
      <c r="B225" s="3" t="s">
        <v>84</v>
      </c>
      <c r="C225" s="3" t="s">
        <v>96</v>
      </c>
      <c r="D225" s="3" t="s">
        <v>100</v>
      </c>
      <c r="E225" s="3" t="str">
        <f>'CUOTA LTP'!C148</f>
        <v>RUBIO Y MAUAD LTDA.</v>
      </c>
      <c r="F225" s="3" t="s">
        <v>87</v>
      </c>
      <c r="G225" s="3" t="s">
        <v>88</v>
      </c>
      <c r="H225" s="2">
        <f>'CUOTA LTP'!E148</f>
        <v>1.0188599999999999</v>
      </c>
      <c r="I225" s="2">
        <f>'CUOTA LTP'!F148</f>
        <v>-1.1226796000000014</v>
      </c>
      <c r="J225" s="2">
        <f>'CUOTA LTP'!G148</f>
        <v>-0.10381960000000157</v>
      </c>
      <c r="K225" s="2">
        <f>'CUOTA LTP'!H148</f>
        <v>0</v>
      </c>
      <c r="L225" s="2">
        <f>'CUOTA LTP'!I148</f>
        <v>-0.10381960000000157</v>
      </c>
      <c r="M225" s="33">
        <f>'CUOTA LTP'!J148</f>
        <v>0</v>
      </c>
      <c r="N225" s="10" t="s">
        <v>91</v>
      </c>
      <c r="O225" s="10">
        <f>'RESUMEN '!$B$3</f>
        <v>44561</v>
      </c>
      <c r="P225" s="39">
        <v>2021</v>
      </c>
      <c r="Q225" s="3"/>
    </row>
    <row r="226" spans="1:17" x14ac:dyDescent="0.25">
      <c r="A226" s="3" t="s">
        <v>20</v>
      </c>
      <c r="B226" s="3" t="s">
        <v>84</v>
      </c>
      <c r="C226" s="3" t="s">
        <v>96</v>
      </c>
      <c r="D226" s="3" t="s">
        <v>100</v>
      </c>
      <c r="E226" s="3" t="str">
        <f>'CUOTA LTP'!C148</f>
        <v>RUBIO Y MAUAD LTDA.</v>
      </c>
      <c r="F226" s="3" t="s">
        <v>89</v>
      </c>
      <c r="G226" s="3" t="s">
        <v>90</v>
      </c>
      <c r="H226" s="2">
        <f>'CUOTA LTP'!E149</f>
        <v>0.11268</v>
      </c>
      <c r="I226" s="2">
        <f>'CUOTA LTP'!F149</f>
        <v>0</v>
      </c>
      <c r="J226" s="2">
        <f>'CUOTA LTP'!G149</f>
        <v>8.8603999999984362E-3</v>
      </c>
      <c r="K226" s="2">
        <f>'CUOTA LTP'!H149</f>
        <v>0</v>
      </c>
      <c r="L226" s="2">
        <f>'CUOTA LTP'!I149</f>
        <v>8.8603999999984362E-3</v>
      </c>
      <c r="M226" s="33">
        <f>'CUOTA LTP'!J149</f>
        <v>0</v>
      </c>
      <c r="N226" s="10" t="s">
        <v>91</v>
      </c>
      <c r="O226" s="10">
        <f>'RESUMEN '!$B$3</f>
        <v>44561</v>
      </c>
      <c r="P226" s="39">
        <v>2021</v>
      </c>
      <c r="Q226" s="3"/>
    </row>
    <row r="227" spans="1:17" x14ac:dyDescent="0.25">
      <c r="A227" s="3" t="s">
        <v>20</v>
      </c>
      <c r="B227" s="3" t="s">
        <v>84</v>
      </c>
      <c r="C227" s="3" t="s">
        <v>96</v>
      </c>
      <c r="D227" s="3" t="s">
        <v>100</v>
      </c>
      <c r="E227" s="3" t="str">
        <f>'CUOTA LTP'!C148</f>
        <v>RUBIO Y MAUAD LTDA.</v>
      </c>
      <c r="F227" s="3" t="s">
        <v>87</v>
      </c>
      <c r="G227" s="3" t="s">
        <v>90</v>
      </c>
      <c r="H227" s="2">
        <f>'CUOTA LTP'!K148</f>
        <v>1.1315399999999998</v>
      </c>
      <c r="I227" s="2">
        <f>'CUOTA LTP'!L148</f>
        <v>-1.1226796000000014</v>
      </c>
      <c r="J227" s="2">
        <f>'CUOTA LTP'!M148</f>
        <v>8.8603999999983252E-3</v>
      </c>
      <c r="K227" s="2">
        <f>'CUOTA LTP'!N148</f>
        <v>0</v>
      </c>
      <c r="L227" s="2">
        <f>'CUOTA LTP'!O148</f>
        <v>8.8603999999983252E-3</v>
      </c>
      <c r="M227" s="33">
        <f>'CUOTA LTP'!P148</f>
        <v>0</v>
      </c>
      <c r="N227" s="10" t="s">
        <v>91</v>
      </c>
      <c r="O227" s="10">
        <f>'RESUMEN '!$B$3</f>
        <v>44561</v>
      </c>
      <c r="P227" s="39">
        <v>2021</v>
      </c>
      <c r="Q227" s="3"/>
    </row>
    <row r="228" spans="1:17" x14ac:dyDescent="0.25">
      <c r="A228" s="3" t="s">
        <v>20</v>
      </c>
      <c r="B228" s="3" t="s">
        <v>84</v>
      </c>
      <c r="C228" s="3" t="s">
        <v>97</v>
      </c>
      <c r="D228" s="3" t="s">
        <v>100</v>
      </c>
      <c r="E228" s="3" t="str">
        <f>'CUOTA LTP'!C150</f>
        <v>ANTARTIC SEAFOOD S.A.</v>
      </c>
      <c r="F228" s="3" t="s">
        <v>87</v>
      </c>
      <c r="G228" s="3" t="s">
        <v>88</v>
      </c>
      <c r="H228" s="2">
        <f>'CUOTA LTP'!E150</f>
        <v>242.04430000000002</v>
      </c>
      <c r="I228" s="2">
        <f>'CUOTA LTP'!F150</f>
        <v>0</v>
      </c>
      <c r="J228" s="2">
        <f>'CUOTA LTP'!G150</f>
        <v>242.04430000000002</v>
      </c>
      <c r="K228" s="2">
        <f>'CUOTA LTP'!H150</f>
        <v>202.71299999999999</v>
      </c>
      <c r="L228" s="2">
        <f>'CUOTA LTP'!I150</f>
        <v>39.331300000000027</v>
      </c>
      <c r="M228" s="33">
        <f>'CUOTA LTP'!J150</f>
        <v>0.83750371316325145</v>
      </c>
      <c r="N228" s="10" t="s">
        <v>91</v>
      </c>
      <c r="O228" s="10">
        <f>'RESUMEN '!$B$3</f>
        <v>44561</v>
      </c>
      <c r="P228" s="39">
        <v>2021</v>
      </c>
      <c r="Q228" s="3"/>
    </row>
    <row r="229" spans="1:17" x14ac:dyDescent="0.25">
      <c r="A229" s="3" t="s">
        <v>20</v>
      </c>
      <c r="B229" s="3" t="s">
        <v>84</v>
      </c>
      <c r="C229" s="3" t="s">
        <v>97</v>
      </c>
      <c r="D229" s="3" t="s">
        <v>100</v>
      </c>
      <c r="E229" s="3" t="str">
        <f>'CUOTA LTP'!C150</f>
        <v>ANTARTIC SEAFOOD S.A.</v>
      </c>
      <c r="F229" s="3" t="s">
        <v>89</v>
      </c>
      <c r="G229" s="3" t="s">
        <v>90</v>
      </c>
      <c r="H229" s="2">
        <f>'CUOTA LTP'!E151</f>
        <v>26.802430000000001</v>
      </c>
      <c r="I229" s="2">
        <f>'CUOTA LTP'!F151</f>
        <v>0</v>
      </c>
      <c r="J229" s="2">
        <f>'CUOTA LTP'!G151</f>
        <v>66.133730000000028</v>
      </c>
      <c r="K229" s="2">
        <f>'CUOTA LTP'!H151</f>
        <v>0</v>
      </c>
      <c r="L229" s="2">
        <f>'CUOTA LTP'!I151</f>
        <v>66.133730000000028</v>
      </c>
      <c r="M229" s="33">
        <f>'CUOTA LTP'!J151</f>
        <v>0</v>
      </c>
      <c r="N229" s="10" t="s">
        <v>91</v>
      </c>
      <c r="O229" s="10">
        <f>'RESUMEN '!$B$3</f>
        <v>44561</v>
      </c>
      <c r="P229" s="39">
        <v>2021</v>
      </c>
      <c r="Q229" s="3"/>
    </row>
    <row r="230" spans="1:17" x14ac:dyDescent="0.25">
      <c r="A230" s="3" t="s">
        <v>20</v>
      </c>
      <c r="B230" s="3" t="s">
        <v>84</v>
      </c>
      <c r="C230" s="3" t="s">
        <v>97</v>
      </c>
      <c r="D230" s="3" t="s">
        <v>100</v>
      </c>
      <c r="E230" s="3" t="str">
        <f>'CUOTA LTP'!C150</f>
        <v>ANTARTIC SEAFOOD S.A.</v>
      </c>
      <c r="F230" s="3" t="s">
        <v>87</v>
      </c>
      <c r="G230" s="3" t="s">
        <v>90</v>
      </c>
      <c r="H230" s="2">
        <f>'CUOTA LTP'!K150</f>
        <v>268.84673000000004</v>
      </c>
      <c r="I230" s="2">
        <f>'CUOTA LTP'!L150</f>
        <v>0</v>
      </c>
      <c r="J230" s="2">
        <f>'CUOTA LTP'!M150</f>
        <v>268.84673000000004</v>
      </c>
      <c r="K230" s="2">
        <f>'CUOTA LTP'!N150</f>
        <v>202.71299999999999</v>
      </c>
      <c r="L230" s="2">
        <f>'CUOTA LTP'!O150</f>
        <v>66.133730000000043</v>
      </c>
      <c r="M230" s="33">
        <f>'CUOTA LTP'!P150</f>
        <v>0.75400954290944866</v>
      </c>
      <c r="N230" s="10" t="s">
        <v>91</v>
      </c>
      <c r="O230" s="10">
        <f>'RESUMEN '!$B$3</f>
        <v>44561</v>
      </c>
      <c r="P230" s="39">
        <v>2021</v>
      </c>
      <c r="Q230" s="3"/>
    </row>
    <row r="231" spans="1:17" x14ac:dyDescent="0.25">
      <c r="A231" s="3" t="s">
        <v>20</v>
      </c>
      <c r="B231" s="3" t="s">
        <v>84</v>
      </c>
      <c r="C231" s="3" t="s">
        <v>97</v>
      </c>
      <c r="D231" s="3" t="s">
        <v>100</v>
      </c>
      <c r="E231" s="3" t="str">
        <f>'CUOTA LTP'!C152</f>
        <v>QUINTERO S.A. PESQ.</v>
      </c>
      <c r="F231" s="3" t="s">
        <v>87</v>
      </c>
      <c r="G231" s="3" t="s">
        <v>88</v>
      </c>
      <c r="H231" s="2">
        <f>'CUOTA LTP'!E152</f>
        <v>453.44533000000007</v>
      </c>
      <c r="I231" s="2">
        <f>'CUOTA LTP'!F152</f>
        <v>-29.005390499999997</v>
      </c>
      <c r="J231" s="2">
        <f>'CUOTA LTP'!G152</f>
        <v>424.43993950000009</v>
      </c>
      <c r="K231" s="2">
        <f>'CUOTA LTP'!H152</f>
        <v>243.19200000000001</v>
      </c>
      <c r="L231" s="2">
        <f>'CUOTA LTP'!I152</f>
        <v>181.24793950000009</v>
      </c>
      <c r="M231" s="33">
        <f>'CUOTA LTP'!J152</f>
        <v>0.57297152639896642</v>
      </c>
      <c r="N231" s="10" t="s">
        <v>91</v>
      </c>
      <c r="O231" s="10">
        <f>'RESUMEN '!$B$3</f>
        <v>44561</v>
      </c>
      <c r="P231" s="39">
        <v>2021</v>
      </c>
      <c r="Q231" s="3"/>
    </row>
    <row r="232" spans="1:17" x14ac:dyDescent="0.25">
      <c r="A232" s="3" t="s">
        <v>20</v>
      </c>
      <c r="B232" s="3" t="s">
        <v>84</v>
      </c>
      <c r="C232" s="3" t="s">
        <v>97</v>
      </c>
      <c r="D232" s="3" t="s">
        <v>100</v>
      </c>
      <c r="E232" s="3" t="str">
        <f>'CUOTA LTP'!C152</f>
        <v>QUINTERO S.A. PESQ.</v>
      </c>
      <c r="F232" s="3" t="s">
        <v>89</v>
      </c>
      <c r="G232" s="3" t="s">
        <v>90</v>
      </c>
      <c r="H232" s="2">
        <f>'CUOTA LTP'!E153</f>
        <v>50.21172</v>
      </c>
      <c r="I232" s="2">
        <f>'CUOTA LTP'!F153</f>
        <v>0</v>
      </c>
      <c r="J232" s="2">
        <f>'CUOTA LTP'!G153</f>
        <v>231.4596595000001</v>
      </c>
      <c r="K232" s="2">
        <f>'CUOTA LTP'!H153</f>
        <v>73.474000000000004</v>
      </c>
      <c r="L232" s="2">
        <f>'CUOTA LTP'!I153</f>
        <v>157.98565950000011</v>
      </c>
      <c r="M232" s="33">
        <f>'CUOTA LTP'!J153</f>
        <v>0.31743760514777725</v>
      </c>
      <c r="N232" s="10" t="s">
        <v>91</v>
      </c>
      <c r="O232" s="10">
        <f>'RESUMEN '!$B$3</f>
        <v>44561</v>
      </c>
      <c r="P232" s="39">
        <v>2021</v>
      </c>
      <c r="Q232" s="3"/>
    </row>
    <row r="233" spans="1:17" x14ac:dyDescent="0.25">
      <c r="A233" s="3" t="s">
        <v>20</v>
      </c>
      <c r="B233" s="3" t="s">
        <v>84</v>
      </c>
      <c r="C233" s="3" t="s">
        <v>97</v>
      </c>
      <c r="D233" s="3" t="s">
        <v>100</v>
      </c>
      <c r="E233" s="3" t="str">
        <f>'CUOTA LTP'!C152</f>
        <v>QUINTERO S.A. PESQ.</v>
      </c>
      <c r="F233" s="3" t="s">
        <v>87</v>
      </c>
      <c r="G233" s="3" t="s">
        <v>90</v>
      </c>
      <c r="H233" s="2">
        <f>'CUOTA LTP'!K152</f>
        <v>503.65705000000008</v>
      </c>
      <c r="I233" s="2">
        <f>'CUOTA LTP'!L152</f>
        <v>-29.005390499999997</v>
      </c>
      <c r="J233" s="2">
        <f>'CUOTA LTP'!M152</f>
        <v>474.65165950000011</v>
      </c>
      <c r="K233" s="2">
        <f>'CUOTA LTP'!N152</f>
        <v>316.666</v>
      </c>
      <c r="L233" s="2">
        <f>'CUOTA LTP'!O152</f>
        <v>157.98565950000011</v>
      </c>
      <c r="M233" s="33">
        <f>'CUOTA LTP'!P152</f>
        <v>0.66715451987164054</v>
      </c>
      <c r="N233" s="10" t="s">
        <v>91</v>
      </c>
      <c r="O233" s="10">
        <f>'RESUMEN '!$B$3</f>
        <v>44561</v>
      </c>
      <c r="P233" s="39">
        <v>2021</v>
      </c>
      <c r="Q233" s="3"/>
    </row>
    <row r="234" spans="1:17" x14ac:dyDescent="0.25">
      <c r="A234" s="3" t="s">
        <v>20</v>
      </c>
      <c r="B234" s="3" t="s">
        <v>84</v>
      </c>
      <c r="C234" s="3" t="s">
        <v>97</v>
      </c>
      <c r="D234" s="3" t="s">
        <v>100</v>
      </c>
      <c r="E234" s="3" t="str">
        <f>'CUOTA LTP'!C154</f>
        <v>BAYCIC BAYCIC MARIA</v>
      </c>
      <c r="F234" s="3" t="s">
        <v>87</v>
      </c>
      <c r="G234" s="3" t="s">
        <v>88</v>
      </c>
      <c r="H234" s="2">
        <f>'CUOTA LTP'!E154</f>
        <v>4.4159999999999998E-2</v>
      </c>
      <c r="I234" s="2">
        <f>'CUOTA LTP'!F154</f>
        <v>0</v>
      </c>
      <c r="J234" s="2">
        <f>'CUOTA LTP'!G154</f>
        <v>4.4159999999999998E-2</v>
      </c>
      <c r="K234" s="2">
        <f>'CUOTA LTP'!H154</f>
        <v>0</v>
      </c>
      <c r="L234" s="2">
        <f>'CUOTA LTP'!I154</f>
        <v>4.4159999999999998E-2</v>
      </c>
      <c r="M234" s="33">
        <f>'CUOTA LTP'!J154</f>
        <v>0</v>
      </c>
      <c r="N234" s="10" t="s">
        <v>91</v>
      </c>
      <c r="O234" s="10">
        <f>'RESUMEN '!$B$3</f>
        <v>44561</v>
      </c>
      <c r="P234" s="39">
        <v>2021</v>
      </c>
      <c r="Q234" s="3"/>
    </row>
    <row r="235" spans="1:17" x14ac:dyDescent="0.25">
      <c r="A235" s="3" t="s">
        <v>20</v>
      </c>
      <c r="B235" s="3" t="s">
        <v>84</v>
      </c>
      <c r="C235" s="3" t="s">
        <v>97</v>
      </c>
      <c r="D235" s="3" t="s">
        <v>100</v>
      </c>
      <c r="E235" s="3" t="str">
        <f>'CUOTA LTP'!C154</f>
        <v>BAYCIC BAYCIC MARIA</v>
      </c>
      <c r="F235" s="3" t="s">
        <v>89</v>
      </c>
      <c r="G235" s="3" t="s">
        <v>90</v>
      </c>
      <c r="H235" s="2">
        <f>'CUOTA LTP'!E155</f>
        <v>4.8900000000000002E-3</v>
      </c>
      <c r="I235" s="2">
        <f>'CUOTA LTP'!F155</f>
        <v>0</v>
      </c>
      <c r="J235" s="2">
        <f>'CUOTA LTP'!G155</f>
        <v>4.9049999999999996E-2</v>
      </c>
      <c r="K235" s="2">
        <f>'CUOTA LTP'!H155</f>
        <v>0</v>
      </c>
      <c r="L235" s="2">
        <f>'CUOTA LTP'!I155</f>
        <v>4.9049999999999996E-2</v>
      </c>
      <c r="M235" s="33">
        <f>'CUOTA LTP'!J155</f>
        <v>0</v>
      </c>
      <c r="N235" s="10" t="s">
        <v>91</v>
      </c>
      <c r="O235" s="10">
        <f>'RESUMEN '!$B$3</f>
        <v>44561</v>
      </c>
      <c r="P235" s="39">
        <v>2021</v>
      </c>
      <c r="Q235" s="3"/>
    </row>
    <row r="236" spans="1:17" x14ac:dyDescent="0.25">
      <c r="A236" s="3" t="s">
        <v>20</v>
      </c>
      <c r="B236" s="3" t="s">
        <v>84</v>
      </c>
      <c r="C236" s="3" t="s">
        <v>97</v>
      </c>
      <c r="D236" s="3" t="s">
        <v>100</v>
      </c>
      <c r="E236" s="3" t="str">
        <f>'CUOTA LTP'!C154</f>
        <v>BAYCIC BAYCIC MARIA</v>
      </c>
      <c r="F236" s="3" t="s">
        <v>87</v>
      </c>
      <c r="G236" s="3" t="s">
        <v>90</v>
      </c>
      <c r="H236" s="2">
        <f>'CUOTA LTP'!K154</f>
        <v>4.9049999999999996E-2</v>
      </c>
      <c r="I236" s="2">
        <f>'CUOTA LTP'!L154</f>
        <v>0</v>
      </c>
      <c r="J236" s="2">
        <f>'CUOTA LTP'!M154</f>
        <v>4.9049999999999996E-2</v>
      </c>
      <c r="K236" s="2">
        <f>'CUOTA LTP'!N154</f>
        <v>0</v>
      </c>
      <c r="L236" s="2">
        <f>'CUOTA LTP'!O154</f>
        <v>4.9049999999999996E-2</v>
      </c>
      <c r="M236" s="33">
        <f>'CUOTA LTP'!P154</f>
        <v>0</v>
      </c>
      <c r="N236" s="10" t="s">
        <v>91</v>
      </c>
      <c r="O236" s="10">
        <f>'RESUMEN '!$B$3</f>
        <v>44561</v>
      </c>
      <c r="P236" s="39">
        <v>2021</v>
      </c>
      <c r="Q236" s="3"/>
    </row>
    <row r="237" spans="1:17" x14ac:dyDescent="0.25">
      <c r="A237" s="3" t="s">
        <v>20</v>
      </c>
      <c r="B237" s="3" t="s">
        <v>84</v>
      </c>
      <c r="C237" s="3" t="s">
        <v>97</v>
      </c>
      <c r="D237" s="3" t="s">
        <v>100</v>
      </c>
      <c r="E237" s="3" t="str">
        <f>'CUOTA LTP'!C156</f>
        <v>BRACPESCA S.A.</v>
      </c>
      <c r="F237" s="3" t="s">
        <v>87</v>
      </c>
      <c r="G237" s="3" t="s">
        <v>88</v>
      </c>
      <c r="H237" s="2">
        <f>'CUOTA LTP'!E156</f>
        <v>237.8802</v>
      </c>
      <c r="I237" s="2">
        <f>'CUOTA LTP'!F156</f>
        <v>28.396843500000003</v>
      </c>
      <c r="J237" s="2">
        <f>'CUOTA LTP'!G156</f>
        <v>266.27704349999999</v>
      </c>
      <c r="K237" s="2">
        <f>'CUOTA LTP'!H156</f>
        <v>193.56200000000001</v>
      </c>
      <c r="L237" s="2">
        <f>'CUOTA LTP'!I156</f>
        <v>72.715043499999979</v>
      </c>
      <c r="M237" s="33">
        <f>'CUOTA LTP'!J156</f>
        <v>0.72691959267603934</v>
      </c>
      <c r="N237" s="10" t="s">
        <v>91</v>
      </c>
      <c r="O237" s="10">
        <f>'RESUMEN '!$B$3</f>
        <v>44561</v>
      </c>
      <c r="P237" s="39">
        <v>2021</v>
      </c>
      <c r="Q237" s="3"/>
    </row>
    <row r="238" spans="1:17" x14ac:dyDescent="0.25">
      <c r="A238" s="3" t="s">
        <v>20</v>
      </c>
      <c r="B238" s="3" t="s">
        <v>84</v>
      </c>
      <c r="C238" s="3" t="s">
        <v>97</v>
      </c>
      <c r="D238" s="3" t="s">
        <v>100</v>
      </c>
      <c r="E238" s="3" t="str">
        <f>'CUOTA LTP'!C156</f>
        <v>BRACPESCA S.A.</v>
      </c>
      <c r="F238" s="3" t="s">
        <v>89</v>
      </c>
      <c r="G238" s="3" t="s">
        <v>90</v>
      </c>
      <c r="H238" s="2">
        <f>'CUOTA LTP'!E157</f>
        <v>26.3414</v>
      </c>
      <c r="I238" s="2">
        <f>'CUOTA LTP'!F157</f>
        <v>0</v>
      </c>
      <c r="J238" s="2">
        <f>'CUOTA LTP'!G157</f>
        <v>99.056443499999972</v>
      </c>
      <c r="K238" s="2">
        <f>'CUOTA LTP'!H157</f>
        <v>0</v>
      </c>
      <c r="L238" s="2">
        <f>'CUOTA LTP'!I157</f>
        <v>99.056443499999972</v>
      </c>
      <c r="M238" s="33">
        <f>'CUOTA LTP'!J157</f>
        <v>0</v>
      </c>
      <c r="N238" s="10" t="s">
        <v>91</v>
      </c>
      <c r="O238" s="10">
        <f>'RESUMEN '!$B$3</f>
        <v>44561</v>
      </c>
      <c r="P238" s="39">
        <v>2021</v>
      </c>
      <c r="Q238" s="3"/>
    </row>
    <row r="239" spans="1:17" x14ac:dyDescent="0.25">
      <c r="A239" s="3" t="s">
        <v>20</v>
      </c>
      <c r="B239" s="3" t="s">
        <v>84</v>
      </c>
      <c r="C239" s="3" t="s">
        <v>97</v>
      </c>
      <c r="D239" s="3" t="s">
        <v>100</v>
      </c>
      <c r="E239" s="3" t="str">
        <f>'CUOTA LTP'!C156</f>
        <v>BRACPESCA S.A.</v>
      </c>
      <c r="F239" s="3" t="s">
        <v>87</v>
      </c>
      <c r="G239" s="3" t="s">
        <v>90</v>
      </c>
      <c r="H239" s="2">
        <f>'CUOTA LTP'!K156</f>
        <v>264.22160000000002</v>
      </c>
      <c r="I239" s="2">
        <f>'CUOTA LTP'!L156</f>
        <v>28.396843500000003</v>
      </c>
      <c r="J239" s="2">
        <f>'CUOTA LTP'!M156</f>
        <v>292.61844350000001</v>
      </c>
      <c r="K239" s="2">
        <f>'CUOTA LTP'!N156</f>
        <v>193.56200000000001</v>
      </c>
      <c r="L239" s="2">
        <f>'CUOTA LTP'!O156</f>
        <v>99.0564435</v>
      </c>
      <c r="M239" s="33">
        <f>'CUOTA LTP'!P156</f>
        <v>0.66148256987772547</v>
      </c>
      <c r="N239" s="10" t="s">
        <v>91</v>
      </c>
      <c r="O239" s="10">
        <f>'RESUMEN '!$B$3</f>
        <v>44561</v>
      </c>
      <c r="P239" s="39">
        <v>2021</v>
      </c>
      <c r="Q239" s="3"/>
    </row>
    <row r="240" spans="1:17" x14ac:dyDescent="0.25">
      <c r="A240" s="3" t="s">
        <v>20</v>
      </c>
      <c r="B240" s="3" t="s">
        <v>84</v>
      </c>
      <c r="C240" s="3" t="s">
        <v>97</v>
      </c>
      <c r="D240" s="3" t="s">
        <v>100</v>
      </c>
      <c r="E240" s="3" t="str">
        <f>'CUOTA LTP'!C158</f>
        <v>CAMANCHACA PESCA SUR S.A.</v>
      </c>
      <c r="F240" s="3" t="s">
        <v>87</v>
      </c>
      <c r="G240" s="3" t="s">
        <v>88</v>
      </c>
      <c r="H240" s="2">
        <f>'CUOTA LTP'!E158</f>
        <v>7.7380399999999998</v>
      </c>
      <c r="I240" s="2">
        <f>'CUOTA LTP'!F158</f>
        <v>-2.02014</v>
      </c>
      <c r="J240" s="2">
        <f>'CUOTA LTP'!G158</f>
        <v>5.7179000000000002</v>
      </c>
      <c r="K240" s="2">
        <f>'CUOTA LTP'!H158</f>
        <v>0.88</v>
      </c>
      <c r="L240" s="2">
        <f>'CUOTA LTP'!I158</f>
        <v>4.8379000000000003</v>
      </c>
      <c r="M240" s="33">
        <f>'CUOTA LTP'!J158</f>
        <v>0.15390265656971966</v>
      </c>
      <c r="N240" s="10" t="s">
        <v>91</v>
      </c>
      <c r="O240" s="10">
        <f>'RESUMEN '!$B$3</f>
        <v>44561</v>
      </c>
      <c r="P240" s="39">
        <v>2021</v>
      </c>
      <c r="Q240" s="3"/>
    </row>
    <row r="241" spans="1:17" x14ac:dyDescent="0.25">
      <c r="A241" s="3" t="s">
        <v>20</v>
      </c>
      <c r="B241" s="3" t="s">
        <v>84</v>
      </c>
      <c r="C241" s="3" t="s">
        <v>97</v>
      </c>
      <c r="D241" s="3" t="s">
        <v>100</v>
      </c>
      <c r="E241" s="3" t="str">
        <f>'CUOTA LTP'!C158</f>
        <v>CAMANCHACA PESCA SUR S.A.</v>
      </c>
      <c r="F241" s="3" t="s">
        <v>89</v>
      </c>
      <c r="G241" s="3" t="s">
        <v>90</v>
      </c>
      <c r="H241" s="2">
        <f>'CUOTA LTP'!E159</f>
        <v>0.85686000000000007</v>
      </c>
      <c r="I241" s="2">
        <f>'CUOTA LTP'!F159</f>
        <v>0</v>
      </c>
      <c r="J241" s="2">
        <f>'CUOTA LTP'!G159</f>
        <v>5.6947600000000005</v>
      </c>
      <c r="K241" s="2">
        <f>'CUOTA LTP'!H159</f>
        <v>0.66800000000000004</v>
      </c>
      <c r="L241" s="2">
        <f>'CUOTA LTP'!I159</f>
        <v>5.0267600000000003</v>
      </c>
      <c r="M241" s="33">
        <f>'CUOTA LTP'!J159</f>
        <v>0.11730081689131763</v>
      </c>
      <c r="N241" s="10" t="s">
        <v>91</v>
      </c>
      <c r="O241" s="10">
        <f>'RESUMEN '!$B$3</f>
        <v>44561</v>
      </c>
      <c r="P241" s="39">
        <v>2021</v>
      </c>
      <c r="Q241" s="3"/>
    </row>
    <row r="242" spans="1:17" x14ac:dyDescent="0.25">
      <c r="A242" s="3" t="s">
        <v>20</v>
      </c>
      <c r="B242" s="3" t="s">
        <v>84</v>
      </c>
      <c r="C242" s="3" t="s">
        <v>97</v>
      </c>
      <c r="D242" s="3" t="s">
        <v>100</v>
      </c>
      <c r="E242" s="3" t="str">
        <f>'CUOTA LTP'!C158</f>
        <v>CAMANCHACA PESCA SUR S.A.</v>
      </c>
      <c r="F242" s="3" t="s">
        <v>87</v>
      </c>
      <c r="G242" s="3" t="s">
        <v>90</v>
      </c>
      <c r="H242" s="2">
        <f>'CUOTA LTP'!K158</f>
        <v>8.5948999999999991</v>
      </c>
      <c r="I242" s="2">
        <f>'CUOTA LTP'!L158</f>
        <v>-2.02014</v>
      </c>
      <c r="J242" s="2">
        <f>'CUOTA LTP'!M158</f>
        <v>6.5747599999999995</v>
      </c>
      <c r="K242" s="2">
        <f>'CUOTA LTP'!N158</f>
        <v>1.548</v>
      </c>
      <c r="L242" s="2">
        <f>'CUOTA LTP'!O158</f>
        <v>5.0267599999999995</v>
      </c>
      <c r="M242" s="33">
        <f>'CUOTA LTP'!P158</f>
        <v>0.2354458565787953</v>
      </c>
      <c r="N242" s="10" t="s">
        <v>91</v>
      </c>
      <c r="O242" s="10">
        <f>'RESUMEN '!$B$3</f>
        <v>44561</v>
      </c>
      <c r="P242" s="39">
        <v>2021</v>
      </c>
      <c r="Q242" s="3"/>
    </row>
    <row r="243" spans="1:17" x14ac:dyDescent="0.25">
      <c r="A243" s="3" t="s">
        <v>20</v>
      </c>
      <c r="B243" s="3" t="s">
        <v>84</v>
      </c>
      <c r="C243" s="3" t="s">
        <v>97</v>
      </c>
      <c r="D243" s="3" t="s">
        <v>100</v>
      </c>
      <c r="E243" s="3" t="str">
        <f>'CUOTA LTP'!C160</f>
        <v>ANTONIO CRUZ CORDOVA NAKOUZI E.I.R.L.</v>
      </c>
      <c r="F243" s="3" t="s">
        <v>87</v>
      </c>
      <c r="G243" s="3" t="s">
        <v>88</v>
      </c>
      <c r="H243" s="2">
        <f>'CUOTA LTP'!E160</f>
        <v>6.9081000000000001</v>
      </c>
      <c r="I243" s="2">
        <f>'CUOTA LTP'!F160</f>
        <v>0</v>
      </c>
      <c r="J243" s="2">
        <f>'CUOTA LTP'!G160</f>
        <v>6.9081000000000001</v>
      </c>
      <c r="K243" s="2">
        <f>'CUOTA LTP'!H160</f>
        <v>3.1819999999999999</v>
      </c>
      <c r="L243" s="2">
        <f>'CUOTA LTP'!I160</f>
        <v>3.7261000000000002</v>
      </c>
      <c r="M243" s="33">
        <f>'CUOTA LTP'!J160</f>
        <v>0.4606186939969022</v>
      </c>
      <c r="N243" s="10" t="s">
        <v>91</v>
      </c>
      <c r="O243" s="10">
        <f>'RESUMEN '!$B$3</f>
        <v>44561</v>
      </c>
      <c r="P243" s="39">
        <v>2021</v>
      </c>
      <c r="Q243" s="3"/>
    </row>
    <row r="244" spans="1:17" x14ac:dyDescent="0.25">
      <c r="A244" s="3" t="s">
        <v>20</v>
      </c>
      <c r="B244" s="3" t="s">
        <v>84</v>
      </c>
      <c r="C244" s="3" t="s">
        <v>97</v>
      </c>
      <c r="D244" s="3" t="s">
        <v>100</v>
      </c>
      <c r="E244" s="3" t="str">
        <f>'CUOTA LTP'!C160</f>
        <v>ANTONIO CRUZ CORDOVA NAKOUZI E.I.R.L.</v>
      </c>
      <c r="F244" s="3" t="s">
        <v>89</v>
      </c>
      <c r="G244" s="3" t="s">
        <v>90</v>
      </c>
      <c r="H244" s="2">
        <f>'CUOTA LTP'!E161</f>
        <v>0.76495999999999997</v>
      </c>
      <c r="I244" s="2">
        <f>'CUOTA LTP'!F161</f>
        <v>0</v>
      </c>
      <c r="J244" s="2">
        <f>'CUOTA LTP'!G161</f>
        <v>4.4910600000000001</v>
      </c>
      <c r="K244" s="2">
        <f>'CUOTA LTP'!H161</f>
        <v>0</v>
      </c>
      <c r="L244" s="2">
        <f>'CUOTA LTP'!I161</f>
        <v>4.4910600000000001</v>
      </c>
      <c r="M244" s="33">
        <f>'CUOTA LTP'!J161</f>
        <v>0</v>
      </c>
      <c r="N244" s="10" t="s">
        <v>91</v>
      </c>
      <c r="O244" s="10">
        <f>'RESUMEN '!$B$3</f>
        <v>44561</v>
      </c>
      <c r="P244" s="39">
        <v>2021</v>
      </c>
      <c r="Q244" s="3"/>
    </row>
    <row r="245" spans="1:17" x14ac:dyDescent="0.25">
      <c r="A245" s="3" t="s">
        <v>20</v>
      </c>
      <c r="B245" s="3" t="s">
        <v>84</v>
      </c>
      <c r="C245" s="3" t="s">
        <v>97</v>
      </c>
      <c r="D245" s="3" t="s">
        <v>100</v>
      </c>
      <c r="E245" s="3" t="str">
        <f>'CUOTA LTP'!C160</f>
        <v>ANTONIO CRUZ CORDOVA NAKOUZI E.I.R.L.</v>
      </c>
      <c r="F245" s="3" t="s">
        <v>87</v>
      </c>
      <c r="G245" s="3" t="s">
        <v>90</v>
      </c>
      <c r="H245" s="2">
        <f>'CUOTA LTP'!K160</f>
        <v>7.6730600000000004</v>
      </c>
      <c r="I245" s="2">
        <f>'CUOTA LTP'!L160</f>
        <v>0</v>
      </c>
      <c r="J245" s="2">
        <f>'CUOTA LTP'!M160</f>
        <v>7.6730600000000004</v>
      </c>
      <c r="K245" s="2">
        <f>'CUOTA LTP'!N160</f>
        <v>3.1819999999999999</v>
      </c>
      <c r="L245" s="2">
        <f>'CUOTA LTP'!O160</f>
        <v>4.4910600000000009</v>
      </c>
      <c r="M245" s="33">
        <f>'CUOTA LTP'!P160</f>
        <v>0.41469765647603429</v>
      </c>
      <c r="N245" s="10" t="s">
        <v>91</v>
      </c>
      <c r="O245" s="10">
        <f>'RESUMEN '!$B$3</f>
        <v>44561</v>
      </c>
      <c r="P245" s="39">
        <v>2021</v>
      </c>
      <c r="Q245" s="3"/>
    </row>
    <row r="246" spans="1:17" x14ac:dyDescent="0.25">
      <c r="A246" s="3" t="s">
        <v>20</v>
      </c>
      <c r="B246" s="3" t="s">
        <v>84</v>
      </c>
      <c r="C246" s="3" t="s">
        <v>97</v>
      </c>
      <c r="D246" s="3" t="s">
        <v>100</v>
      </c>
      <c r="E246" s="3" t="str">
        <f>'CUOTA LTP'!C162</f>
        <v>GRIMAR S.A. PESQ.</v>
      </c>
      <c r="F246" s="3" t="s">
        <v>87</v>
      </c>
      <c r="G246" s="3" t="s">
        <v>88</v>
      </c>
      <c r="H246" s="2">
        <f>'CUOTA LTP'!E162</f>
        <v>4.1790099999999999</v>
      </c>
      <c r="I246" s="2">
        <f>'CUOTA LTP'!F162</f>
        <v>0</v>
      </c>
      <c r="J246" s="2">
        <f>'CUOTA LTP'!G162</f>
        <v>4.1790099999999999</v>
      </c>
      <c r="K246" s="2">
        <f>'CUOTA LTP'!H162</f>
        <v>0</v>
      </c>
      <c r="L246" s="2">
        <f>'CUOTA LTP'!I162</f>
        <v>4.1790099999999999</v>
      </c>
      <c r="M246" s="33">
        <f>'CUOTA LTP'!J162</f>
        <v>0</v>
      </c>
      <c r="N246" s="10" t="s">
        <v>91</v>
      </c>
      <c r="O246" s="10">
        <f>'RESUMEN '!$B$3</f>
        <v>44561</v>
      </c>
      <c r="P246" s="39">
        <v>2021</v>
      </c>
      <c r="Q246" s="3"/>
    </row>
    <row r="247" spans="1:17" x14ac:dyDescent="0.25">
      <c r="A247" s="3" t="s">
        <v>20</v>
      </c>
      <c r="B247" s="3" t="s">
        <v>84</v>
      </c>
      <c r="C247" s="3" t="s">
        <v>97</v>
      </c>
      <c r="D247" s="3" t="s">
        <v>100</v>
      </c>
      <c r="E247" s="3" t="str">
        <f>'CUOTA LTP'!C162</f>
        <v>GRIMAR S.A. PESQ.</v>
      </c>
      <c r="F247" s="3" t="s">
        <v>89</v>
      </c>
      <c r="G247" s="3" t="s">
        <v>90</v>
      </c>
      <c r="H247" s="2">
        <f>'CUOTA LTP'!E163</f>
        <v>0.46276</v>
      </c>
      <c r="I247" s="2">
        <f>'CUOTA LTP'!F163</f>
        <v>0</v>
      </c>
      <c r="J247" s="2">
        <f>'CUOTA LTP'!G163</f>
        <v>4.6417700000000002</v>
      </c>
      <c r="K247" s="2">
        <f>'CUOTA LTP'!H163</f>
        <v>0</v>
      </c>
      <c r="L247" s="2">
        <f>'CUOTA LTP'!I163</f>
        <v>4.6417700000000002</v>
      </c>
      <c r="M247" s="33">
        <f>'CUOTA LTP'!J163</f>
        <v>0</v>
      </c>
      <c r="N247" s="10" t="s">
        <v>91</v>
      </c>
      <c r="O247" s="10">
        <f>'RESUMEN '!$B$3</f>
        <v>44561</v>
      </c>
      <c r="P247" s="39">
        <v>2021</v>
      </c>
      <c r="Q247" s="3"/>
    </row>
    <row r="248" spans="1:17" x14ac:dyDescent="0.25">
      <c r="A248" s="3" t="s">
        <v>20</v>
      </c>
      <c r="B248" s="3" t="s">
        <v>84</v>
      </c>
      <c r="C248" s="3" t="s">
        <v>97</v>
      </c>
      <c r="D248" s="3" t="s">
        <v>100</v>
      </c>
      <c r="E248" s="3" t="str">
        <f>'CUOTA LTP'!C162</f>
        <v>GRIMAR S.A. PESQ.</v>
      </c>
      <c r="F248" s="3" t="s">
        <v>87</v>
      </c>
      <c r="G248" s="3" t="s">
        <v>90</v>
      </c>
      <c r="H248" s="2">
        <f>'CUOTA LTP'!K162</f>
        <v>4.6417700000000002</v>
      </c>
      <c r="I248" s="2">
        <f>'CUOTA LTP'!L162</f>
        <v>0</v>
      </c>
      <c r="J248" s="2">
        <f>'CUOTA LTP'!M162</f>
        <v>4.6417700000000002</v>
      </c>
      <c r="K248" s="2">
        <f>'CUOTA LTP'!N162</f>
        <v>0</v>
      </c>
      <c r="L248" s="2">
        <f>'CUOTA LTP'!O162</f>
        <v>4.6417700000000002</v>
      </c>
      <c r="M248" s="33">
        <f>'CUOTA LTP'!P162</f>
        <v>0</v>
      </c>
      <c r="N248" s="10" t="s">
        <v>91</v>
      </c>
      <c r="O248" s="10">
        <f>'RESUMEN '!$B$3</f>
        <v>44561</v>
      </c>
      <c r="P248" s="39">
        <v>2021</v>
      </c>
      <c r="Q248" s="3"/>
    </row>
    <row r="249" spans="1:17" x14ac:dyDescent="0.25">
      <c r="A249" s="3" t="s">
        <v>20</v>
      </c>
      <c r="B249" s="3" t="s">
        <v>84</v>
      </c>
      <c r="C249" s="3" t="s">
        <v>97</v>
      </c>
      <c r="D249" s="3" t="s">
        <v>100</v>
      </c>
      <c r="E249" s="3" t="str">
        <f>'CUOTA LTP'!C164</f>
        <v>ISLADAMAS S.A. PESQ.</v>
      </c>
      <c r="F249" s="3" t="s">
        <v>87</v>
      </c>
      <c r="G249" s="3" t="s">
        <v>88</v>
      </c>
      <c r="H249" s="2">
        <f>'CUOTA LTP'!E164</f>
        <v>440.5260600000002</v>
      </c>
      <c r="I249" s="2">
        <f>'CUOTA LTP'!F164</f>
        <v>2.0764464999999959</v>
      </c>
      <c r="J249" s="2">
        <f>'CUOTA LTP'!G164</f>
        <v>442.60250650000017</v>
      </c>
      <c r="K249" s="2">
        <f>'CUOTA LTP'!H164</f>
        <v>430.971</v>
      </c>
      <c r="L249" s="2">
        <f>'CUOTA LTP'!I164</f>
        <v>11.631506500000171</v>
      </c>
      <c r="M249" s="33">
        <f>'CUOTA LTP'!J164</f>
        <v>0.97372019740245153</v>
      </c>
      <c r="N249" s="10" t="s">
        <v>91</v>
      </c>
      <c r="O249" s="10">
        <f>'RESUMEN '!$B$3</f>
        <v>44561</v>
      </c>
      <c r="P249" s="39">
        <v>2021</v>
      </c>
      <c r="Q249" s="3"/>
    </row>
    <row r="250" spans="1:17" x14ac:dyDescent="0.25">
      <c r="A250" s="3" t="s">
        <v>20</v>
      </c>
      <c r="B250" s="3" t="s">
        <v>84</v>
      </c>
      <c r="C250" s="3" t="s">
        <v>97</v>
      </c>
      <c r="D250" s="3" t="s">
        <v>100</v>
      </c>
      <c r="E250" s="3" t="str">
        <f>'CUOTA LTP'!C164</f>
        <v>ISLADAMAS S.A. PESQ.</v>
      </c>
      <c r="F250" s="3" t="s">
        <v>89</v>
      </c>
      <c r="G250" s="3" t="s">
        <v>90</v>
      </c>
      <c r="H250" s="2">
        <f>'CUOTA LTP'!E165</f>
        <v>48.781179999999978</v>
      </c>
      <c r="I250" s="2">
        <f>'CUOTA LTP'!F165</f>
        <v>0</v>
      </c>
      <c r="J250" s="2">
        <f>'CUOTA LTP'!G165</f>
        <v>60.412686500000149</v>
      </c>
      <c r="K250" s="2">
        <f>'CUOTA LTP'!H165</f>
        <v>31.533000000000001</v>
      </c>
      <c r="L250" s="2">
        <f>'CUOTA LTP'!I165</f>
        <v>28.879686500000147</v>
      </c>
      <c r="M250" s="33">
        <f>'CUOTA LTP'!J165</f>
        <v>0.52195990323985875</v>
      </c>
      <c r="N250" s="10" t="s">
        <v>91</v>
      </c>
      <c r="O250" s="10">
        <f>'RESUMEN '!$B$3</f>
        <v>44561</v>
      </c>
      <c r="P250" s="39">
        <v>2021</v>
      </c>
      <c r="Q250" s="3"/>
    </row>
    <row r="251" spans="1:17" x14ac:dyDescent="0.25">
      <c r="A251" s="3" t="s">
        <v>20</v>
      </c>
      <c r="B251" s="3" t="s">
        <v>84</v>
      </c>
      <c r="C251" s="3" t="s">
        <v>97</v>
      </c>
      <c r="D251" s="3" t="s">
        <v>100</v>
      </c>
      <c r="E251" s="3" t="str">
        <f>'CUOTA LTP'!C164</f>
        <v>ISLADAMAS S.A. PESQ.</v>
      </c>
      <c r="F251" s="3" t="s">
        <v>87</v>
      </c>
      <c r="G251" s="3" t="s">
        <v>90</v>
      </c>
      <c r="H251" s="2">
        <f>'CUOTA LTP'!K164</f>
        <v>489.30724000000021</v>
      </c>
      <c r="I251" s="2">
        <f>'CUOTA LTP'!L164</f>
        <v>2.0764464999999959</v>
      </c>
      <c r="J251" s="2">
        <f>'CUOTA LTP'!M164</f>
        <v>491.38368650000018</v>
      </c>
      <c r="K251" s="2">
        <f>'CUOTA LTP'!N164</f>
        <v>462.50400000000002</v>
      </c>
      <c r="L251" s="2">
        <f>'CUOTA LTP'!O164</f>
        <v>28.879686500000162</v>
      </c>
      <c r="M251" s="33">
        <f>'CUOTA LTP'!P164</f>
        <v>0.94122782808338068</v>
      </c>
      <c r="N251" s="10" t="s">
        <v>91</v>
      </c>
      <c r="O251" s="10">
        <f>'RESUMEN '!$B$3</f>
        <v>44561</v>
      </c>
      <c r="P251" s="39">
        <v>2021</v>
      </c>
      <c r="Q251" s="3"/>
    </row>
    <row r="252" spans="1:17" x14ac:dyDescent="0.25">
      <c r="A252" s="3" t="s">
        <v>20</v>
      </c>
      <c r="B252" s="3" t="s">
        <v>84</v>
      </c>
      <c r="C252" s="3" t="s">
        <v>97</v>
      </c>
      <c r="D252" s="3" t="s">
        <v>100</v>
      </c>
      <c r="E252" s="3" t="str">
        <f>'CUOTA LTP'!C166</f>
        <v>LANDES S.A. PESQ.</v>
      </c>
      <c r="F252" s="3" t="s">
        <v>87</v>
      </c>
      <c r="G252" s="3" t="s">
        <v>88</v>
      </c>
      <c r="H252" s="2">
        <f>'CUOTA LTP'!E166</f>
        <v>2.2811599999999999</v>
      </c>
      <c r="I252" s="2">
        <f>'CUOTA LTP'!F166</f>
        <v>0</v>
      </c>
      <c r="J252" s="2">
        <f>'CUOTA LTP'!G166</f>
        <v>2.2811599999999999</v>
      </c>
      <c r="K252" s="2">
        <f>'CUOTA LTP'!H166</f>
        <v>0</v>
      </c>
      <c r="L252" s="2">
        <f>'CUOTA LTP'!I166</f>
        <v>2.2811599999999999</v>
      </c>
      <c r="M252" s="33">
        <f>'CUOTA LTP'!J166</f>
        <v>0</v>
      </c>
      <c r="N252" s="10" t="s">
        <v>91</v>
      </c>
      <c r="O252" s="10">
        <f>'RESUMEN '!$B$3</f>
        <v>44561</v>
      </c>
      <c r="P252" s="39">
        <v>2021</v>
      </c>
      <c r="Q252" s="3"/>
    </row>
    <row r="253" spans="1:17" x14ac:dyDescent="0.25">
      <c r="A253" s="3" t="s">
        <v>20</v>
      </c>
      <c r="B253" s="3" t="s">
        <v>84</v>
      </c>
      <c r="C253" s="3" t="s">
        <v>97</v>
      </c>
      <c r="D253" s="3" t="s">
        <v>100</v>
      </c>
      <c r="E253" s="3" t="str">
        <f>'CUOTA LTP'!C166</f>
        <v>LANDES S.A. PESQ.</v>
      </c>
      <c r="F253" s="3" t="s">
        <v>89</v>
      </c>
      <c r="G253" s="3" t="s">
        <v>90</v>
      </c>
      <c r="H253" s="2">
        <f>'CUOTA LTP'!E167</f>
        <v>0.25259999999999999</v>
      </c>
      <c r="I253" s="2">
        <f>'CUOTA LTP'!F167</f>
        <v>0</v>
      </c>
      <c r="J253" s="2">
        <f>'CUOTA LTP'!G167</f>
        <v>2.53376</v>
      </c>
      <c r="K253" s="2">
        <f>'CUOTA LTP'!H167</f>
        <v>0</v>
      </c>
      <c r="L253" s="2">
        <f>'CUOTA LTP'!I167</f>
        <v>2.53376</v>
      </c>
      <c r="M253" s="33">
        <f>'CUOTA LTP'!J167</f>
        <v>0</v>
      </c>
      <c r="N253" s="10" t="s">
        <v>91</v>
      </c>
      <c r="O253" s="10">
        <f>'RESUMEN '!$B$3</f>
        <v>44561</v>
      </c>
      <c r="P253" s="39">
        <v>2021</v>
      </c>
      <c r="Q253" s="3"/>
    </row>
    <row r="254" spans="1:17" x14ac:dyDescent="0.25">
      <c r="A254" s="3" t="s">
        <v>20</v>
      </c>
      <c r="B254" s="3" t="s">
        <v>84</v>
      </c>
      <c r="C254" s="3" t="s">
        <v>97</v>
      </c>
      <c r="D254" s="3" t="s">
        <v>100</v>
      </c>
      <c r="E254" s="3" t="str">
        <f>'CUOTA LTP'!C166</f>
        <v>LANDES S.A. PESQ.</v>
      </c>
      <c r="F254" s="3" t="s">
        <v>87</v>
      </c>
      <c r="G254" s="3" t="s">
        <v>90</v>
      </c>
      <c r="H254" s="2">
        <f>'CUOTA LTP'!K166</f>
        <v>2.53376</v>
      </c>
      <c r="I254" s="2">
        <f>'CUOTA LTP'!L166</f>
        <v>0</v>
      </c>
      <c r="J254" s="2">
        <f>'CUOTA LTP'!M166</f>
        <v>2.53376</v>
      </c>
      <c r="K254" s="2">
        <f>'CUOTA LTP'!N166</f>
        <v>0</v>
      </c>
      <c r="L254" s="2">
        <f>'CUOTA LTP'!O166</f>
        <v>2.53376</v>
      </c>
      <c r="M254" s="33">
        <f>'CUOTA LTP'!P166</f>
        <v>0</v>
      </c>
      <c r="N254" s="10" t="s">
        <v>91</v>
      </c>
      <c r="O254" s="10">
        <f>'RESUMEN '!$B$3</f>
        <v>44561</v>
      </c>
      <c r="P254" s="39">
        <v>2021</v>
      </c>
      <c r="Q254" s="3"/>
    </row>
    <row r="255" spans="1:17" x14ac:dyDescent="0.25">
      <c r="A255" s="3" t="s">
        <v>20</v>
      </c>
      <c r="B255" s="3" t="s">
        <v>84</v>
      </c>
      <c r="C255" s="3" t="s">
        <v>97</v>
      </c>
      <c r="D255" s="3" t="s">
        <v>100</v>
      </c>
      <c r="E255" s="3" t="str">
        <f>'CUOTA LTP'!C168</f>
        <v>ZUÑIGA ROMERO GONZALO</v>
      </c>
      <c r="F255" s="3" t="s">
        <v>87</v>
      </c>
      <c r="G255" s="3" t="s">
        <v>88</v>
      </c>
      <c r="H255" s="2">
        <f>'CUOTA LTP'!E168</f>
        <v>47.818950000000001</v>
      </c>
      <c r="I255" s="2">
        <f>'CUOTA LTP'!F168</f>
        <v>0</v>
      </c>
      <c r="J255" s="2">
        <f>'CUOTA LTP'!G168</f>
        <v>47.818950000000001</v>
      </c>
      <c r="K255" s="2">
        <f>'CUOTA LTP'!H168</f>
        <v>0</v>
      </c>
      <c r="L255" s="2">
        <f>'CUOTA LTP'!I168</f>
        <v>47.818950000000001</v>
      </c>
      <c r="M255" s="33">
        <f>'CUOTA LTP'!J168</f>
        <v>0</v>
      </c>
      <c r="N255" s="10" t="s">
        <v>91</v>
      </c>
      <c r="O255" s="10">
        <f>'RESUMEN '!$B$3</f>
        <v>44561</v>
      </c>
      <c r="P255" s="39">
        <v>2021</v>
      </c>
      <c r="Q255" s="3"/>
    </row>
    <row r="256" spans="1:17" x14ac:dyDescent="0.25">
      <c r="A256" s="3" t="s">
        <v>20</v>
      </c>
      <c r="B256" s="3" t="s">
        <v>84</v>
      </c>
      <c r="C256" s="3" t="s">
        <v>97</v>
      </c>
      <c r="D256" s="3" t="s">
        <v>100</v>
      </c>
      <c r="E256" s="3" t="str">
        <f>'CUOTA LTP'!C168</f>
        <v>ZUÑIGA ROMERO GONZALO</v>
      </c>
      <c r="F256" s="3" t="s">
        <v>89</v>
      </c>
      <c r="G256" s="3" t="s">
        <v>90</v>
      </c>
      <c r="H256" s="2">
        <f>'CUOTA LTP'!E169</f>
        <v>5.2951699999999997</v>
      </c>
      <c r="I256" s="2">
        <f>'CUOTA LTP'!F169</f>
        <v>0</v>
      </c>
      <c r="J256" s="2">
        <f>'CUOTA LTP'!G169</f>
        <v>53.11412</v>
      </c>
      <c r="K256" s="2">
        <f>'CUOTA LTP'!H169</f>
        <v>0</v>
      </c>
      <c r="L256" s="2">
        <f>'CUOTA LTP'!I169</f>
        <v>53.11412</v>
      </c>
      <c r="M256" s="33">
        <f>'CUOTA LTP'!J169</f>
        <v>0</v>
      </c>
      <c r="N256" s="10" t="s">
        <v>91</v>
      </c>
      <c r="O256" s="10">
        <f>'RESUMEN '!$B$3</f>
        <v>44561</v>
      </c>
      <c r="P256" s="39">
        <v>2021</v>
      </c>
      <c r="Q256" s="3"/>
    </row>
    <row r="257" spans="1:17" x14ac:dyDescent="0.25">
      <c r="A257" s="3" t="s">
        <v>20</v>
      </c>
      <c r="B257" s="3" t="s">
        <v>84</v>
      </c>
      <c r="C257" s="3" t="s">
        <v>97</v>
      </c>
      <c r="D257" s="3" t="s">
        <v>100</v>
      </c>
      <c r="E257" s="3" t="str">
        <f>'CUOTA LTP'!C168</f>
        <v>ZUÑIGA ROMERO GONZALO</v>
      </c>
      <c r="F257" s="3" t="s">
        <v>87</v>
      </c>
      <c r="G257" s="3" t="s">
        <v>90</v>
      </c>
      <c r="H257" s="2">
        <f>'CUOTA LTP'!K168</f>
        <v>53.11412</v>
      </c>
      <c r="I257" s="2">
        <f>'CUOTA LTP'!L168</f>
        <v>0</v>
      </c>
      <c r="J257" s="2">
        <f>'CUOTA LTP'!M168</f>
        <v>53.11412</v>
      </c>
      <c r="K257" s="2">
        <f>'CUOTA LTP'!N168</f>
        <v>0</v>
      </c>
      <c r="L257" s="2">
        <f>'CUOTA LTP'!O168</f>
        <v>53.11412</v>
      </c>
      <c r="M257" s="33">
        <f>'CUOTA LTP'!P168</f>
        <v>0</v>
      </c>
      <c r="N257" s="10" t="s">
        <v>91</v>
      </c>
      <c r="O257" s="10">
        <f>'RESUMEN '!$B$3</f>
        <v>44561</v>
      </c>
      <c r="P257" s="39">
        <v>2021</v>
      </c>
      <c r="Q257" s="3"/>
    </row>
    <row r="258" spans="1:17" x14ac:dyDescent="0.25">
      <c r="A258" s="3" t="s">
        <v>20</v>
      </c>
      <c r="B258" s="3" t="s">
        <v>84</v>
      </c>
      <c r="C258" s="3" t="s">
        <v>97</v>
      </c>
      <c r="D258" s="3" t="s">
        <v>100</v>
      </c>
      <c r="E258" s="3" t="str">
        <f>'CUOTA LTP'!C170</f>
        <v>MOROZIN YURECIC MARIO</v>
      </c>
      <c r="F258" s="3" t="s">
        <v>87</v>
      </c>
      <c r="G258" s="3" t="s">
        <v>88</v>
      </c>
      <c r="H258" s="2">
        <f>'CUOTA LTP'!E170</f>
        <v>4.4159999999999998E-2</v>
      </c>
      <c r="I258" s="2">
        <f>'CUOTA LTP'!F170</f>
        <v>0</v>
      </c>
      <c r="J258" s="2">
        <f>'CUOTA LTP'!G170</f>
        <v>4.4159999999999998E-2</v>
      </c>
      <c r="K258" s="2">
        <f>'CUOTA LTP'!H170</f>
        <v>0</v>
      </c>
      <c r="L258" s="2">
        <f>'CUOTA LTP'!I170</f>
        <v>4.4159999999999998E-2</v>
      </c>
      <c r="M258" s="33">
        <f>'CUOTA LTP'!J170</f>
        <v>0</v>
      </c>
      <c r="N258" s="10" t="s">
        <v>91</v>
      </c>
      <c r="O258" s="10">
        <f>'RESUMEN '!$B$3</f>
        <v>44561</v>
      </c>
      <c r="P258" s="39">
        <v>2021</v>
      </c>
      <c r="Q258" s="3"/>
    </row>
    <row r="259" spans="1:17" x14ac:dyDescent="0.25">
      <c r="A259" s="3" t="s">
        <v>20</v>
      </c>
      <c r="B259" s="3" t="s">
        <v>84</v>
      </c>
      <c r="C259" s="3" t="s">
        <v>97</v>
      </c>
      <c r="D259" s="3" t="s">
        <v>100</v>
      </c>
      <c r="E259" s="3" t="str">
        <f>'CUOTA LTP'!C170</f>
        <v>MOROZIN YURECIC MARIO</v>
      </c>
      <c r="F259" s="3" t="s">
        <v>89</v>
      </c>
      <c r="G259" s="3" t="s">
        <v>90</v>
      </c>
      <c r="H259" s="2">
        <f>'CUOTA LTP'!E171</f>
        <v>4.8900000000000002E-3</v>
      </c>
      <c r="I259" s="2">
        <f>'CUOTA LTP'!F171</f>
        <v>0</v>
      </c>
      <c r="J259" s="2">
        <f>'CUOTA LTP'!G171</f>
        <v>4.9049999999999996E-2</v>
      </c>
      <c r="K259" s="2">
        <f>'CUOTA LTP'!H171</f>
        <v>0</v>
      </c>
      <c r="L259" s="2">
        <f>'CUOTA LTP'!I171</f>
        <v>4.9049999999999996E-2</v>
      </c>
      <c r="M259" s="33">
        <f>'CUOTA LTP'!J171</f>
        <v>0</v>
      </c>
      <c r="N259" s="10" t="s">
        <v>91</v>
      </c>
      <c r="O259" s="10">
        <f>'RESUMEN '!$B$3</f>
        <v>44561</v>
      </c>
      <c r="P259" s="39">
        <v>2021</v>
      </c>
      <c r="Q259" s="3"/>
    </row>
    <row r="260" spans="1:17" x14ac:dyDescent="0.25">
      <c r="A260" s="3" t="s">
        <v>20</v>
      </c>
      <c r="B260" s="3" t="s">
        <v>84</v>
      </c>
      <c r="C260" s="3" t="s">
        <v>97</v>
      </c>
      <c r="D260" s="3" t="s">
        <v>100</v>
      </c>
      <c r="E260" s="3" t="str">
        <f>'CUOTA LTP'!C170</f>
        <v>MOROZIN YURECIC MARIO</v>
      </c>
      <c r="F260" s="3" t="s">
        <v>87</v>
      </c>
      <c r="G260" s="3" t="s">
        <v>90</v>
      </c>
      <c r="H260" s="2">
        <f>'CUOTA LTP'!K170</f>
        <v>4.9049999999999996E-2</v>
      </c>
      <c r="I260" s="2">
        <f>'CUOTA LTP'!L170</f>
        <v>0</v>
      </c>
      <c r="J260" s="2">
        <f>'CUOTA LTP'!M170</f>
        <v>4.9049999999999996E-2</v>
      </c>
      <c r="K260" s="2">
        <f>'CUOTA LTP'!N170</f>
        <v>0</v>
      </c>
      <c r="L260" s="2">
        <f>'CUOTA LTP'!O170</f>
        <v>4.9049999999999996E-2</v>
      </c>
      <c r="M260" s="33">
        <f>'CUOTA LTP'!P170</f>
        <v>0</v>
      </c>
      <c r="N260" s="10" t="s">
        <v>91</v>
      </c>
      <c r="O260" s="10">
        <f>'RESUMEN '!$B$3</f>
        <v>44561</v>
      </c>
      <c r="P260" s="39">
        <v>2021</v>
      </c>
      <c r="Q260" s="3"/>
    </row>
    <row r="261" spans="1:17" x14ac:dyDescent="0.25">
      <c r="A261" s="3" t="s">
        <v>20</v>
      </c>
      <c r="B261" s="3" t="s">
        <v>84</v>
      </c>
      <c r="C261" s="3" t="s">
        <v>97</v>
      </c>
      <c r="D261" s="3" t="s">
        <v>100</v>
      </c>
      <c r="E261" s="3" t="str">
        <f>'CUOTA LTP'!C172</f>
        <v>QUINTERO LTDA. SOC. PESQ.</v>
      </c>
      <c r="F261" s="3" t="s">
        <v>87</v>
      </c>
      <c r="G261" s="3" t="s">
        <v>88</v>
      </c>
      <c r="H261" s="2">
        <f>'CUOTA LTP'!E172</f>
        <v>2.9440000000000001E-2</v>
      </c>
      <c r="I261" s="2">
        <f>'CUOTA LTP'!F172</f>
        <v>28.645690499999997</v>
      </c>
      <c r="J261" s="2">
        <f>'CUOTA LTP'!G172</f>
        <v>28.675130499999998</v>
      </c>
      <c r="K261" s="2">
        <f>'CUOTA LTP'!H172</f>
        <v>0</v>
      </c>
      <c r="L261" s="2">
        <f>'CUOTA LTP'!I172</f>
        <v>28.675130499999998</v>
      </c>
      <c r="M261" s="33">
        <f>'CUOTA LTP'!J172</f>
        <v>0</v>
      </c>
      <c r="N261" s="10" t="s">
        <v>91</v>
      </c>
      <c r="O261" s="10">
        <f>'RESUMEN '!$B$3</f>
        <v>44561</v>
      </c>
      <c r="P261" s="39">
        <v>2021</v>
      </c>
      <c r="Q261" s="3"/>
    </row>
    <row r="262" spans="1:17" x14ac:dyDescent="0.25">
      <c r="A262" s="3" t="s">
        <v>20</v>
      </c>
      <c r="B262" s="3" t="s">
        <v>84</v>
      </c>
      <c r="C262" s="3" t="s">
        <v>97</v>
      </c>
      <c r="D262" s="3" t="s">
        <v>100</v>
      </c>
      <c r="E262" s="3" t="str">
        <f>'CUOTA LTP'!C172</f>
        <v>QUINTERO LTDA. SOC. PESQ.</v>
      </c>
      <c r="F262" s="3" t="s">
        <v>89</v>
      </c>
      <c r="G262" s="3" t="s">
        <v>90</v>
      </c>
      <c r="H262" s="2">
        <f>'CUOTA LTP'!E173</f>
        <v>3.2599999999999999E-3</v>
      </c>
      <c r="I262" s="2">
        <f>'CUOTA LTP'!F173</f>
        <v>0</v>
      </c>
      <c r="J262" s="2">
        <f>'CUOTA LTP'!G173</f>
        <v>28.678390499999999</v>
      </c>
      <c r="K262" s="2">
        <f>'CUOTA LTP'!H173</f>
        <v>0</v>
      </c>
      <c r="L262" s="2">
        <f>'CUOTA LTP'!I173</f>
        <v>28.678390499999999</v>
      </c>
      <c r="M262" s="33">
        <f>'CUOTA LTP'!J173</f>
        <v>0</v>
      </c>
      <c r="N262" s="10" t="s">
        <v>91</v>
      </c>
      <c r="O262" s="10">
        <f>'RESUMEN '!$B$3</f>
        <v>44561</v>
      </c>
      <c r="P262" s="39">
        <v>2021</v>
      </c>
      <c r="Q262" s="3"/>
    </row>
    <row r="263" spans="1:17" x14ac:dyDescent="0.25">
      <c r="A263" s="3" t="s">
        <v>20</v>
      </c>
      <c r="B263" s="3" t="s">
        <v>84</v>
      </c>
      <c r="C263" s="3" t="s">
        <v>97</v>
      </c>
      <c r="D263" s="3" t="s">
        <v>100</v>
      </c>
      <c r="E263" s="3" t="str">
        <f>'CUOTA LTP'!C172</f>
        <v>QUINTERO LTDA. SOC. PESQ.</v>
      </c>
      <c r="F263" s="3" t="s">
        <v>87</v>
      </c>
      <c r="G263" s="3" t="s">
        <v>90</v>
      </c>
      <c r="H263" s="2">
        <f>'CUOTA LTP'!K172</f>
        <v>3.27E-2</v>
      </c>
      <c r="I263" s="2">
        <f>'CUOTA LTP'!L172</f>
        <v>28.645690499999997</v>
      </c>
      <c r="J263" s="2">
        <f>'CUOTA LTP'!M172</f>
        <v>28.678390499999995</v>
      </c>
      <c r="K263" s="2">
        <f>'CUOTA LTP'!N172</f>
        <v>0</v>
      </c>
      <c r="L263" s="2">
        <f>'CUOTA LTP'!O172</f>
        <v>28.678390499999995</v>
      </c>
      <c r="M263" s="33">
        <f>'CUOTA LTP'!P172</f>
        <v>0</v>
      </c>
      <c r="N263" s="10" t="s">
        <v>91</v>
      </c>
      <c r="O263" s="10">
        <f>'RESUMEN '!$B$3</f>
        <v>44561</v>
      </c>
      <c r="P263" s="39">
        <v>2021</v>
      </c>
      <c r="Q263" s="3"/>
    </row>
    <row r="264" spans="1:17" x14ac:dyDescent="0.25">
      <c r="A264" s="3" t="s">
        <v>20</v>
      </c>
      <c r="B264" s="3" t="s">
        <v>84</v>
      </c>
      <c r="C264" s="3" t="s">
        <v>97</v>
      </c>
      <c r="D264" s="3" t="s">
        <v>100</v>
      </c>
      <c r="E264" s="3" t="str">
        <f>'CUOTA LTP'!C174</f>
        <v>PACIFICBLU SPA.</v>
      </c>
      <c r="F264" s="3" t="s">
        <v>87</v>
      </c>
      <c r="G264" s="3" t="s">
        <v>88</v>
      </c>
      <c r="H264" s="2">
        <f>'CUOTA LTP'!E174</f>
        <v>26.76464</v>
      </c>
      <c r="I264" s="2">
        <f>'CUOTA LTP'!F174</f>
        <v>-28.396843500000003</v>
      </c>
      <c r="J264" s="2">
        <f>'CUOTA LTP'!G174</f>
        <v>-1.6322035000000028</v>
      </c>
      <c r="K264" s="2">
        <f>'CUOTA LTP'!H174</f>
        <v>0.71199999999999997</v>
      </c>
      <c r="L264" s="2">
        <f>'CUOTA LTP'!I174</f>
        <v>-2.3442035000000025</v>
      </c>
      <c r="M264" s="33">
        <f>'CUOTA LTP'!J174</f>
        <v>-0.43622011593529775</v>
      </c>
      <c r="N264" s="10" t="s">
        <v>91</v>
      </c>
      <c r="O264" s="10">
        <f>'RESUMEN '!$B$3</f>
        <v>44561</v>
      </c>
      <c r="P264" s="39">
        <v>2021</v>
      </c>
      <c r="Q264" s="3"/>
    </row>
    <row r="265" spans="1:17" x14ac:dyDescent="0.25">
      <c r="A265" s="3" t="s">
        <v>20</v>
      </c>
      <c r="B265" s="3" t="s">
        <v>84</v>
      </c>
      <c r="C265" s="3" t="s">
        <v>97</v>
      </c>
      <c r="D265" s="3" t="s">
        <v>100</v>
      </c>
      <c r="E265" s="3" t="str">
        <f>'CUOTA LTP'!C174</f>
        <v>PACIFICBLU SPA.</v>
      </c>
      <c r="F265" s="3" t="s">
        <v>89</v>
      </c>
      <c r="G265" s="3" t="s">
        <v>90</v>
      </c>
      <c r="H265" s="2">
        <f>'CUOTA LTP'!E175</f>
        <v>2.9637500000000001</v>
      </c>
      <c r="I265" s="2">
        <f>'CUOTA LTP'!F175</f>
        <v>0</v>
      </c>
      <c r="J265" s="2">
        <f>'CUOTA LTP'!G175</f>
        <v>0.61954649999999756</v>
      </c>
      <c r="K265" s="2">
        <f>'CUOTA LTP'!H175</f>
        <v>1.9E-2</v>
      </c>
      <c r="L265" s="2">
        <f>'CUOTA LTP'!I175</f>
        <v>0.60054649999999754</v>
      </c>
      <c r="M265" s="33">
        <f>'CUOTA LTP'!J175</f>
        <v>3.0667593150796712E-2</v>
      </c>
      <c r="N265" s="10" t="s">
        <v>91</v>
      </c>
      <c r="O265" s="10">
        <f>'RESUMEN '!$B$3</f>
        <v>44561</v>
      </c>
      <c r="P265" s="39">
        <v>2021</v>
      </c>
      <c r="Q265" s="3"/>
    </row>
    <row r="266" spans="1:17" x14ac:dyDescent="0.25">
      <c r="A266" s="3" t="s">
        <v>20</v>
      </c>
      <c r="B266" s="3" t="s">
        <v>84</v>
      </c>
      <c r="C266" s="3" t="s">
        <v>97</v>
      </c>
      <c r="D266" s="3" t="s">
        <v>100</v>
      </c>
      <c r="E266" s="3" t="str">
        <f>'CUOTA LTP'!C174</f>
        <v>PACIFICBLU SPA.</v>
      </c>
      <c r="F266" s="3" t="s">
        <v>87</v>
      </c>
      <c r="G266" s="3" t="s">
        <v>90</v>
      </c>
      <c r="H266" s="2">
        <f>'CUOTA LTP'!K174</f>
        <v>29.728390000000001</v>
      </c>
      <c r="I266" s="2">
        <f>'CUOTA LTP'!L174</f>
        <v>-28.396843500000003</v>
      </c>
      <c r="J266" s="2">
        <f>'CUOTA LTP'!M174</f>
        <v>1.3315464999999982</v>
      </c>
      <c r="K266" s="2">
        <f>'CUOTA LTP'!N174</f>
        <v>0.73099999999999998</v>
      </c>
      <c r="L266" s="2">
        <f>'CUOTA LTP'!O174</f>
        <v>0.60054649999999821</v>
      </c>
      <c r="M266" s="33">
        <f>'CUOTA LTP'!P174</f>
        <v>0.54898570947390946</v>
      </c>
      <c r="N266" s="10" t="s">
        <v>91</v>
      </c>
      <c r="O266" s="10">
        <f>'RESUMEN '!$B$3</f>
        <v>44561</v>
      </c>
      <c r="P266" s="39">
        <v>2021</v>
      </c>
      <c r="Q266" s="3"/>
    </row>
    <row r="267" spans="1:17" x14ac:dyDescent="0.25">
      <c r="A267" s="3" t="s">
        <v>20</v>
      </c>
      <c r="B267" s="3" t="s">
        <v>84</v>
      </c>
      <c r="C267" s="3" t="s">
        <v>97</v>
      </c>
      <c r="D267" s="3" t="s">
        <v>100</v>
      </c>
      <c r="E267" s="3" t="str">
        <f>'CUOTA LTP'!C176</f>
        <v>DA VENEZIA RETAMALES ANTONIO</v>
      </c>
      <c r="F267" s="3" t="s">
        <v>87</v>
      </c>
      <c r="G267" s="3" t="s">
        <v>88</v>
      </c>
      <c r="H267" s="2">
        <f>'CUOTA LTP'!E176</f>
        <v>1.472E-2</v>
      </c>
      <c r="I267" s="2">
        <f>'CUOTA LTP'!F176</f>
        <v>0</v>
      </c>
      <c r="J267" s="2">
        <f>'CUOTA LTP'!G176</f>
        <v>1.472E-2</v>
      </c>
      <c r="K267" s="2">
        <f>'CUOTA LTP'!H176</f>
        <v>0</v>
      </c>
      <c r="L267" s="2">
        <f>'CUOTA LTP'!I176</f>
        <v>1.472E-2</v>
      </c>
      <c r="M267" s="33">
        <f>'CUOTA LTP'!J176</f>
        <v>0</v>
      </c>
      <c r="N267" s="10" t="s">
        <v>91</v>
      </c>
      <c r="O267" s="10">
        <f>'RESUMEN '!$B$3</f>
        <v>44561</v>
      </c>
      <c r="P267" s="39">
        <v>2021</v>
      </c>
      <c r="Q267" s="3"/>
    </row>
    <row r="268" spans="1:17" x14ac:dyDescent="0.25">
      <c r="A268" s="3" t="s">
        <v>20</v>
      </c>
      <c r="B268" s="3" t="s">
        <v>84</v>
      </c>
      <c r="C268" s="3" t="s">
        <v>97</v>
      </c>
      <c r="D268" s="3" t="s">
        <v>100</v>
      </c>
      <c r="E268" s="3" t="str">
        <f>'CUOTA LTP'!C176</f>
        <v>DA VENEZIA RETAMALES ANTONIO</v>
      </c>
      <c r="F268" s="3" t="s">
        <v>89</v>
      </c>
      <c r="G268" s="3" t="s">
        <v>90</v>
      </c>
      <c r="H268" s="2">
        <f>'CUOTA LTP'!E177</f>
        <v>1.6299999999999999E-3</v>
      </c>
      <c r="I268" s="2">
        <f>'CUOTA LTP'!F177</f>
        <v>0</v>
      </c>
      <c r="J268" s="2">
        <f>'CUOTA LTP'!G177</f>
        <v>1.635E-2</v>
      </c>
      <c r="K268" s="2">
        <f>'CUOTA LTP'!H177</f>
        <v>0</v>
      </c>
      <c r="L268" s="2">
        <f>'CUOTA LTP'!I177</f>
        <v>1.635E-2</v>
      </c>
      <c r="M268" s="33">
        <f>'CUOTA LTP'!J177</f>
        <v>0</v>
      </c>
      <c r="N268" s="10" t="s">
        <v>91</v>
      </c>
      <c r="O268" s="10">
        <f>'RESUMEN '!$B$3</f>
        <v>44561</v>
      </c>
      <c r="P268" s="39">
        <v>2021</v>
      </c>
      <c r="Q268" s="3"/>
    </row>
    <row r="269" spans="1:17" x14ac:dyDescent="0.25">
      <c r="A269" s="3" t="s">
        <v>20</v>
      </c>
      <c r="B269" s="3" t="s">
        <v>84</v>
      </c>
      <c r="C269" s="3" t="s">
        <v>97</v>
      </c>
      <c r="D269" s="3" t="s">
        <v>100</v>
      </c>
      <c r="E269" s="3" t="str">
        <f>'CUOTA LTP'!C176</f>
        <v>DA VENEZIA RETAMALES ANTONIO</v>
      </c>
      <c r="F269" s="3" t="s">
        <v>87</v>
      </c>
      <c r="G269" s="3" t="s">
        <v>90</v>
      </c>
      <c r="H269" s="2">
        <f>'CUOTA LTP'!K176</f>
        <v>1.635E-2</v>
      </c>
      <c r="I269" s="2">
        <f>'CUOTA LTP'!L176</f>
        <v>0</v>
      </c>
      <c r="J269" s="2">
        <f>'CUOTA LTP'!M176</f>
        <v>1.635E-2</v>
      </c>
      <c r="K269" s="2">
        <f>'CUOTA LTP'!N176</f>
        <v>0</v>
      </c>
      <c r="L269" s="2">
        <f>'CUOTA LTP'!O176</f>
        <v>1.635E-2</v>
      </c>
      <c r="M269" s="33">
        <f>'CUOTA LTP'!P176</f>
        <v>0</v>
      </c>
      <c r="N269" s="10" t="s">
        <v>91</v>
      </c>
      <c r="O269" s="10">
        <f>'RESUMEN '!$B$3</f>
        <v>44561</v>
      </c>
      <c r="P269" s="39">
        <v>2021</v>
      </c>
      <c r="Q269" s="3"/>
    </row>
    <row r="270" spans="1:17" x14ac:dyDescent="0.25">
      <c r="A270" s="3" t="s">
        <v>20</v>
      </c>
      <c r="B270" s="3" t="s">
        <v>84</v>
      </c>
      <c r="C270" s="3" t="s">
        <v>97</v>
      </c>
      <c r="D270" s="3" t="s">
        <v>100</v>
      </c>
      <c r="E270" s="3" t="str">
        <f>'CUOTA LTP'!C178</f>
        <v>ENFERMAR LTDA. SOC. PESQ.</v>
      </c>
      <c r="F270" s="3" t="s">
        <v>87</v>
      </c>
      <c r="G270" s="3" t="s">
        <v>88</v>
      </c>
      <c r="H270" s="2">
        <f>'CUOTA LTP'!E178</f>
        <v>0.39744000000000002</v>
      </c>
      <c r="I270" s="2">
        <f>'CUOTA LTP'!F178</f>
        <v>-0.21254999999999999</v>
      </c>
      <c r="J270" s="2">
        <f>'CUOTA LTP'!G178</f>
        <v>0.18489000000000003</v>
      </c>
      <c r="K270" s="2">
        <f>'CUOTA LTP'!H178</f>
        <v>0</v>
      </c>
      <c r="L270" s="2">
        <f>'CUOTA LTP'!I178</f>
        <v>0.18489000000000003</v>
      </c>
      <c r="M270" s="33">
        <f>'CUOTA LTP'!J178</f>
        <v>0</v>
      </c>
      <c r="N270" s="10" t="s">
        <v>91</v>
      </c>
      <c r="O270" s="10">
        <f>'RESUMEN '!$B$3</f>
        <v>44561</v>
      </c>
      <c r="P270" s="39">
        <v>2021</v>
      </c>
      <c r="Q270" s="3"/>
    </row>
    <row r="271" spans="1:17" x14ac:dyDescent="0.25">
      <c r="A271" s="3" t="s">
        <v>20</v>
      </c>
      <c r="B271" s="3" t="s">
        <v>84</v>
      </c>
      <c r="C271" s="3" t="s">
        <v>97</v>
      </c>
      <c r="D271" s="3" t="s">
        <v>100</v>
      </c>
      <c r="E271" s="3" t="str">
        <f>'CUOTA LTP'!C178</f>
        <v>ENFERMAR LTDA. SOC. PESQ.</v>
      </c>
      <c r="F271" s="3" t="s">
        <v>89</v>
      </c>
      <c r="G271" s="3" t="s">
        <v>90</v>
      </c>
      <c r="H271" s="2">
        <f>'CUOTA LTP'!E179</f>
        <v>4.4010000000000001E-2</v>
      </c>
      <c r="I271" s="2">
        <f>'CUOTA LTP'!F179</f>
        <v>0</v>
      </c>
      <c r="J271" s="2">
        <f>'CUOTA LTP'!G179</f>
        <v>0.22890000000000002</v>
      </c>
      <c r="K271" s="2">
        <f>'CUOTA LTP'!H179</f>
        <v>0</v>
      </c>
      <c r="L271" s="2">
        <f>'CUOTA LTP'!I179</f>
        <v>0.22890000000000002</v>
      </c>
      <c r="M271" s="33">
        <f>'CUOTA LTP'!J179</f>
        <v>0</v>
      </c>
      <c r="N271" s="10" t="s">
        <v>91</v>
      </c>
      <c r="O271" s="10">
        <f>'RESUMEN '!$B$3</f>
        <v>44561</v>
      </c>
      <c r="P271" s="39">
        <v>2021</v>
      </c>
      <c r="Q271" s="3"/>
    </row>
    <row r="272" spans="1:17" x14ac:dyDescent="0.25">
      <c r="A272" s="3" t="s">
        <v>20</v>
      </c>
      <c r="B272" s="3" t="s">
        <v>84</v>
      </c>
      <c r="C272" s="3" t="s">
        <v>97</v>
      </c>
      <c r="D272" s="3" t="s">
        <v>100</v>
      </c>
      <c r="E272" s="3" t="str">
        <f>'CUOTA LTP'!C178</f>
        <v>ENFERMAR LTDA. SOC. PESQ.</v>
      </c>
      <c r="F272" s="3" t="s">
        <v>87</v>
      </c>
      <c r="G272" s="3" t="s">
        <v>90</v>
      </c>
      <c r="H272" s="2">
        <f>'CUOTA LTP'!K178</f>
        <v>0.44145000000000001</v>
      </c>
      <c r="I272" s="2">
        <f>'CUOTA LTP'!L178</f>
        <v>-0.21254999999999999</v>
      </c>
      <c r="J272" s="2">
        <f>'CUOTA LTP'!M178</f>
        <v>0.22890000000000002</v>
      </c>
      <c r="K272" s="2">
        <f>'CUOTA LTP'!N178</f>
        <v>0</v>
      </c>
      <c r="L272" s="2">
        <f>'CUOTA LTP'!O178</f>
        <v>0.22890000000000002</v>
      </c>
      <c r="M272" s="33">
        <f>'CUOTA LTP'!P178</f>
        <v>0</v>
      </c>
      <c r="N272" s="10" t="s">
        <v>91</v>
      </c>
      <c r="O272" s="10">
        <f>'RESUMEN '!$B$3</f>
        <v>44561</v>
      </c>
      <c r="P272" s="39">
        <v>2021</v>
      </c>
      <c r="Q272" s="3"/>
    </row>
    <row r="273" spans="1:17" x14ac:dyDescent="0.25">
      <c r="A273" s="3" t="s">
        <v>20</v>
      </c>
      <c r="B273" s="3" t="s">
        <v>84</v>
      </c>
      <c r="C273" s="3" t="s">
        <v>97</v>
      </c>
      <c r="D273" s="3" t="s">
        <v>100</v>
      </c>
      <c r="E273" s="3" t="str">
        <f>'CUOTA LTP'!C180</f>
        <v>RUBIO Y MAUAD LTDA.</v>
      </c>
      <c r="F273" s="3" t="s">
        <v>87</v>
      </c>
      <c r="G273" s="3" t="s">
        <v>88</v>
      </c>
      <c r="H273" s="2">
        <f>'CUOTA LTP'!E180</f>
        <v>1.88412</v>
      </c>
      <c r="I273" s="2">
        <f>'CUOTA LTP'!F180</f>
        <v>-2.0764464999999959</v>
      </c>
      <c r="J273" s="2">
        <f>'CUOTA LTP'!G180</f>
        <v>-0.19232649999999585</v>
      </c>
      <c r="K273" s="2">
        <f>'CUOTA LTP'!H180</f>
        <v>0</v>
      </c>
      <c r="L273" s="2">
        <f>'CUOTA LTP'!I180</f>
        <v>-0.19232649999999585</v>
      </c>
      <c r="M273" s="33">
        <f>'CUOTA LTP'!J180</f>
        <v>0</v>
      </c>
      <c r="N273" s="10" t="s">
        <v>91</v>
      </c>
      <c r="O273" s="10">
        <f>'RESUMEN '!$B$3</f>
        <v>44561</v>
      </c>
      <c r="P273" s="39">
        <v>2021</v>
      </c>
      <c r="Q273" s="3"/>
    </row>
    <row r="274" spans="1:17" x14ac:dyDescent="0.25">
      <c r="A274" s="3" t="s">
        <v>20</v>
      </c>
      <c r="B274" s="3" t="s">
        <v>84</v>
      </c>
      <c r="C274" s="3" t="s">
        <v>97</v>
      </c>
      <c r="D274" s="3" t="s">
        <v>100</v>
      </c>
      <c r="E274" s="3" t="str">
        <f>'CUOTA LTP'!C180</f>
        <v>RUBIO Y MAUAD LTDA.</v>
      </c>
      <c r="F274" s="3" t="s">
        <v>89</v>
      </c>
      <c r="G274" s="3" t="s">
        <v>90</v>
      </c>
      <c r="H274" s="2">
        <f>'CUOTA LTP'!E181</f>
        <v>0.20862999999999998</v>
      </c>
      <c r="I274" s="2">
        <f>'CUOTA LTP'!F181</f>
        <v>0</v>
      </c>
      <c r="J274" s="2">
        <f>'CUOTA LTP'!G181</f>
        <v>1.6303500000004134E-2</v>
      </c>
      <c r="K274" s="2">
        <f>'CUOTA LTP'!H181</f>
        <v>0</v>
      </c>
      <c r="L274" s="2">
        <f>'CUOTA LTP'!I181</f>
        <v>1.6303500000004134E-2</v>
      </c>
      <c r="M274" s="33">
        <f>'CUOTA LTP'!J181</f>
        <v>0</v>
      </c>
      <c r="N274" s="10" t="s">
        <v>91</v>
      </c>
      <c r="O274" s="10">
        <f>'RESUMEN '!$B$3</f>
        <v>44561</v>
      </c>
      <c r="P274" s="39">
        <v>2021</v>
      </c>
      <c r="Q274" s="3"/>
    </row>
    <row r="275" spans="1:17" x14ac:dyDescent="0.25">
      <c r="A275" s="3" t="s">
        <v>20</v>
      </c>
      <c r="B275" s="3" t="s">
        <v>84</v>
      </c>
      <c r="C275" s="3" t="s">
        <v>97</v>
      </c>
      <c r="D275" s="3" t="s">
        <v>100</v>
      </c>
      <c r="E275" s="3" t="str">
        <f>'CUOTA LTP'!C180</f>
        <v>RUBIO Y MAUAD LTDA.</v>
      </c>
      <c r="F275" s="3" t="s">
        <v>87</v>
      </c>
      <c r="G275" s="3" t="s">
        <v>90</v>
      </c>
      <c r="H275" s="2">
        <f>'CUOTA LTP'!K180</f>
        <v>2.0927500000000001</v>
      </c>
      <c r="I275" s="2">
        <f>'CUOTA LTP'!L180</f>
        <v>-2.0764464999999959</v>
      </c>
      <c r="J275" s="2">
        <f>'CUOTA LTP'!M180</f>
        <v>1.6303500000004245E-2</v>
      </c>
      <c r="K275" s="2">
        <f>'CUOTA LTP'!N180</f>
        <v>0</v>
      </c>
      <c r="L275" s="2">
        <f>'CUOTA LTP'!O180</f>
        <v>1.6303500000004245E-2</v>
      </c>
      <c r="M275" s="33">
        <f>'CUOTA LTP'!P180</f>
        <v>0</v>
      </c>
      <c r="N275" s="10" t="s">
        <v>91</v>
      </c>
      <c r="O275" s="10">
        <f>'RESUMEN '!$B$3</f>
        <v>44561</v>
      </c>
      <c r="P275" s="39">
        <v>2021</v>
      </c>
      <c r="Q275" s="3"/>
    </row>
    <row r="276" spans="1:17" s="37" customFormat="1" x14ac:dyDescent="0.25">
      <c r="A276" s="30" t="s">
        <v>20</v>
      </c>
      <c r="B276" s="30" t="s">
        <v>84</v>
      </c>
      <c r="C276" s="30" t="s">
        <v>97</v>
      </c>
      <c r="D276" s="30" t="s">
        <v>100</v>
      </c>
      <c r="E276" s="30" t="str">
        <f>'CUOTA LTP'!C182</f>
        <v>JORGE COFRE TOLEDO</v>
      </c>
      <c r="F276" s="30" t="s">
        <v>87</v>
      </c>
      <c r="G276" s="30" t="s">
        <v>88</v>
      </c>
      <c r="H276" s="29">
        <f>'CUOTA LTP'!E182</f>
        <v>0</v>
      </c>
      <c r="I276" s="29">
        <f>'CUOTA LTP'!F182</f>
        <v>1.0805400000000001</v>
      </c>
      <c r="J276" s="29">
        <f>'CUOTA LTP'!G182</f>
        <v>1.0805400000000001</v>
      </c>
      <c r="K276" s="29">
        <f>'CUOTA LTP'!H182</f>
        <v>0</v>
      </c>
      <c r="L276" s="29">
        <f>'CUOTA LTP'!I182</f>
        <v>1.0805400000000001</v>
      </c>
      <c r="M276" s="38">
        <f>'CUOTA LTP'!J182</f>
        <v>0</v>
      </c>
      <c r="N276" s="36" t="s">
        <v>91</v>
      </c>
      <c r="O276" s="36">
        <f>'RESUMEN '!$B$3</f>
        <v>44561</v>
      </c>
      <c r="P276" s="39">
        <v>2021</v>
      </c>
      <c r="Q276" s="30"/>
    </row>
    <row r="277" spans="1:17" s="37" customFormat="1" x14ac:dyDescent="0.25">
      <c r="A277" s="30" t="s">
        <v>20</v>
      </c>
      <c r="B277" s="30" t="s">
        <v>84</v>
      </c>
      <c r="C277" s="30" t="s">
        <v>97</v>
      </c>
      <c r="D277" s="30" t="s">
        <v>100</v>
      </c>
      <c r="E277" s="30" t="str">
        <f>'CUOTA LTP'!C182</f>
        <v>JORGE COFRE TOLEDO</v>
      </c>
      <c r="F277" s="30" t="s">
        <v>89</v>
      </c>
      <c r="G277" s="30" t="s">
        <v>90</v>
      </c>
      <c r="H277" s="29">
        <f>'CUOTA LTP'!E183</f>
        <v>0</v>
      </c>
      <c r="I277" s="29">
        <f>'CUOTA LTP'!F183</f>
        <v>0</v>
      </c>
      <c r="J277" s="29">
        <f>'CUOTA LTP'!G183</f>
        <v>1.0805400000000001</v>
      </c>
      <c r="K277" s="29">
        <f>'CUOTA LTP'!H183</f>
        <v>0</v>
      </c>
      <c r="L277" s="29">
        <f>'CUOTA LTP'!I183</f>
        <v>1.0805400000000001</v>
      </c>
      <c r="M277" s="38">
        <f>'CUOTA LTP'!J183</f>
        <v>0</v>
      </c>
      <c r="N277" s="36" t="s">
        <v>91</v>
      </c>
      <c r="O277" s="36">
        <f>'RESUMEN '!$B$3</f>
        <v>44561</v>
      </c>
      <c r="P277" s="39">
        <v>2021</v>
      </c>
      <c r="Q277" s="30"/>
    </row>
    <row r="278" spans="1:17" s="37" customFormat="1" x14ac:dyDescent="0.25">
      <c r="A278" s="30" t="s">
        <v>20</v>
      </c>
      <c r="B278" s="30" t="s">
        <v>84</v>
      </c>
      <c r="C278" s="30" t="s">
        <v>97</v>
      </c>
      <c r="D278" s="30" t="s">
        <v>100</v>
      </c>
      <c r="E278" s="30" t="str">
        <f>'CUOTA LTP'!C182</f>
        <v>JORGE COFRE TOLEDO</v>
      </c>
      <c r="F278" s="30" t="s">
        <v>87</v>
      </c>
      <c r="G278" s="30" t="s">
        <v>90</v>
      </c>
      <c r="H278" s="29">
        <f>'CUOTA LTP'!K182</f>
        <v>0</v>
      </c>
      <c r="I278" s="29">
        <f>'CUOTA LTP'!L182</f>
        <v>1.0805400000000001</v>
      </c>
      <c r="J278" s="29">
        <f>'CUOTA LTP'!M182</f>
        <v>1.0805400000000001</v>
      </c>
      <c r="K278" s="29">
        <f>'CUOTA LTP'!N182</f>
        <v>0</v>
      </c>
      <c r="L278" s="29">
        <f>'CUOTA LTP'!O182</f>
        <v>1.0805400000000001</v>
      </c>
      <c r="M278" s="38">
        <f>'CUOTA LTP'!P182</f>
        <v>0</v>
      </c>
      <c r="N278" s="36" t="s">
        <v>91</v>
      </c>
      <c r="O278" s="36">
        <f>'RESUMEN '!$B$3</f>
        <v>44561</v>
      </c>
      <c r="P278" s="39">
        <v>2021</v>
      </c>
      <c r="Q278" s="30"/>
    </row>
    <row r="279" spans="1:17" x14ac:dyDescent="0.25">
      <c r="A279" s="31" t="s">
        <v>20</v>
      </c>
      <c r="B279" s="31" t="s">
        <v>84</v>
      </c>
      <c r="C279" s="31" t="s">
        <v>97</v>
      </c>
      <c r="D279" s="31" t="s">
        <v>100</v>
      </c>
      <c r="E279" s="31" t="str">
        <f>'CUOTA LTP'!C188</f>
        <v>PESQUERA CMK LIMITADA</v>
      </c>
      <c r="F279" s="31" t="s">
        <v>87</v>
      </c>
      <c r="G279" s="31" t="s">
        <v>88</v>
      </c>
      <c r="H279" s="28">
        <f>'CUOTA LTP'!E188</f>
        <v>0</v>
      </c>
      <c r="I279" s="28">
        <f>'CUOTA LTP'!F188</f>
        <v>0.93959999999999999</v>
      </c>
      <c r="J279" s="28">
        <f>'CUOTA LTP'!G188</f>
        <v>0.93959999999999999</v>
      </c>
      <c r="K279" s="28">
        <f>'CUOTA LTP'!H188</f>
        <v>0</v>
      </c>
      <c r="L279" s="28">
        <f>'CUOTA LTP'!I188</f>
        <v>0.93959999999999999</v>
      </c>
      <c r="M279" s="33">
        <f>'CUOTA LTP'!J188</f>
        <v>0</v>
      </c>
      <c r="N279" s="10" t="s">
        <v>91</v>
      </c>
      <c r="O279" s="10">
        <f>'RESUMEN '!$B$3</f>
        <v>44561</v>
      </c>
      <c r="P279" s="39">
        <v>2021</v>
      </c>
      <c r="Q279" s="31"/>
    </row>
    <row r="280" spans="1:17" x14ac:dyDescent="0.25">
      <c r="A280" s="31" t="s">
        <v>20</v>
      </c>
      <c r="B280" s="31" t="s">
        <v>84</v>
      </c>
      <c r="C280" s="31" t="s">
        <v>97</v>
      </c>
      <c r="D280" s="31" t="s">
        <v>100</v>
      </c>
      <c r="E280" s="31" t="str">
        <f>'CUOTA LTP'!C188</f>
        <v>PESQUERA CMK LIMITADA</v>
      </c>
      <c r="F280" s="31" t="s">
        <v>89</v>
      </c>
      <c r="G280" s="31" t="s">
        <v>90</v>
      </c>
      <c r="H280" s="28">
        <f>'CUOTA LTP'!E189</f>
        <v>0</v>
      </c>
      <c r="I280" s="28">
        <f>'CUOTA LTP'!F189</f>
        <v>0</v>
      </c>
      <c r="J280" s="28">
        <f>'CUOTA LTP'!G189</f>
        <v>0.93959999999999999</v>
      </c>
      <c r="K280" s="28">
        <f>'CUOTA LTP'!H189</f>
        <v>0</v>
      </c>
      <c r="L280" s="28">
        <f>'CUOTA LTP'!I189</f>
        <v>0.93959999999999999</v>
      </c>
      <c r="M280" s="33">
        <f>'CUOTA LTP'!J189</f>
        <v>0</v>
      </c>
      <c r="N280" s="10" t="s">
        <v>91</v>
      </c>
      <c r="O280" s="10">
        <f>'RESUMEN '!$B$3</f>
        <v>44561</v>
      </c>
      <c r="P280" s="39">
        <v>2021</v>
      </c>
      <c r="Q280" s="31"/>
    </row>
    <row r="281" spans="1:17" x14ac:dyDescent="0.25">
      <c r="A281" s="31" t="s">
        <v>20</v>
      </c>
      <c r="B281" s="31" t="s">
        <v>84</v>
      </c>
      <c r="C281" s="31" t="s">
        <v>97</v>
      </c>
      <c r="D281" s="31" t="s">
        <v>100</v>
      </c>
      <c r="E281" s="31" t="str">
        <f>'CUOTA LTP'!C188</f>
        <v>PESQUERA CMK LIMITADA</v>
      </c>
      <c r="F281" s="31" t="s">
        <v>87</v>
      </c>
      <c r="G281" s="31" t="s">
        <v>90</v>
      </c>
      <c r="H281" s="28">
        <f>'CUOTA LTP'!K188</f>
        <v>0</v>
      </c>
      <c r="I281" s="28">
        <f>'CUOTA LTP'!L188</f>
        <v>0.93959999999999999</v>
      </c>
      <c r="J281" s="28">
        <f>'CUOTA LTP'!M188</f>
        <v>0.93959999999999999</v>
      </c>
      <c r="K281" s="28">
        <f>'CUOTA LTP'!N188</f>
        <v>0</v>
      </c>
      <c r="L281" s="28">
        <f>'CUOTA LTP'!O188</f>
        <v>0.93959999999999999</v>
      </c>
      <c r="M281" s="33">
        <f>'CUOTA LTP'!P188</f>
        <v>0</v>
      </c>
      <c r="N281" s="10" t="s">
        <v>91</v>
      </c>
      <c r="O281" s="10">
        <f>'RESUMEN '!$B$3</f>
        <v>44561</v>
      </c>
      <c r="P281" s="39">
        <v>2021</v>
      </c>
      <c r="Q281" s="31"/>
    </row>
    <row r="282" spans="1:17" x14ac:dyDescent="0.25">
      <c r="A282" s="3" t="s">
        <v>20</v>
      </c>
      <c r="B282" s="3" t="s">
        <v>84</v>
      </c>
      <c r="C282" s="3" t="s">
        <v>98</v>
      </c>
      <c r="D282" s="3" t="s">
        <v>100</v>
      </c>
      <c r="E282" s="3" t="str">
        <f>'CUOTA LTP'!C190</f>
        <v>ANTARTIC SEAFOOD S.A.</v>
      </c>
      <c r="F282" s="14" t="s">
        <v>87</v>
      </c>
      <c r="G282" s="14" t="s">
        <v>88</v>
      </c>
      <c r="H282" s="2">
        <f>'CUOTA LTP'!E190</f>
        <v>93.561859999999996</v>
      </c>
      <c r="I282" s="2">
        <f>'CUOTA LTP'!F190</f>
        <v>0</v>
      </c>
      <c r="J282" s="2">
        <f>'CUOTA LTP'!G190</f>
        <v>93.561859999999996</v>
      </c>
      <c r="K282" s="2">
        <f>'CUOTA LTP'!H190</f>
        <v>0</v>
      </c>
      <c r="L282" s="2">
        <f>'CUOTA LTP'!I190</f>
        <v>93.561859999999996</v>
      </c>
      <c r="M282" s="33">
        <f>'CUOTA LTP'!J190</f>
        <v>0</v>
      </c>
      <c r="N282" s="10" t="s">
        <v>91</v>
      </c>
      <c r="O282" s="10">
        <f>'RESUMEN '!$B$3</f>
        <v>44561</v>
      </c>
      <c r="P282" s="39">
        <v>2021</v>
      </c>
      <c r="Q282" s="3"/>
    </row>
    <row r="283" spans="1:17" x14ac:dyDescent="0.25">
      <c r="A283" s="3" t="s">
        <v>20</v>
      </c>
      <c r="B283" s="3" t="s">
        <v>84</v>
      </c>
      <c r="C283" s="3" t="s">
        <v>98</v>
      </c>
      <c r="D283" s="3" t="s">
        <v>100</v>
      </c>
      <c r="E283" s="3" t="str">
        <f>'CUOTA LTP'!C190</f>
        <v>ANTARTIC SEAFOOD S.A.</v>
      </c>
      <c r="F283" s="14" t="s">
        <v>89</v>
      </c>
      <c r="G283" s="14" t="s">
        <v>90</v>
      </c>
      <c r="H283" s="2">
        <f>'CUOTA LTP'!E191</f>
        <v>10.359219999999999</v>
      </c>
      <c r="I283" s="2">
        <f>'CUOTA LTP'!F191</f>
        <v>0</v>
      </c>
      <c r="J283" s="2">
        <f>'CUOTA LTP'!G191</f>
        <v>103.92107999999999</v>
      </c>
      <c r="K283" s="2">
        <f>'CUOTA LTP'!H191</f>
        <v>0</v>
      </c>
      <c r="L283" s="2">
        <f>'CUOTA LTP'!I191</f>
        <v>103.92107999999999</v>
      </c>
      <c r="M283" s="33">
        <f>'CUOTA LTP'!J191</f>
        <v>0</v>
      </c>
      <c r="N283" s="10" t="s">
        <v>91</v>
      </c>
      <c r="O283" s="10">
        <f>'RESUMEN '!$B$3</f>
        <v>44561</v>
      </c>
      <c r="P283" s="39">
        <v>2021</v>
      </c>
      <c r="Q283" s="3"/>
    </row>
    <row r="284" spans="1:17" x14ac:dyDescent="0.25">
      <c r="A284" s="3" t="s">
        <v>20</v>
      </c>
      <c r="B284" s="3" t="s">
        <v>84</v>
      </c>
      <c r="C284" s="3" t="s">
        <v>98</v>
      </c>
      <c r="D284" s="3" t="s">
        <v>100</v>
      </c>
      <c r="E284" s="3" t="str">
        <f>'CUOTA LTP'!C190</f>
        <v>ANTARTIC SEAFOOD S.A.</v>
      </c>
      <c r="F284" s="14" t="s">
        <v>87</v>
      </c>
      <c r="G284" s="14" t="s">
        <v>90</v>
      </c>
      <c r="H284" s="2">
        <f>'CUOTA LTP'!K190</f>
        <v>103.92107999999999</v>
      </c>
      <c r="I284" s="2">
        <f>'CUOTA LTP'!L190</f>
        <v>0</v>
      </c>
      <c r="J284" s="2">
        <f>'CUOTA LTP'!M190</f>
        <v>103.92107999999999</v>
      </c>
      <c r="K284" s="2">
        <f>'CUOTA LTP'!N190</f>
        <v>0</v>
      </c>
      <c r="L284" s="2">
        <f>'CUOTA LTP'!O190</f>
        <v>103.92107999999999</v>
      </c>
      <c r="M284" s="33">
        <f>'CUOTA LTP'!P190</f>
        <v>0</v>
      </c>
      <c r="N284" s="10" t="s">
        <v>91</v>
      </c>
      <c r="O284" s="10">
        <f>'RESUMEN '!$B$3</f>
        <v>44561</v>
      </c>
      <c r="P284" s="39">
        <v>2021</v>
      </c>
      <c r="Q284" s="3"/>
    </row>
    <row r="285" spans="1:17" x14ac:dyDescent="0.25">
      <c r="A285" s="3" t="s">
        <v>20</v>
      </c>
      <c r="B285" s="3" t="s">
        <v>84</v>
      </c>
      <c r="C285" s="3" t="s">
        <v>98</v>
      </c>
      <c r="D285" s="3" t="s">
        <v>100</v>
      </c>
      <c r="E285" s="3" t="str">
        <f>'CUOTA LTP'!C192</f>
        <v>QUINTERO S.A. PESQ.</v>
      </c>
      <c r="F285" s="14" t="s">
        <v>87</v>
      </c>
      <c r="G285" s="14" t="s">
        <v>88</v>
      </c>
      <c r="H285" s="2">
        <f>'CUOTA LTP'!E192</f>
        <v>175.27884999999998</v>
      </c>
      <c r="I285" s="2">
        <f>'CUOTA LTP'!F192</f>
        <v>-11.211869599999998</v>
      </c>
      <c r="J285" s="2">
        <f>'CUOTA LTP'!G192</f>
        <v>164.06698039999998</v>
      </c>
      <c r="K285" s="2">
        <f>'CUOTA LTP'!H192</f>
        <v>0</v>
      </c>
      <c r="L285" s="2">
        <f>'CUOTA LTP'!I192</f>
        <v>164.06698039999998</v>
      </c>
      <c r="M285" s="33">
        <f>'CUOTA LTP'!J192</f>
        <v>0</v>
      </c>
      <c r="N285" s="10" t="s">
        <v>91</v>
      </c>
      <c r="O285" s="10">
        <f>'RESUMEN '!$B$3</f>
        <v>44561</v>
      </c>
      <c r="P285" s="39">
        <v>2021</v>
      </c>
      <c r="Q285" s="3"/>
    </row>
    <row r="286" spans="1:17" x14ac:dyDescent="0.25">
      <c r="A286" s="3" t="s">
        <v>20</v>
      </c>
      <c r="B286" s="3" t="s">
        <v>84</v>
      </c>
      <c r="C286" s="3" t="s">
        <v>98</v>
      </c>
      <c r="D286" s="3" t="s">
        <v>100</v>
      </c>
      <c r="E286" s="3" t="str">
        <f>'CUOTA LTP'!C192</f>
        <v>QUINTERO S.A. PESQ.</v>
      </c>
      <c r="F286" s="14" t="s">
        <v>89</v>
      </c>
      <c r="G286" s="14" t="s">
        <v>90</v>
      </c>
      <c r="H286" s="2">
        <f>'CUOTA LTP'!E193</f>
        <v>19.40701</v>
      </c>
      <c r="I286" s="2">
        <f>'CUOTA LTP'!F193</f>
        <v>0</v>
      </c>
      <c r="J286" s="2">
        <f>'CUOTA LTP'!G193</f>
        <v>183.47399039999999</v>
      </c>
      <c r="K286" s="2">
        <f>'CUOTA LTP'!H193</f>
        <v>0</v>
      </c>
      <c r="L286" s="2">
        <f>'CUOTA LTP'!I193</f>
        <v>183.47399039999999</v>
      </c>
      <c r="M286" s="33">
        <f>'CUOTA LTP'!J193</f>
        <v>0</v>
      </c>
      <c r="N286" s="10" t="s">
        <v>91</v>
      </c>
      <c r="O286" s="10">
        <f>'RESUMEN '!$B$3</f>
        <v>44561</v>
      </c>
      <c r="P286" s="39">
        <v>2021</v>
      </c>
      <c r="Q286" s="3"/>
    </row>
    <row r="287" spans="1:17" x14ac:dyDescent="0.25">
      <c r="A287" s="3" t="s">
        <v>20</v>
      </c>
      <c r="B287" s="3" t="s">
        <v>84</v>
      </c>
      <c r="C287" s="3" t="s">
        <v>98</v>
      </c>
      <c r="D287" s="3" t="s">
        <v>100</v>
      </c>
      <c r="E287" s="3" t="str">
        <f>'CUOTA LTP'!C192</f>
        <v>QUINTERO S.A. PESQ.</v>
      </c>
      <c r="F287" s="14" t="s">
        <v>87</v>
      </c>
      <c r="G287" s="14" t="s">
        <v>90</v>
      </c>
      <c r="H287" s="2">
        <f>'CUOTA LTP'!K192</f>
        <v>194.68585999999999</v>
      </c>
      <c r="I287" s="2">
        <f>'CUOTA LTP'!L192</f>
        <v>-11.211869599999998</v>
      </c>
      <c r="J287" s="2">
        <f>'CUOTA LTP'!M192</f>
        <v>183.47399039999999</v>
      </c>
      <c r="K287" s="2">
        <f>'CUOTA LTP'!N192</f>
        <v>0</v>
      </c>
      <c r="L287" s="2">
        <f>'CUOTA LTP'!O192</f>
        <v>183.47399039999999</v>
      </c>
      <c r="M287" s="33">
        <f>'CUOTA LTP'!P192</f>
        <v>0</v>
      </c>
      <c r="N287" s="10" t="s">
        <v>91</v>
      </c>
      <c r="O287" s="10">
        <f>'RESUMEN '!$B$3</f>
        <v>44561</v>
      </c>
      <c r="P287" s="39">
        <v>2021</v>
      </c>
      <c r="Q287" s="3"/>
    </row>
    <row r="288" spans="1:17" x14ac:dyDescent="0.25">
      <c r="A288" s="3" t="s">
        <v>20</v>
      </c>
      <c r="B288" s="3" t="s">
        <v>84</v>
      </c>
      <c r="C288" s="3" t="s">
        <v>98</v>
      </c>
      <c r="D288" s="3" t="s">
        <v>100</v>
      </c>
      <c r="E288" s="3" t="str">
        <f>'CUOTA LTP'!C194</f>
        <v>BAYCIC BAYCIC MARIA</v>
      </c>
      <c r="F288" s="14" t="s">
        <v>87</v>
      </c>
      <c r="G288" s="14" t="s">
        <v>88</v>
      </c>
      <c r="H288" s="2">
        <f>'CUOTA LTP'!E194</f>
        <v>1.7069999999999998E-2</v>
      </c>
      <c r="I288" s="2">
        <f>'CUOTA LTP'!F194</f>
        <v>0</v>
      </c>
      <c r="J288" s="2">
        <f>'CUOTA LTP'!G194</f>
        <v>1.7069999999999998E-2</v>
      </c>
      <c r="K288" s="2">
        <f>'CUOTA LTP'!H194</f>
        <v>0</v>
      </c>
      <c r="L288" s="2">
        <f>'CUOTA LTP'!I194</f>
        <v>1.7069999999999998E-2</v>
      </c>
      <c r="M288" s="33">
        <f>'CUOTA LTP'!J194</f>
        <v>0</v>
      </c>
      <c r="N288" s="10" t="s">
        <v>91</v>
      </c>
      <c r="O288" s="10">
        <f>'RESUMEN '!$B$3</f>
        <v>44561</v>
      </c>
      <c r="P288" s="39">
        <v>2021</v>
      </c>
      <c r="Q288" s="3"/>
    </row>
    <row r="289" spans="1:17" x14ac:dyDescent="0.25">
      <c r="A289" s="3" t="s">
        <v>20</v>
      </c>
      <c r="B289" s="3" t="s">
        <v>84</v>
      </c>
      <c r="C289" s="3" t="s">
        <v>98</v>
      </c>
      <c r="D289" s="3" t="s">
        <v>100</v>
      </c>
      <c r="E289" s="3" t="str">
        <f>'CUOTA LTP'!C194</f>
        <v>BAYCIC BAYCIC MARIA</v>
      </c>
      <c r="F289" s="14" t="s">
        <v>89</v>
      </c>
      <c r="G289" s="14" t="s">
        <v>90</v>
      </c>
      <c r="H289" s="2">
        <f>'CUOTA LTP'!E195</f>
        <v>1.89E-3</v>
      </c>
      <c r="I289" s="2">
        <f>'CUOTA LTP'!F195</f>
        <v>0</v>
      </c>
      <c r="J289" s="2">
        <f>'CUOTA LTP'!G195</f>
        <v>1.8959999999999998E-2</v>
      </c>
      <c r="K289" s="2">
        <f>'CUOTA LTP'!H195</f>
        <v>0</v>
      </c>
      <c r="L289" s="2">
        <f>'CUOTA LTP'!I195</f>
        <v>1.8959999999999998E-2</v>
      </c>
      <c r="M289" s="33">
        <f>'CUOTA LTP'!J195</f>
        <v>0</v>
      </c>
      <c r="N289" s="10" t="s">
        <v>91</v>
      </c>
      <c r="O289" s="10">
        <f>'RESUMEN '!$B$3</f>
        <v>44561</v>
      </c>
      <c r="P289" s="39">
        <v>2021</v>
      </c>
      <c r="Q289" s="3"/>
    </row>
    <row r="290" spans="1:17" x14ac:dyDescent="0.25">
      <c r="A290" s="3" t="s">
        <v>20</v>
      </c>
      <c r="B290" s="3" t="s">
        <v>84</v>
      </c>
      <c r="C290" s="3" t="s">
        <v>98</v>
      </c>
      <c r="D290" s="3" t="s">
        <v>100</v>
      </c>
      <c r="E290" s="3" t="str">
        <f>'CUOTA LTP'!C194</f>
        <v>BAYCIC BAYCIC MARIA</v>
      </c>
      <c r="F290" s="14" t="s">
        <v>87</v>
      </c>
      <c r="G290" s="14" t="s">
        <v>90</v>
      </c>
      <c r="H290" s="2">
        <f>'CUOTA LTP'!K194</f>
        <v>1.8959999999999998E-2</v>
      </c>
      <c r="I290" s="2">
        <f>'CUOTA LTP'!L194</f>
        <v>0</v>
      </c>
      <c r="J290" s="2">
        <f>'CUOTA LTP'!M194</f>
        <v>1.8959999999999998E-2</v>
      </c>
      <c r="K290" s="2">
        <f>'CUOTA LTP'!N194</f>
        <v>0</v>
      </c>
      <c r="L290" s="2">
        <f>'CUOTA LTP'!O194</f>
        <v>1.8959999999999998E-2</v>
      </c>
      <c r="M290" s="33">
        <f>'CUOTA LTP'!P194</f>
        <v>0</v>
      </c>
      <c r="N290" s="10" t="s">
        <v>91</v>
      </c>
      <c r="O290" s="10">
        <f>'RESUMEN '!$B$3</f>
        <v>44561</v>
      </c>
      <c r="P290" s="39">
        <v>2021</v>
      </c>
      <c r="Q290" s="3"/>
    </row>
    <row r="291" spans="1:17" x14ac:dyDescent="0.25">
      <c r="A291" s="3" t="s">
        <v>20</v>
      </c>
      <c r="B291" s="3" t="s">
        <v>84</v>
      </c>
      <c r="C291" s="3" t="s">
        <v>98</v>
      </c>
      <c r="D291" s="3" t="s">
        <v>100</v>
      </c>
      <c r="E291" s="3" t="str">
        <f>'CUOTA LTP'!C196</f>
        <v>BRACPESCA S.A.</v>
      </c>
      <c r="F291" s="14" t="s">
        <v>87</v>
      </c>
      <c r="G291" s="14" t="s">
        <v>88</v>
      </c>
      <c r="H291" s="2">
        <f>'CUOTA LTP'!E196</f>
        <v>91.952380000000005</v>
      </c>
      <c r="I291" s="2">
        <f>'CUOTA LTP'!F196</f>
        <v>10.976639200000001</v>
      </c>
      <c r="J291" s="2">
        <f>'CUOTA LTP'!G196</f>
        <v>102.9290192</v>
      </c>
      <c r="K291" s="2">
        <f>'CUOTA LTP'!H196</f>
        <v>20.951000000000001</v>
      </c>
      <c r="L291" s="2">
        <f>'CUOTA LTP'!I196</f>
        <v>81.978019200000006</v>
      </c>
      <c r="M291" s="33">
        <f>'CUOTA LTP'!J196</f>
        <v>0.20354803886055101</v>
      </c>
      <c r="N291" s="10" t="s">
        <v>91</v>
      </c>
      <c r="O291" s="10">
        <f>'RESUMEN '!$B$3</f>
        <v>44561</v>
      </c>
      <c r="P291" s="39">
        <v>2021</v>
      </c>
      <c r="Q291" s="3"/>
    </row>
    <row r="292" spans="1:17" x14ac:dyDescent="0.25">
      <c r="A292" s="3" t="s">
        <v>20</v>
      </c>
      <c r="B292" s="3" t="s">
        <v>84</v>
      </c>
      <c r="C292" s="3" t="s">
        <v>98</v>
      </c>
      <c r="D292" s="3" t="s">
        <v>100</v>
      </c>
      <c r="E292" s="3" t="str">
        <f>'CUOTA LTP'!C196</f>
        <v>BRACPESCA S.A.</v>
      </c>
      <c r="F292" s="14" t="s">
        <v>89</v>
      </c>
      <c r="G292" s="14" t="s">
        <v>90</v>
      </c>
      <c r="H292" s="2">
        <f>'CUOTA LTP'!E197</f>
        <v>10.18106</v>
      </c>
      <c r="I292" s="2">
        <f>'CUOTA LTP'!F197</f>
        <v>0</v>
      </c>
      <c r="J292" s="2">
        <f>'CUOTA LTP'!G197</f>
        <v>92.159079200000008</v>
      </c>
      <c r="K292" s="2">
        <f>'CUOTA LTP'!H197</f>
        <v>0</v>
      </c>
      <c r="L292" s="2">
        <f>'CUOTA LTP'!I197</f>
        <v>92.159079200000008</v>
      </c>
      <c r="M292" s="33">
        <f>'CUOTA LTP'!J197</f>
        <v>0</v>
      </c>
      <c r="N292" s="10" t="s">
        <v>91</v>
      </c>
      <c r="O292" s="10">
        <f>'RESUMEN '!$B$3</f>
        <v>44561</v>
      </c>
      <c r="P292" s="39">
        <v>2021</v>
      </c>
      <c r="Q292" s="3"/>
    </row>
    <row r="293" spans="1:17" x14ac:dyDescent="0.25">
      <c r="A293" s="3" t="s">
        <v>20</v>
      </c>
      <c r="B293" s="3" t="s">
        <v>84</v>
      </c>
      <c r="C293" s="3" t="s">
        <v>98</v>
      </c>
      <c r="D293" s="3" t="s">
        <v>100</v>
      </c>
      <c r="E293" s="3" t="str">
        <f>'CUOTA LTP'!C196</f>
        <v>BRACPESCA S.A.</v>
      </c>
      <c r="F293" s="14" t="s">
        <v>87</v>
      </c>
      <c r="G293" s="14" t="s">
        <v>90</v>
      </c>
      <c r="H293" s="2">
        <f>'CUOTA LTP'!K196</f>
        <v>102.13344000000001</v>
      </c>
      <c r="I293" s="2">
        <f>'CUOTA LTP'!L196</f>
        <v>10.976639200000001</v>
      </c>
      <c r="J293" s="2">
        <f>'CUOTA LTP'!M196</f>
        <v>113.1100792</v>
      </c>
      <c r="K293" s="2">
        <f>'CUOTA LTP'!N196</f>
        <v>20.951000000000001</v>
      </c>
      <c r="L293" s="2">
        <f>'CUOTA LTP'!O196</f>
        <v>92.159079200000008</v>
      </c>
      <c r="M293" s="33">
        <f>'CUOTA LTP'!P196</f>
        <v>0.18522664070418227</v>
      </c>
      <c r="N293" s="10" t="s">
        <v>91</v>
      </c>
      <c r="O293" s="10">
        <f>'RESUMEN '!$B$3</f>
        <v>44561</v>
      </c>
      <c r="P293" s="39">
        <v>2021</v>
      </c>
      <c r="Q293" s="3"/>
    </row>
    <row r="294" spans="1:17" x14ac:dyDescent="0.25">
      <c r="A294" s="3" t="s">
        <v>20</v>
      </c>
      <c r="B294" s="3" t="s">
        <v>84</v>
      </c>
      <c r="C294" s="3" t="s">
        <v>98</v>
      </c>
      <c r="D294" s="3" t="s">
        <v>100</v>
      </c>
      <c r="E294" s="3" t="str">
        <f>'CUOTA LTP'!C198</f>
        <v>CAMANCHACA PESCA SUR S.A.</v>
      </c>
      <c r="F294" s="14" t="s">
        <v>87</v>
      </c>
      <c r="G294" s="14" t="s">
        <v>88</v>
      </c>
      <c r="H294" s="2">
        <f>'CUOTA LTP'!E198</f>
        <v>2.9911200000000004</v>
      </c>
      <c r="I294" s="2">
        <f>'CUOTA LTP'!F198</f>
        <v>-0.28188000000000002</v>
      </c>
      <c r="J294" s="2">
        <f>'CUOTA LTP'!G198</f>
        <v>2.7092400000000003</v>
      </c>
      <c r="K294" s="2">
        <f>'CUOTA LTP'!H198</f>
        <v>2.069</v>
      </c>
      <c r="L294" s="2">
        <f>'CUOTA LTP'!I198</f>
        <v>0.64024000000000036</v>
      </c>
      <c r="M294" s="33">
        <f>'CUOTA LTP'!J198</f>
        <v>0.76368280403360345</v>
      </c>
      <c r="N294" s="10" t="s">
        <v>91</v>
      </c>
      <c r="O294" s="10">
        <f>'RESUMEN '!$B$3</f>
        <v>44561</v>
      </c>
      <c r="P294" s="39">
        <v>2021</v>
      </c>
      <c r="Q294" s="3"/>
    </row>
    <row r="295" spans="1:17" x14ac:dyDescent="0.25">
      <c r="A295" s="3" t="s">
        <v>20</v>
      </c>
      <c r="B295" s="3" t="s">
        <v>84</v>
      </c>
      <c r="C295" s="3" t="s">
        <v>98</v>
      </c>
      <c r="D295" s="3" t="s">
        <v>100</v>
      </c>
      <c r="E295" s="3" t="str">
        <f>'CUOTA LTP'!C198</f>
        <v>CAMANCHACA PESCA SUR S.A.</v>
      </c>
      <c r="F295" s="14" t="s">
        <v>89</v>
      </c>
      <c r="G295" s="14" t="s">
        <v>90</v>
      </c>
      <c r="H295" s="2">
        <f>'CUOTA LTP'!E199</f>
        <v>0.33117999999999997</v>
      </c>
      <c r="I295" s="2">
        <f>'CUOTA LTP'!F199</f>
        <v>0</v>
      </c>
      <c r="J295" s="2">
        <f>'CUOTA LTP'!G199</f>
        <v>0.97142000000000039</v>
      </c>
      <c r="K295" s="2">
        <f>'CUOTA LTP'!H199</f>
        <v>0.2</v>
      </c>
      <c r="L295" s="2">
        <f>'CUOTA LTP'!I199</f>
        <v>0.77142000000000044</v>
      </c>
      <c r="M295" s="33">
        <f>'CUOTA LTP'!J199</f>
        <v>0.20588416956620198</v>
      </c>
      <c r="N295" s="10" t="s">
        <v>91</v>
      </c>
      <c r="O295" s="10">
        <f>'RESUMEN '!$B$3</f>
        <v>44561</v>
      </c>
      <c r="P295" s="39">
        <v>2021</v>
      </c>
      <c r="Q295" s="3"/>
    </row>
    <row r="296" spans="1:17" x14ac:dyDescent="0.25">
      <c r="A296" s="3" t="s">
        <v>20</v>
      </c>
      <c r="B296" s="3" t="s">
        <v>84</v>
      </c>
      <c r="C296" s="3" t="s">
        <v>98</v>
      </c>
      <c r="D296" s="3" t="s">
        <v>100</v>
      </c>
      <c r="E296" s="3" t="str">
        <f>'CUOTA LTP'!C198</f>
        <v>CAMANCHACA PESCA SUR S.A.</v>
      </c>
      <c r="F296" s="14" t="s">
        <v>87</v>
      </c>
      <c r="G296" s="14" t="s">
        <v>90</v>
      </c>
      <c r="H296" s="2">
        <f>'CUOTA LTP'!K198</f>
        <v>3.3223000000000003</v>
      </c>
      <c r="I296" s="2">
        <f>'CUOTA LTP'!L198</f>
        <v>-0.28188000000000002</v>
      </c>
      <c r="J296" s="2">
        <f>'CUOTA LTP'!M198</f>
        <v>3.0404200000000001</v>
      </c>
      <c r="K296" s="2">
        <f>'CUOTA LTP'!N198</f>
        <v>2.2690000000000001</v>
      </c>
      <c r="L296" s="2">
        <f>'CUOTA LTP'!O198</f>
        <v>0.77141999999999999</v>
      </c>
      <c r="M296" s="33">
        <f>'CUOTA LTP'!P198</f>
        <v>0.74627847468441866</v>
      </c>
      <c r="N296" s="10" t="s">
        <v>91</v>
      </c>
      <c r="O296" s="10">
        <f>'RESUMEN '!$B$3</f>
        <v>44561</v>
      </c>
      <c r="P296" s="39">
        <v>2021</v>
      </c>
      <c r="Q296" s="3"/>
    </row>
    <row r="297" spans="1:17" x14ac:dyDescent="0.25">
      <c r="A297" s="3" t="s">
        <v>20</v>
      </c>
      <c r="B297" s="3" t="s">
        <v>84</v>
      </c>
      <c r="C297" s="3" t="s">
        <v>98</v>
      </c>
      <c r="D297" s="3" t="s">
        <v>100</v>
      </c>
      <c r="E297" s="3" t="str">
        <f>'CUOTA LTP'!C200</f>
        <v>ANTONIO CRUZ CORDOVA NAKOUZI E.I.R.L.</v>
      </c>
      <c r="F297" s="14" t="s">
        <v>87</v>
      </c>
      <c r="G297" s="14" t="s">
        <v>88</v>
      </c>
      <c r="H297" s="2">
        <f>'CUOTA LTP'!E200</f>
        <v>2.6703199999999998</v>
      </c>
      <c r="I297" s="2">
        <f>'CUOTA LTP'!F200</f>
        <v>0</v>
      </c>
      <c r="J297" s="2">
        <f>'CUOTA LTP'!G200</f>
        <v>2.6703199999999998</v>
      </c>
      <c r="K297" s="2">
        <f>'CUOTA LTP'!H200</f>
        <v>0</v>
      </c>
      <c r="L297" s="2">
        <f>'CUOTA LTP'!I200</f>
        <v>2.6703199999999998</v>
      </c>
      <c r="M297" s="33">
        <f>'CUOTA LTP'!J200</f>
        <v>0</v>
      </c>
      <c r="N297" s="10" t="s">
        <v>91</v>
      </c>
      <c r="O297" s="10">
        <f>'RESUMEN '!$B$3</f>
        <v>44561</v>
      </c>
      <c r="P297" s="39">
        <v>2021</v>
      </c>
      <c r="Q297" s="3"/>
    </row>
    <row r="298" spans="1:17" x14ac:dyDescent="0.25">
      <c r="A298" s="3" t="s">
        <v>20</v>
      </c>
      <c r="B298" s="3" t="s">
        <v>84</v>
      </c>
      <c r="C298" s="3" t="s">
        <v>98</v>
      </c>
      <c r="D298" s="3" t="s">
        <v>100</v>
      </c>
      <c r="E298" s="3" t="str">
        <f>'CUOTA LTP'!C200</f>
        <v>ANTONIO CRUZ CORDOVA NAKOUZI E.I.R.L.</v>
      </c>
      <c r="F298" s="14" t="s">
        <v>89</v>
      </c>
      <c r="G298" s="14" t="s">
        <v>90</v>
      </c>
      <c r="H298" s="2">
        <f>'CUOTA LTP'!E201</f>
        <v>0.29565999999999998</v>
      </c>
      <c r="I298" s="2">
        <f>'CUOTA LTP'!F201</f>
        <v>0</v>
      </c>
      <c r="J298" s="2">
        <f>'CUOTA LTP'!G201</f>
        <v>2.9659799999999996</v>
      </c>
      <c r="K298" s="2">
        <f>'CUOTA LTP'!H201</f>
        <v>0</v>
      </c>
      <c r="L298" s="2">
        <f>'CUOTA LTP'!I201</f>
        <v>2.9659799999999996</v>
      </c>
      <c r="M298" s="33">
        <f>'CUOTA LTP'!J201</f>
        <v>0</v>
      </c>
      <c r="N298" s="10" t="s">
        <v>91</v>
      </c>
      <c r="O298" s="10">
        <f>'RESUMEN '!$B$3</f>
        <v>44561</v>
      </c>
      <c r="P298" s="39">
        <v>2021</v>
      </c>
      <c r="Q298" s="3"/>
    </row>
    <row r="299" spans="1:17" x14ac:dyDescent="0.25">
      <c r="A299" s="3" t="s">
        <v>20</v>
      </c>
      <c r="B299" s="3" t="s">
        <v>84</v>
      </c>
      <c r="C299" s="3" t="s">
        <v>98</v>
      </c>
      <c r="D299" s="3" t="s">
        <v>100</v>
      </c>
      <c r="E299" s="3" t="str">
        <f>'CUOTA LTP'!C200</f>
        <v>ANTONIO CRUZ CORDOVA NAKOUZI E.I.R.L.</v>
      </c>
      <c r="F299" s="14" t="s">
        <v>87</v>
      </c>
      <c r="G299" s="14" t="s">
        <v>90</v>
      </c>
      <c r="H299" s="2">
        <f>'CUOTA LTP'!K200</f>
        <v>2.9659799999999996</v>
      </c>
      <c r="I299" s="2">
        <f>'CUOTA LTP'!L200</f>
        <v>0</v>
      </c>
      <c r="J299" s="2">
        <f>'CUOTA LTP'!M200</f>
        <v>2.9659799999999996</v>
      </c>
      <c r="K299" s="2">
        <f>'CUOTA LTP'!N200</f>
        <v>0</v>
      </c>
      <c r="L299" s="2">
        <f>'CUOTA LTP'!O200</f>
        <v>2.9659799999999996</v>
      </c>
      <c r="M299" s="33">
        <f>'CUOTA LTP'!P200</f>
        <v>0</v>
      </c>
      <c r="N299" s="10" t="s">
        <v>91</v>
      </c>
      <c r="O299" s="10">
        <f>'RESUMEN '!$B$3</f>
        <v>44561</v>
      </c>
      <c r="P299" s="39">
        <v>2021</v>
      </c>
      <c r="Q299" s="3"/>
    </row>
    <row r="300" spans="1:17" ht="14.25" customHeight="1" x14ac:dyDescent="0.25">
      <c r="A300" s="3" t="s">
        <v>20</v>
      </c>
      <c r="B300" s="3" t="s">
        <v>84</v>
      </c>
      <c r="C300" s="3" t="s">
        <v>98</v>
      </c>
      <c r="D300" s="3" t="s">
        <v>100</v>
      </c>
      <c r="E300" s="3" t="str">
        <f>'CUOTA LTP'!C202</f>
        <v>GRIMAR S.A. PESQ.</v>
      </c>
      <c r="F300" s="14" t="s">
        <v>87</v>
      </c>
      <c r="G300" s="14" t="s">
        <v>88</v>
      </c>
      <c r="H300" s="2">
        <f>'CUOTA LTP'!E202</f>
        <v>1.6153900000000001</v>
      </c>
      <c r="I300" s="2">
        <f>'CUOTA LTP'!F202</f>
        <v>0</v>
      </c>
      <c r="J300" s="2">
        <f>'CUOTA LTP'!G202</f>
        <v>1.6153900000000001</v>
      </c>
      <c r="K300" s="2">
        <f>'CUOTA LTP'!H202</f>
        <v>0</v>
      </c>
      <c r="L300" s="2">
        <f>'CUOTA LTP'!I202</f>
        <v>1.6153900000000001</v>
      </c>
      <c r="M300" s="33">
        <f>'CUOTA LTP'!J202</f>
        <v>0</v>
      </c>
      <c r="N300" s="10" t="s">
        <v>91</v>
      </c>
      <c r="O300" s="10">
        <f>'RESUMEN '!$B$3</f>
        <v>44561</v>
      </c>
      <c r="P300" s="39">
        <v>2021</v>
      </c>
      <c r="Q300" s="3"/>
    </row>
    <row r="301" spans="1:17" x14ac:dyDescent="0.25">
      <c r="A301" s="3" t="s">
        <v>20</v>
      </c>
      <c r="B301" s="3" t="s">
        <v>84</v>
      </c>
      <c r="C301" s="3" t="s">
        <v>98</v>
      </c>
      <c r="D301" s="3" t="s">
        <v>100</v>
      </c>
      <c r="E301" s="3" t="str">
        <f>'CUOTA LTP'!C202</f>
        <v>GRIMAR S.A. PESQ.</v>
      </c>
      <c r="F301" s="14" t="s">
        <v>89</v>
      </c>
      <c r="G301" s="14" t="s">
        <v>90</v>
      </c>
      <c r="H301" s="2">
        <f>'CUOTA LTP'!E203</f>
        <v>0.17885999999999999</v>
      </c>
      <c r="I301" s="2">
        <f>'CUOTA LTP'!F203</f>
        <v>0</v>
      </c>
      <c r="J301" s="2">
        <f>'CUOTA LTP'!G203</f>
        <v>1.7942500000000001</v>
      </c>
      <c r="K301" s="2">
        <f>'CUOTA LTP'!H203</f>
        <v>0</v>
      </c>
      <c r="L301" s="2">
        <f>'CUOTA LTP'!I203</f>
        <v>1.7942500000000001</v>
      </c>
      <c r="M301" s="33">
        <f>'CUOTA LTP'!J203</f>
        <v>0</v>
      </c>
      <c r="N301" s="10" t="s">
        <v>91</v>
      </c>
      <c r="O301" s="10">
        <f>'RESUMEN '!$B$3</f>
        <v>44561</v>
      </c>
      <c r="P301" s="39">
        <v>2021</v>
      </c>
      <c r="Q301" s="3"/>
    </row>
    <row r="302" spans="1:17" x14ac:dyDescent="0.25">
      <c r="A302" s="3" t="s">
        <v>20</v>
      </c>
      <c r="B302" s="3" t="s">
        <v>84</v>
      </c>
      <c r="C302" s="3" t="s">
        <v>98</v>
      </c>
      <c r="D302" s="3" t="s">
        <v>100</v>
      </c>
      <c r="E302" s="3" t="str">
        <f>'CUOTA LTP'!C202</f>
        <v>GRIMAR S.A. PESQ.</v>
      </c>
      <c r="F302" s="14" t="s">
        <v>87</v>
      </c>
      <c r="G302" s="14" t="s">
        <v>90</v>
      </c>
      <c r="H302" s="2">
        <f>'CUOTA LTP'!K202</f>
        <v>1.7942500000000001</v>
      </c>
      <c r="I302" s="2">
        <f>'CUOTA LTP'!L202</f>
        <v>0</v>
      </c>
      <c r="J302" s="2">
        <f>'CUOTA LTP'!M202</f>
        <v>1.7942500000000001</v>
      </c>
      <c r="K302" s="2">
        <f>'CUOTA LTP'!N202</f>
        <v>0</v>
      </c>
      <c r="L302" s="2">
        <f>'CUOTA LTP'!O202</f>
        <v>1.7942500000000001</v>
      </c>
      <c r="M302" s="33">
        <f>'CUOTA LTP'!P202</f>
        <v>0</v>
      </c>
      <c r="N302" s="10" t="s">
        <v>91</v>
      </c>
      <c r="O302" s="10">
        <f>'RESUMEN '!$B$3</f>
        <v>44561</v>
      </c>
      <c r="P302" s="39">
        <v>2021</v>
      </c>
      <c r="Q302" s="3"/>
    </row>
    <row r="303" spans="1:17" x14ac:dyDescent="0.25">
      <c r="A303" s="3" t="s">
        <v>20</v>
      </c>
      <c r="B303" s="3" t="s">
        <v>84</v>
      </c>
      <c r="C303" s="3" t="s">
        <v>98</v>
      </c>
      <c r="D303" s="3" t="s">
        <v>100</v>
      </c>
      <c r="E303" s="3" t="str">
        <f>'CUOTA LTP'!C204</f>
        <v>ISLADAMAS S.A. PESQ.</v>
      </c>
      <c r="F303" s="14" t="s">
        <v>87</v>
      </c>
      <c r="G303" s="14" t="s">
        <v>88</v>
      </c>
      <c r="H303" s="2">
        <f>'CUOTA LTP'!E204</f>
        <v>170.28498999999991</v>
      </c>
      <c r="I303" s="2">
        <f>'CUOTA LTP'!F204</f>
        <v>0.80264079999999893</v>
      </c>
      <c r="J303" s="2">
        <f>'CUOTA LTP'!G204</f>
        <v>171.08763079999991</v>
      </c>
      <c r="K303" s="2">
        <f>'CUOTA LTP'!H204</f>
        <v>95.391999999999996</v>
      </c>
      <c r="L303" s="2">
        <f>'CUOTA LTP'!I204</f>
        <v>75.695630799999918</v>
      </c>
      <c r="M303" s="33">
        <f>'CUOTA LTP'!J204</f>
        <v>0.55756222442236336</v>
      </c>
      <c r="N303" s="10" t="s">
        <v>91</v>
      </c>
      <c r="O303" s="10">
        <f>'RESUMEN '!$B$3</f>
        <v>44561</v>
      </c>
      <c r="P303" s="39">
        <v>2021</v>
      </c>
      <c r="Q303" s="3"/>
    </row>
    <row r="304" spans="1:17" x14ac:dyDescent="0.25">
      <c r="A304" s="3" t="s">
        <v>20</v>
      </c>
      <c r="B304" s="3" t="s">
        <v>84</v>
      </c>
      <c r="C304" s="3" t="s">
        <v>98</v>
      </c>
      <c r="D304" s="3" t="s">
        <v>100</v>
      </c>
      <c r="E304" s="3" t="str">
        <f>'CUOTA LTP'!C204</f>
        <v>ISLADAMAS S.A. PESQ.</v>
      </c>
      <c r="F304" s="14" t="s">
        <v>89</v>
      </c>
      <c r="G304" s="14" t="s">
        <v>90</v>
      </c>
      <c r="H304" s="2">
        <f>'CUOTA LTP'!E205</f>
        <v>18.854140000000001</v>
      </c>
      <c r="I304" s="2">
        <f>'CUOTA LTP'!F205</f>
        <v>0</v>
      </c>
      <c r="J304" s="2">
        <f>'CUOTA LTP'!G205</f>
        <v>94.549770799999919</v>
      </c>
      <c r="K304" s="2">
        <f>'CUOTA LTP'!H205</f>
        <v>29.859000000000002</v>
      </c>
      <c r="L304" s="2">
        <f>'CUOTA LTP'!I205</f>
        <v>64.69077079999991</v>
      </c>
      <c r="M304" s="33">
        <f>'CUOTA LTP'!J205</f>
        <v>0.31580192894555409</v>
      </c>
      <c r="N304" s="10" t="s">
        <v>91</v>
      </c>
      <c r="O304" s="10">
        <f>'RESUMEN '!$B$3</f>
        <v>44561</v>
      </c>
      <c r="P304" s="39">
        <v>2021</v>
      </c>
      <c r="Q304" s="3"/>
    </row>
    <row r="305" spans="1:17" x14ac:dyDescent="0.25">
      <c r="A305" s="3" t="s">
        <v>20</v>
      </c>
      <c r="B305" s="3" t="s">
        <v>84</v>
      </c>
      <c r="C305" s="3" t="s">
        <v>98</v>
      </c>
      <c r="D305" s="3" t="s">
        <v>100</v>
      </c>
      <c r="E305" s="3" t="str">
        <f>'CUOTA LTP'!C204</f>
        <v>ISLADAMAS S.A. PESQ.</v>
      </c>
      <c r="F305" s="14" t="s">
        <v>87</v>
      </c>
      <c r="G305" s="14" t="s">
        <v>90</v>
      </c>
      <c r="H305" s="2">
        <f>'CUOTA LTP'!K204</f>
        <v>189.13912999999991</v>
      </c>
      <c r="I305" s="2">
        <f>'CUOTA LTP'!L204</f>
        <v>0.80264079999999893</v>
      </c>
      <c r="J305" s="2">
        <f>'CUOTA LTP'!M204</f>
        <v>189.94177079999992</v>
      </c>
      <c r="K305" s="2">
        <f>'CUOTA LTP'!N204</f>
        <v>125.251</v>
      </c>
      <c r="L305" s="2">
        <f>'CUOTA LTP'!O204</f>
        <v>64.69077079999991</v>
      </c>
      <c r="M305" s="33">
        <f>'CUOTA LTP'!P204</f>
        <v>0.65941788092458942</v>
      </c>
      <c r="N305" s="10" t="s">
        <v>91</v>
      </c>
      <c r="O305" s="10">
        <f>'RESUMEN '!$B$3</f>
        <v>44561</v>
      </c>
      <c r="P305" s="39">
        <v>2021</v>
      </c>
      <c r="Q305" s="3"/>
    </row>
    <row r="306" spans="1:17" x14ac:dyDescent="0.25">
      <c r="A306" s="3" t="s">
        <v>20</v>
      </c>
      <c r="B306" s="3" t="s">
        <v>84</v>
      </c>
      <c r="C306" s="3" t="s">
        <v>98</v>
      </c>
      <c r="D306" s="3" t="s">
        <v>100</v>
      </c>
      <c r="E306" s="3" t="str">
        <f>'CUOTA LTP'!C206</f>
        <v>LANDES S.A. PESQ.</v>
      </c>
      <c r="F306" s="14" t="s">
        <v>87</v>
      </c>
      <c r="G306" s="14" t="s">
        <v>88</v>
      </c>
      <c r="H306" s="2">
        <f>'CUOTA LTP'!E206</f>
        <v>0.88178000000000001</v>
      </c>
      <c r="I306" s="2">
        <f>'CUOTA LTP'!F206</f>
        <v>0</v>
      </c>
      <c r="J306" s="2">
        <f>'CUOTA LTP'!G206</f>
        <v>0.88178000000000001</v>
      </c>
      <c r="K306" s="2">
        <f>'CUOTA LTP'!H206</f>
        <v>0</v>
      </c>
      <c r="L306" s="2">
        <f>'CUOTA LTP'!I206</f>
        <v>0.88178000000000001</v>
      </c>
      <c r="M306" s="33">
        <f>'CUOTA LTP'!J206</f>
        <v>0</v>
      </c>
      <c r="N306" s="10" t="s">
        <v>91</v>
      </c>
      <c r="O306" s="10">
        <f>'RESUMEN '!$B$3</f>
        <v>44561</v>
      </c>
      <c r="P306" s="39">
        <v>2021</v>
      </c>
      <c r="Q306" s="3"/>
    </row>
    <row r="307" spans="1:17" x14ac:dyDescent="0.25">
      <c r="A307" s="3" t="s">
        <v>20</v>
      </c>
      <c r="B307" s="3" t="s">
        <v>84</v>
      </c>
      <c r="C307" s="3" t="s">
        <v>98</v>
      </c>
      <c r="D307" s="3" t="s">
        <v>100</v>
      </c>
      <c r="E307" s="3" t="str">
        <f>'CUOTA LTP'!C206</f>
        <v>LANDES S.A. PESQ.</v>
      </c>
      <c r="F307" s="14" t="s">
        <v>89</v>
      </c>
      <c r="G307" s="14" t="s">
        <v>90</v>
      </c>
      <c r="H307" s="2">
        <f>'CUOTA LTP'!E207</f>
        <v>9.7629999999999995E-2</v>
      </c>
      <c r="I307" s="2">
        <f>'CUOTA LTP'!F207</f>
        <v>0</v>
      </c>
      <c r="J307" s="2">
        <f>'CUOTA LTP'!G207</f>
        <v>0.97941</v>
      </c>
      <c r="K307" s="2">
        <f>'CUOTA LTP'!H207</f>
        <v>0</v>
      </c>
      <c r="L307" s="2">
        <f>'CUOTA LTP'!I207</f>
        <v>0.97941</v>
      </c>
      <c r="M307" s="33">
        <f>'CUOTA LTP'!J207</f>
        <v>0</v>
      </c>
      <c r="N307" s="10" t="s">
        <v>91</v>
      </c>
      <c r="O307" s="10">
        <f>'RESUMEN '!$B$3</f>
        <v>44561</v>
      </c>
      <c r="P307" s="39">
        <v>2021</v>
      </c>
      <c r="Q307" s="3"/>
    </row>
    <row r="308" spans="1:17" x14ac:dyDescent="0.25">
      <c r="A308" s="3" t="s">
        <v>20</v>
      </c>
      <c r="B308" s="3" t="s">
        <v>84</v>
      </c>
      <c r="C308" s="3" t="s">
        <v>98</v>
      </c>
      <c r="D308" s="3" t="s">
        <v>100</v>
      </c>
      <c r="E308" s="3" t="str">
        <f>'CUOTA LTP'!C206</f>
        <v>LANDES S.A. PESQ.</v>
      </c>
      <c r="F308" s="14" t="s">
        <v>87</v>
      </c>
      <c r="G308" s="14" t="s">
        <v>90</v>
      </c>
      <c r="H308" s="2">
        <f>'CUOTA LTP'!K206</f>
        <v>0.97941</v>
      </c>
      <c r="I308" s="2">
        <f>'CUOTA LTP'!L206</f>
        <v>0</v>
      </c>
      <c r="J308" s="2">
        <f>'CUOTA LTP'!M206</f>
        <v>0.97941</v>
      </c>
      <c r="K308" s="2">
        <f>'CUOTA LTP'!N206</f>
        <v>0</v>
      </c>
      <c r="L308" s="2">
        <f>'CUOTA LTP'!O206</f>
        <v>0.97941</v>
      </c>
      <c r="M308" s="33">
        <f>'CUOTA LTP'!P206</f>
        <v>0</v>
      </c>
      <c r="N308" s="10" t="s">
        <v>91</v>
      </c>
      <c r="O308" s="10">
        <f>'RESUMEN '!$B$3</f>
        <v>44561</v>
      </c>
      <c r="P308" s="39">
        <v>2021</v>
      </c>
      <c r="Q308" s="3"/>
    </row>
    <row r="309" spans="1:17" x14ac:dyDescent="0.25">
      <c r="A309" s="3" t="s">
        <v>20</v>
      </c>
      <c r="B309" s="3" t="s">
        <v>84</v>
      </c>
      <c r="C309" s="3" t="s">
        <v>98</v>
      </c>
      <c r="D309" s="3" t="s">
        <v>100</v>
      </c>
      <c r="E309" s="3" t="str">
        <f>'CUOTA LTP'!C208</f>
        <v>ZUÑIGA ROMERO GONZALO</v>
      </c>
      <c r="F309" s="14" t="s">
        <v>87</v>
      </c>
      <c r="G309" s="14" t="s">
        <v>88</v>
      </c>
      <c r="H309" s="2">
        <f>'CUOTA LTP'!E208</f>
        <v>18.484359999999999</v>
      </c>
      <c r="I309" s="2">
        <f>'CUOTA LTP'!F208</f>
        <v>0</v>
      </c>
      <c r="J309" s="2">
        <f>'CUOTA LTP'!G208</f>
        <v>18.484359999999999</v>
      </c>
      <c r="K309" s="2">
        <f>'CUOTA LTP'!H208</f>
        <v>0</v>
      </c>
      <c r="L309" s="2">
        <f>'CUOTA LTP'!I208</f>
        <v>18.484359999999999</v>
      </c>
      <c r="M309" s="33">
        <f>'CUOTA LTP'!J208</f>
        <v>0</v>
      </c>
      <c r="N309" s="10" t="s">
        <v>91</v>
      </c>
      <c r="O309" s="10">
        <f>'RESUMEN '!$B$3</f>
        <v>44561</v>
      </c>
      <c r="P309" s="39">
        <v>2021</v>
      </c>
      <c r="Q309" s="3"/>
    </row>
    <row r="310" spans="1:17" x14ac:dyDescent="0.25">
      <c r="A310" s="3" t="s">
        <v>20</v>
      </c>
      <c r="B310" s="3" t="s">
        <v>84</v>
      </c>
      <c r="C310" s="3" t="s">
        <v>98</v>
      </c>
      <c r="D310" s="3" t="s">
        <v>100</v>
      </c>
      <c r="E310" s="3" t="str">
        <f>'CUOTA LTP'!C208</f>
        <v>ZUÑIGA ROMERO GONZALO</v>
      </c>
      <c r="F310" s="14" t="s">
        <v>89</v>
      </c>
      <c r="G310" s="14" t="s">
        <v>90</v>
      </c>
      <c r="H310" s="2">
        <f>'CUOTA LTP'!E209</f>
        <v>2.0466000000000002</v>
      </c>
      <c r="I310" s="2">
        <f>'CUOTA LTP'!F209</f>
        <v>0</v>
      </c>
      <c r="J310" s="2">
        <f>'CUOTA LTP'!G209</f>
        <v>20.53096</v>
      </c>
      <c r="K310" s="2">
        <f>'CUOTA LTP'!H209</f>
        <v>0</v>
      </c>
      <c r="L310" s="2">
        <f>'CUOTA LTP'!I209</f>
        <v>20.53096</v>
      </c>
      <c r="M310" s="33">
        <f>'CUOTA LTP'!J209</f>
        <v>0</v>
      </c>
      <c r="N310" s="10" t="s">
        <v>91</v>
      </c>
      <c r="O310" s="10">
        <f>'RESUMEN '!$B$3</f>
        <v>44561</v>
      </c>
      <c r="P310" s="39">
        <v>2021</v>
      </c>
      <c r="Q310" s="3"/>
    </row>
    <row r="311" spans="1:17" x14ac:dyDescent="0.25">
      <c r="A311" s="3" t="s">
        <v>20</v>
      </c>
      <c r="B311" s="3" t="s">
        <v>84</v>
      </c>
      <c r="C311" s="3" t="s">
        <v>98</v>
      </c>
      <c r="D311" s="3" t="s">
        <v>100</v>
      </c>
      <c r="E311" s="3" t="str">
        <f>'CUOTA LTP'!C208</f>
        <v>ZUÑIGA ROMERO GONZALO</v>
      </c>
      <c r="F311" s="14" t="s">
        <v>87</v>
      </c>
      <c r="G311" s="14" t="s">
        <v>90</v>
      </c>
      <c r="H311" s="2">
        <f>'CUOTA LTP'!K208</f>
        <v>20.53096</v>
      </c>
      <c r="I311" s="2">
        <f>'CUOTA LTP'!L208</f>
        <v>0</v>
      </c>
      <c r="J311" s="2">
        <f>'CUOTA LTP'!M208</f>
        <v>20.53096</v>
      </c>
      <c r="K311" s="2">
        <f>'CUOTA LTP'!N208</f>
        <v>0</v>
      </c>
      <c r="L311" s="2">
        <f>'CUOTA LTP'!O208</f>
        <v>20.53096</v>
      </c>
      <c r="M311" s="33">
        <f>'CUOTA LTP'!P208</f>
        <v>0</v>
      </c>
      <c r="N311" s="10" t="s">
        <v>91</v>
      </c>
      <c r="O311" s="10">
        <f>'RESUMEN '!$B$3</f>
        <v>44561</v>
      </c>
      <c r="P311" s="39">
        <v>2021</v>
      </c>
      <c r="Q311" s="3"/>
    </row>
    <row r="312" spans="1:17" x14ac:dyDescent="0.25">
      <c r="A312" s="3" t="s">
        <v>20</v>
      </c>
      <c r="B312" s="3" t="s">
        <v>84</v>
      </c>
      <c r="C312" s="3" t="s">
        <v>98</v>
      </c>
      <c r="D312" s="3" t="s">
        <v>100</v>
      </c>
      <c r="E312" s="3" t="str">
        <f>'CUOTA LTP'!C210</f>
        <v>MOROZIN YURECIC MARIO</v>
      </c>
      <c r="F312" s="14" t="s">
        <v>87</v>
      </c>
      <c r="G312" s="14" t="s">
        <v>88</v>
      </c>
      <c r="H312" s="2">
        <f>'CUOTA LTP'!E210</f>
        <v>1.7069999999999998E-2</v>
      </c>
      <c r="I312" s="2">
        <f>'CUOTA LTP'!F210</f>
        <v>0</v>
      </c>
      <c r="J312" s="2">
        <f>'CUOTA LTP'!G210</f>
        <v>1.7069999999999998E-2</v>
      </c>
      <c r="K312" s="2">
        <f>'CUOTA LTP'!H210</f>
        <v>0</v>
      </c>
      <c r="L312" s="2">
        <f>'CUOTA LTP'!I210</f>
        <v>1.7069999999999998E-2</v>
      </c>
      <c r="M312" s="33">
        <f>'CUOTA LTP'!J210</f>
        <v>0</v>
      </c>
      <c r="N312" s="10" t="s">
        <v>91</v>
      </c>
      <c r="O312" s="10">
        <f>'RESUMEN '!$B$3</f>
        <v>44561</v>
      </c>
      <c r="P312" s="39">
        <v>2021</v>
      </c>
      <c r="Q312" s="3"/>
    </row>
    <row r="313" spans="1:17" x14ac:dyDescent="0.25">
      <c r="A313" s="3" t="s">
        <v>20</v>
      </c>
      <c r="B313" s="3" t="s">
        <v>84</v>
      </c>
      <c r="C313" s="3" t="s">
        <v>98</v>
      </c>
      <c r="D313" s="3" t="s">
        <v>100</v>
      </c>
      <c r="E313" s="3" t="str">
        <f>'CUOTA LTP'!C210</f>
        <v>MOROZIN YURECIC MARIO</v>
      </c>
      <c r="F313" s="14" t="s">
        <v>89</v>
      </c>
      <c r="G313" s="14" t="s">
        <v>90</v>
      </c>
      <c r="H313" s="2">
        <f>'CUOTA LTP'!E211</f>
        <v>1.89E-3</v>
      </c>
      <c r="I313" s="2">
        <f>'CUOTA LTP'!F211</f>
        <v>0</v>
      </c>
      <c r="J313" s="2">
        <f>'CUOTA LTP'!G211</f>
        <v>1.8959999999999998E-2</v>
      </c>
      <c r="K313" s="2">
        <f>'CUOTA LTP'!H211</f>
        <v>0</v>
      </c>
      <c r="L313" s="2">
        <f>'CUOTA LTP'!I211</f>
        <v>1.8959999999999998E-2</v>
      </c>
      <c r="M313" s="33">
        <f>'CUOTA LTP'!J211</f>
        <v>0</v>
      </c>
      <c r="N313" s="10" t="s">
        <v>91</v>
      </c>
      <c r="O313" s="10">
        <f>'RESUMEN '!$B$3</f>
        <v>44561</v>
      </c>
      <c r="P313" s="39">
        <v>2021</v>
      </c>
      <c r="Q313" s="3"/>
    </row>
    <row r="314" spans="1:17" x14ac:dyDescent="0.25">
      <c r="A314" s="3" t="s">
        <v>20</v>
      </c>
      <c r="B314" s="3" t="s">
        <v>84</v>
      </c>
      <c r="C314" s="3" t="s">
        <v>98</v>
      </c>
      <c r="D314" s="3" t="s">
        <v>100</v>
      </c>
      <c r="E314" s="3" t="str">
        <f>'CUOTA LTP'!C210</f>
        <v>MOROZIN YURECIC MARIO</v>
      </c>
      <c r="F314" s="14" t="s">
        <v>87</v>
      </c>
      <c r="G314" s="14" t="s">
        <v>90</v>
      </c>
      <c r="H314" s="2">
        <f>'CUOTA LTP'!K210</f>
        <v>1.8959999999999998E-2</v>
      </c>
      <c r="I314" s="2">
        <f>'CUOTA LTP'!L210</f>
        <v>0</v>
      </c>
      <c r="J314" s="2">
        <f>'CUOTA LTP'!M210</f>
        <v>1.8959999999999998E-2</v>
      </c>
      <c r="K314" s="2">
        <f>'CUOTA LTP'!N210</f>
        <v>0</v>
      </c>
      <c r="L314" s="2">
        <f>'CUOTA LTP'!O210</f>
        <v>1.8959999999999998E-2</v>
      </c>
      <c r="M314" s="33">
        <f>'CUOTA LTP'!P210</f>
        <v>0</v>
      </c>
      <c r="N314" s="10" t="s">
        <v>91</v>
      </c>
      <c r="O314" s="10">
        <f>'RESUMEN '!$B$3</f>
        <v>44561</v>
      </c>
      <c r="P314" s="39">
        <v>2021</v>
      </c>
      <c r="Q314" s="3"/>
    </row>
    <row r="315" spans="1:17" x14ac:dyDescent="0.25">
      <c r="A315" s="3" t="s">
        <v>20</v>
      </c>
      <c r="B315" s="3" t="s">
        <v>84</v>
      </c>
      <c r="C315" s="3" t="s">
        <v>98</v>
      </c>
      <c r="D315" s="3" t="s">
        <v>100</v>
      </c>
      <c r="E315" s="3" t="str">
        <f>'CUOTA LTP'!C212</f>
        <v>QUINTERO LTDA. SOC. PESQ.</v>
      </c>
      <c r="F315" s="14" t="s">
        <v>87</v>
      </c>
      <c r="G315" s="14" t="s">
        <v>88</v>
      </c>
      <c r="H315" s="2">
        <f>'CUOTA LTP'!E212</f>
        <v>1.1379999999999999E-2</v>
      </c>
      <c r="I315" s="2">
        <f>'CUOTA LTP'!F212</f>
        <v>11.072829599999999</v>
      </c>
      <c r="J315" s="2">
        <f>'CUOTA LTP'!G212</f>
        <v>11.084209599999999</v>
      </c>
      <c r="K315" s="2">
        <f>'CUOTA LTP'!H212</f>
        <v>0</v>
      </c>
      <c r="L315" s="2">
        <f>'CUOTA LTP'!I212</f>
        <v>11.084209599999999</v>
      </c>
      <c r="M315" s="33">
        <f>'CUOTA LTP'!J212</f>
        <v>0</v>
      </c>
      <c r="N315" s="10" t="s">
        <v>91</v>
      </c>
      <c r="O315" s="10">
        <f>'RESUMEN '!$B$3</f>
        <v>44561</v>
      </c>
      <c r="P315" s="39">
        <v>2021</v>
      </c>
      <c r="Q315" s="3"/>
    </row>
    <row r="316" spans="1:17" x14ac:dyDescent="0.25">
      <c r="A316" s="3" t="s">
        <v>20</v>
      </c>
      <c r="B316" s="3" t="s">
        <v>84</v>
      </c>
      <c r="C316" s="3" t="s">
        <v>98</v>
      </c>
      <c r="D316" s="3" t="s">
        <v>100</v>
      </c>
      <c r="E316" s="3" t="str">
        <f>'CUOTA LTP'!C212</f>
        <v>QUINTERO LTDA. SOC. PESQ.</v>
      </c>
      <c r="F316" s="14" t="s">
        <v>89</v>
      </c>
      <c r="G316" s="14" t="s">
        <v>90</v>
      </c>
      <c r="H316" s="2">
        <f>'CUOTA LTP'!E213</f>
        <v>1.2600000000000001E-3</v>
      </c>
      <c r="I316" s="2">
        <f>'CUOTA LTP'!F213</f>
        <v>0</v>
      </c>
      <c r="J316" s="2">
        <f>'CUOTA LTP'!G213</f>
        <v>11.0854696</v>
      </c>
      <c r="K316" s="2">
        <f>'CUOTA LTP'!H213</f>
        <v>0</v>
      </c>
      <c r="L316" s="2">
        <f>'CUOTA LTP'!I213</f>
        <v>11.0854696</v>
      </c>
      <c r="M316" s="33">
        <f>'CUOTA LTP'!J213</f>
        <v>0</v>
      </c>
      <c r="N316" s="10" t="s">
        <v>91</v>
      </c>
      <c r="O316" s="10">
        <f>'RESUMEN '!$B$3</f>
        <v>44561</v>
      </c>
      <c r="P316" s="39">
        <v>2021</v>
      </c>
      <c r="Q316" s="3"/>
    </row>
    <row r="317" spans="1:17" x14ac:dyDescent="0.25">
      <c r="A317" s="3" t="s">
        <v>20</v>
      </c>
      <c r="B317" s="3" t="s">
        <v>84</v>
      </c>
      <c r="C317" s="3" t="s">
        <v>98</v>
      </c>
      <c r="D317" s="3" t="s">
        <v>100</v>
      </c>
      <c r="E317" s="3" t="str">
        <f>'CUOTA LTP'!C212</f>
        <v>QUINTERO LTDA. SOC. PESQ.</v>
      </c>
      <c r="F317" s="14" t="s">
        <v>87</v>
      </c>
      <c r="G317" s="14" t="s">
        <v>90</v>
      </c>
      <c r="H317" s="2">
        <f>'CUOTA LTP'!K212</f>
        <v>1.264E-2</v>
      </c>
      <c r="I317" s="2">
        <f>'CUOTA LTP'!L212</f>
        <v>11.072829599999999</v>
      </c>
      <c r="J317" s="2">
        <f>'CUOTA LTP'!M212</f>
        <v>11.085469599999998</v>
      </c>
      <c r="K317" s="2">
        <f>'CUOTA LTP'!N212</f>
        <v>0</v>
      </c>
      <c r="L317" s="2">
        <f>'CUOTA LTP'!O212</f>
        <v>11.085469599999998</v>
      </c>
      <c r="M317" s="33">
        <f>'CUOTA LTP'!P212</f>
        <v>0</v>
      </c>
      <c r="N317" s="10" t="s">
        <v>91</v>
      </c>
      <c r="O317" s="10">
        <f>'RESUMEN '!$B$3</f>
        <v>44561</v>
      </c>
      <c r="P317" s="39">
        <v>2021</v>
      </c>
      <c r="Q317" s="3"/>
    </row>
    <row r="318" spans="1:17" x14ac:dyDescent="0.25">
      <c r="A318" s="3" t="s">
        <v>20</v>
      </c>
      <c r="B318" s="3" t="s">
        <v>84</v>
      </c>
      <c r="C318" s="3" t="s">
        <v>98</v>
      </c>
      <c r="D318" s="3" t="s">
        <v>100</v>
      </c>
      <c r="E318" s="3" t="str">
        <f>'CUOTA LTP'!C214</f>
        <v>PACIFICBLU SPA.</v>
      </c>
      <c r="F318" s="14" t="s">
        <v>87</v>
      </c>
      <c r="G318" s="14" t="s">
        <v>88</v>
      </c>
      <c r="H318" s="2">
        <f>'CUOTA LTP'!E214</f>
        <v>10.345840000000001</v>
      </c>
      <c r="I318" s="2">
        <f>'CUOTA LTP'!F214</f>
        <v>-10.976639200000001</v>
      </c>
      <c r="J318" s="2">
        <f>'CUOTA LTP'!G214</f>
        <v>-0.63079920000000023</v>
      </c>
      <c r="K318" s="2">
        <f>'CUOTA LTP'!H214</f>
        <v>0.439</v>
      </c>
      <c r="L318" s="2">
        <f>'CUOTA LTP'!I214</f>
        <v>-1.0697992000000003</v>
      </c>
      <c r="M318" s="33">
        <f>'CUOTA LTP'!J214</f>
        <v>-0.69594254399815325</v>
      </c>
      <c r="N318" s="10" t="s">
        <v>91</v>
      </c>
      <c r="O318" s="10">
        <f>'RESUMEN '!$B$3</f>
        <v>44561</v>
      </c>
      <c r="P318" s="39">
        <v>2021</v>
      </c>
      <c r="Q318" s="3"/>
    </row>
    <row r="319" spans="1:17" x14ac:dyDescent="0.25">
      <c r="A319" s="3" t="s">
        <v>20</v>
      </c>
      <c r="B319" s="3" t="s">
        <v>84</v>
      </c>
      <c r="C319" s="3" t="s">
        <v>98</v>
      </c>
      <c r="D319" s="3" t="s">
        <v>100</v>
      </c>
      <c r="E319" s="3" t="str">
        <f>'CUOTA LTP'!C214</f>
        <v>PACIFICBLU SPA.</v>
      </c>
      <c r="F319" s="14" t="s">
        <v>89</v>
      </c>
      <c r="G319" s="14" t="s">
        <v>90</v>
      </c>
      <c r="H319" s="2">
        <f>'CUOTA LTP'!E215</f>
        <v>1.1455</v>
      </c>
      <c r="I319" s="2">
        <f>'CUOTA LTP'!F215</f>
        <v>0</v>
      </c>
      <c r="J319" s="2">
        <f>'CUOTA LTP'!G215</f>
        <v>7.5700799999999679E-2</v>
      </c>
      <c r="K319" s="2">
        <f>'CUOTA LTP'!H215</f>
        <v>3.6999999999999998E-2</v>
      </c>
      <c r="L319" s="2">
        <f>'CUOTA LTP'!I215</f>
        <v>3.8700799999999681E-2</v>
      </c>
      <c r="M319" s="33">
        <f>'CUOTA LTP'!J215</f>
        <v>0.48876630101663593</v>
      </c>
      <c r="N319" s="10" t="s">
        <v>91</v>
      </c>
      <c r="O319" s="10">
        <f>'RESUMEN '!$B$3</f>
        <v>44561</v>
      </c>
      <c r="P319" s="39">
        <v>2021</v>
      </c>
      <c r="Q319" s="3"/>
    </row>
    <row r="320" spans="1:17" x14ac:dyDescent="0.25">
      <c r="A320" s="3" t="s">
        <v>20</v>
      </c>
      <c r="B320" s="3" t="s">
        <v>84</v>
      </c>
      <c r="C320" s="3" t="s">
        <v>98</v>
      </c>
      <c r="D320" s="3" t="s">
        <v>100</v>
      </c>
      <c r="E320" s="3" t="str">
        <f>'CUOTA LTP'!C214</f>
        <v>PACIFICBLU SPA.</v>
      </c>
      <c r="F320" s="14" t="s">
        <v>87</v>
      </c>
      <c r="G320" s="14" t="s">
        <v>90</v>
      </c>
      <c r="H320" s="2">
        <f>'CUOTA LTP'!K214</f>
        <v>11.491340000000001</v>
      </c>
      <c r="I320" s="2">
        <f>'CUOTA LTP'!L214</f>
        <v>-10.976639200000001</v>
      </c>
      <c r="J320" s="2">
        <f>'CUOTA LTP'!M214</f>
        <v>0.51470079999999996</v>
      </c>
      <c r="K320" s="2">
        <f>'CUOTA LTP'!N214</f>
        <v>0.47599999999999998</v>
      </c>
      <c r="L320" s="2">
        <f>'CUOTA LTP'!O214</f>
        <v>3.870079999999998E-2</v>
      </c>
      <c r="M320" s="33">
        <f>'CUOTA LTP'!P214</f>
        <v>0.9248091318295989</v>
      </c>
      <c r="N320" s="10" t="s">
        <v>91</v>
      </c>
      <c r="O320" s="10">
        <f>'RESUMEN '!$B$3</f>
        <v>44561</v>
      </c>
      <c r="P320" s="39">
        <v>2021</v>
      </c>
      <c r="Q320" s="3"/>
    </row>
    <row r="321" spans="1:17" x14ac:dyDescent="0.25">
      <c r="A321" s="3" t="s">
        <v>20</v>
      </c>
      <c r="B321" s="3" t="s">
        <v>84</v>
      </c>
      <c r="C321" s="3" t="s">
        <v>98</v>
      </c>
      <c r="D321" s="3" t="s">
        <v>100</v>
      </c>
      <c r="E321" s="3" t="str">
        <f>'CUOTA LTP'!C216</f>
        <v>DA VENEZIA RETAMALES ANTONIO</v>
      </c>
      <c r="F321" s="14" t="s">
        <v>87</v>
      </c>
      <c r="G321" s="14" t="s">
        <v>88</v>
      </c>
      <c r="H321" s="2">
        <f>'CUOTA LTP'!E216</f>
        <v>5.6899999999999997E-3</v>
      </c>
      <c r="I321" s="2">
        <f>'CUOTA LTP'!F216</f>
        <v>0</v>
      </c>
      <c r="J321" s="2">
        <f>'CUOTA LTP'!G216</f>
        <v>5.6899999999999997E-3</v>
      </c>
      <c r="K321" s="2">
        <f>'CUOTA LTP'!H216</f>
        <v>0</v>
      </c>
      <c r="L321" s="2">
        <f>'CUOTA LTP'!I216</f>
        <v>5.6899999999999997E-3</v>
      </c>
      <c r="M321" s="33">
        <f>'CUOTA LTP'!J216</f>
        <v>0</v>
      </c>
      <c r="N321" s="10" t="s">
        <v>91</v>
      </c>
      <c r="O321" s="10">
        <f>'RESUMEN '!$B$3</f>
        <v>44561</v>
      </c>
      <c r="P321" s="39">
        <v>2021</v>
      </c>
      <c r="Q321" s="3"/>
    </row>
    <row r="322" spans="1:17" x14ac:dyDescent="0.25">
      <c r="A322" s="3" t="s">
        <v>20</v>
      </c>
      <c r="B322" s="3" t="s">
        <v>84</v>
      </c>
      <c r="C322" s="3" t="s">
        <v>98</v>
      </c>
      <c r="D322" s="3" t="s">
        <v>100</v>
      </c>
      <c r="E322" s="3" t="str">
        <f>'CUOTA LTP'!C216</f>
        <v>DA VENEZIA RETAMALES ANTONIO</v>
      </c>
      <c r="F322" s="14" t="s">
        <v>89</v>
      </c>
      <c r="G322" s="14" t="s">
        <v>90</v>
      </c>
      <c r="H322" s="2">
        <f>'CUOTA LTP'!E217</f>
        <v>6.3000000000000003E-4</v>
      </c>
      <c r="I322" s="2">
        <f>'CUOTA LTP'!F217</f>
        <v>0</v>
      </c>
      <c r="J322" s="2">
        <f>'CUOTA LTP'!G217</f>
        <v>6.3200000000000001E-3</v>
      </c>
      <c r="K322" s="2">
        <f>'CUOTA LTP'!H217</f>
        <v>0</v>
      </c>
      <c r="L322" s="2">
        <f>'CUOTA LTP'!I217</f>
        <v>6.3200000000000001E-3</v>
      </c>
      <c r="M322" s="33">
        <f>'CUOTA LTP'!J217</f>
        <v>0</v>
      </c>
      <c r="N322" s="10" t="s">
        <v>91</v>
      </c>
      <c r="O322" s="10">
        <f>'RESUMEN '!$B$3</f>
        <v>44561</v>
      </c>
      <c r="P322" s="39">
        <v>2021</v>
      </c>
      <c r="Q322" s="3"/>
    </row>
    <row r="323" spans="1:17" x14ac:dyDescent="0.25">
      <c r="A323" s="3" t="s">
        <v>20</v>
      </c>
      <c r="B323" s="3" t="s">
        <v>84</v>
      </c>
      <c r="C323" s="3" t="s">
        <v>98</v>
      </c>
      <c r="D323" s="3" t="s">
        <v>100</v>
      </c>
      <c r="E323" s="3" t="str">
        <f>'CUOTA LTP'!C216</f>
        <v>DA VENEZIA RETAMALES ANTONIO</v>
      </c>
      <c r="F323" s="14" t="s">
        <v>87</v>
      </c>
      <c r="G323" s="14" t="s">
        <v>90</v>
      </c>
      <c r="H323" s="2">
        <f>'CUOTA LTP'!K216</f>
        <v>6.3200000000000001E-3</v>
      </c>
      <c r="I323" s="2">
        <f>'CUOTA LTP'!L216</f>
        <v>0</v>
      </c>
      <c r="J323" s="2">
        <f>'CUOTA LTP'!M216</f>
        <v>6.3200000000000001E-3</v>
      </c>
      <c r="K323" s="2">
        <f>'CUOTA LTP'!N216</f>
        <v>0</v>
      </c>
      <c r="L323" s="2">
        <f>'CUOTA LTP'!O216</f>
        <v>6.3200000000000001E-3</v>
      </c>
      <c r="M323" s="33">
        <f>'CUOTA LTP'!P216</f>
        <v>0</v>
      </c>
      <c r="N323" s="10" t="s">
        <v>91</v>
      </c>
      <c r="O323" s="10">
        <f>'RESUMEN '!$B$3</f>
        <v>44561</v>
      </c>
      <c r="P323" s="39">
        <v>2021</v>
      </c>
      <c r="Q323" s="3"/>
    </row>
    <row r="324" spans="1:17" x14ac:dyDescent="0.25">
      <c r="A324" s="3" t="s">
        <v>20</v>
      </c>
      <c r="B324" s="3" t="s">
        <v>84</v>
      </c>
      <c r="C324" s="3" t="s">
        <v>98</v>
      </c>
      <c r="D324" s="3" t="s">
        <v>100</v>
      </c>
      <c r="E324" s="3" t="str">
        <f>'CUOTA LTP'!C218</f>
        <v>ENFERMAR LTDA. SOC. PESQ.</v>
      </c>
      <c r="F324" s="14" t="s">
        <v>87</v>
      </c>
      <c r="G324" s="14" t="s">
        <v>88</v>
      </c>
      <c r="H324" s="2">
        <f>'CUOTA LTP'!E218</f>
        <v>0.15362999999999999</v>
      </c>
      <c r="I324" s="2">
        <f>'CUOTA LTP'!F218</f>
        <v>-8.2159999999999997E-2</v>
      </c>
      <c r="J324" s="2">
        <f>'CUOTA LTP'!G218</f>
        <v>7.1469999999999992E-2</v>
      </c>
      <c r="K324" s="2">
        <f>'CUOTA LTP'!H218</f>
        <v>0</v>
      </c>
      <c r="L324" s="2">
        <f>'CUOTA LTP'!I218</f>
        <v>7.1469999999999992E-2</v>
      </c>
      <c r="M324" s="33">
        <f>'CUOTA LTP'!J218</f>
        <v>0</v>
      </c>
      <c r="N324" s="10" t="s">
        <v>91</v>
      </c>
      <c r="O324" s="10">
        <f>'RESUMEN '!$B$3</f>
        <v>44561</v>
      </c>
      <c r="P324" s="39">
        <v>2021</v>
      </c>
      <c r="Q324" s="3"/>
    </row>
    <row r="325" spans="1:17" x14ac:dyDescent="0.25">
      <c r="A325" s="3" t="s">
        <v>20</v>
      </c>
      <c r="B325" s="3" t="s">
        <v>84</v>
      </c>
      <c r="C325" s="3" t="s">
        <v>98</v>
      </c>
      <c r="D325" s="3" t="s">
        <v>100</v>
      </c>
      <c r="E325" s="3" t="str">
        <f>'CUOTA LTP'!C218</f>
        <v>ENFERMAR LTDA. SOC. PESQ.</v>
      </c>
      <c r="F325" s="14" t="s">
        <v>89</v>
      </c>
      <c r="G325" s="14" t="s">
        <v>90</v>
      </c>
      <c r="H325" s="2">
        <f>'CUOTA LTP'!E219</f>
        <v>1.7010000000000001E-2</v>
      </c>
      <c r="I325" s="2">
        <f>'CUOTA LTP'!F219</f>
        <v>0</v>
      </c>
      <c r="J325" s="2">
        <f>'CUOTA LTP'!G219</f>
        <v>8.8479999999999989E-2</v>
      </c>
      <c r="K325" s="2">
        <f>'CUOTA LTP'!H219</f>
        <v>0</v>
      </c>
      <c r="L325" s="2">
        <f>'CUOTA LTP'!I219</f>
        <v>8.8479999999999989E-2</v>
      </c>
      <c r="M325" s="33">
        <f>'CUOTA LTP'!J219</f>
        <v>0</v>
      </c>
      <c r="N325" s="10" t="s">
        <v>91</v>
      </c>
      <c r="O325" s="10">
        <f>'RESUMEN '!$B$3</f>
        <v>44561</v>
      </c>
      <c r="P325" s="39">
        <v>2021</v>
      </c>
      <c r="Q325" s="3"/>
    </row>
    <row r="326" spans="1:17" x14ac:dyDescent="0.25">
      <c r="A326" s="3" t="s">
        <v>20</v>
      </c>
      <c r="B326" s="3" t="s">
        <v>84</v>
      </c>
      <c r="C326" s="3" t="s">
        <v>98</v>
      </c>
      <c r="D326" s="3" t="s">
        <v>100</v>
      </c>
      <c r="E326" s="3" t="str">
        <f>'CUOTA LTP'!C218</f>
        <v>ENFERMAR LTDA. SOC. PESQ.</v>
      </c>
      <c r="F326" s="14" t="s">
        <v>87</v>
      </c>
      <c r="G326" s="14" t="s">
        <v>90</v>
      </c>
      <c r="H326" s="2">
        <f>'CUOTA LTP'!K218</f>
        <v>0.17063999999999999</v>
      </c>
      <c r="I326" s="2">
        <f>'CUOTA LTP'!L218</f>
        <v>-8.2159999999999997E-2</v>
      </c>
      <c r="J326" s="2">
        <f>'CUOTA LTP'!M218</f>
        <v>8.8479999999999989E-2</v>
      </c>
      <c r="K326" s="2">
        <f>'CUOTA LTP'!N218</f>
        <v>0</v>
      </c>
      <c r="L326" s="2">
        <f>'CUOTA LTP'!O218</f>
        <v>8.8479999999999989E-2</v>
      </c>
      <c r="M326" s="33">
        <f>'CUOTA LTP'!P218</f>
        <v>0</v>
      </c>
      <c r="N326" s="10" t="s">
        <v>91</v>
      </c>
      <c r="O326" s="10">
        <f>'RESUMEN '!$B$3</f>
        <v>44561</v>
      </c>
      <c r="P326" s="39">
        <v>2021</v>
      </c>
      <c r="Q326" s="3"/>
    </row>
    <row r="327" spans="1:17" x14ac:dyDescent="0.25">
      <c r="A327" s="3" t="s">
        <v>20</v>
      </c>
      <c r="B327" s="3" t="s">
        <v>84</v>
      </c>
      <c r="C327" s="3" t="s">
        <v>98</v>
      </c>
      <c r="D327" s="3" t="s">
        <v>100</v>
      </c>
      <c r="E327" s="3" t="str">
        <f>'CUOTA LTP'!C220</f>
        <v>RUBIO Y MAUAD LTDA.</v>
      </c>
      <c r="F327" s="14" t="s">
        <v>87</v>
      </c>
      <c r="G327" s="14" t="s">
        <v>88</v>
      </c>
      <c r="H327" s="2">
        <f>'CUOTA LTP'!E220</f>
        <v>0.72828999999999999</v>
      </c>
      <c r="I327" s="2">
        <f>'CUOTA LTP'!F220</f>
        <v>-0.80264079999999893</v>
      </c>
      <c r="J327" s="2">
        <f>'CUOTA LTP'!G220</f>
        <v>-7.435079999999894E-2</v>
      </c>
      <c r="K327" s="2">
        <f>'CUOTA LTP'!H220</f>
        <v>0</v>
      </c>
      <c r="L327" s="2">
        <f>'CUOTA LTP'!I220</f>
        <v>-7.435079999999894E-2</v>
      </c>
      <c r="M327" s="33">
        <f>'CUOTA LTP'!J220</f>
        <v>0</v>
      </c>
      <c r="N327" s="10" t="s">
        <v>91</v>
      </c>
      <c r="O327" s="10">
        <f>'RESUMEN '!$B$3</f>
        <v>44561</v>
      </c>
      <c r="P327" s="39">
        <v>2021</v>
      </c>
      <c r="Q327" s="3"/>
    </row>
    <row r="328" spans="1:17" x14ac:dyDescent="0.25">
      <c r="A328" s="3" t="s">
        <v>20</v>
      </c>
      <c r="B328" s="3" t="s">
        <v>84</v>
      </c>
      <c r="C328" s="3" t="s">
        <v>98</v>
      </c>
      <c r="D328" s="3" t="s">
        <v>100</v>
      </c>
      <c r="E328" s="3" t="str">
        <f>'CUOTA LTP'!C220</f>
        <v>RUBIO Y MAUAD LTDA.</v>
      </c>
      <c r="F328" s="14" t="s">
        <v>89</v>
      </c>
      <c r="G328" s="14" t="s">
        <v>90</v>
      </c>
      <c r="H328" s="2">
        <f>'CUOTA LTP'!E221</f>
        <v>8.0630000000000007E-2</v>
      </c>
      <c r="I328" s="2">
        <f>'CUOTA LTP'!F221</f>
        <v>0</v>
      </c>
      <c r="J328" s="2">
        <f>'CUOTA LTP'!G221</f>
        <v>6.2792000000010673E-3</v>
      </c>
      <c r="K328" s="2">
        <f>'CUOTA LTP'!H221</f>
        <v>0</v>
      </c>
      <c r="L328" s="2">
        <f>'CUOTA LTP'!I221</f>
        <v>6.2792000000010673E-3</v>
      </c>
      <c r="M328" s="33">
        <f>'CUOTA LTP'!J221</f>
        <v>0</v>
      </c>
      <c r="N328" s="10" t="s">
        <v>91</v>
      </c>
      <c r="O328" s="10">
        <f>'RESUMEN '!$B$3</f>
        <v>44561</v>
      </c>
      <c r="P328" s="39">
        <v>2021</v>
      </c>
      <c r="Q328" s="3"/>
    </row>
    <row r="329" spans="1:17" x14ac:dyDescent="0.25">
      <c r="A329" s="3" t="s">
        <v>20</v>
      </c>
      <c r="B329" s="3" t="s">
        <v>84</v>
      </c>
      <c r="C329" s="3" t="s">
        <v>98</v>
      </c>
      <c r="D329" s="3" t="s">
        <v>100</v>
      </c>
      <c r="E329" s="3" t="str">
        <f>'CUOTA LTP'!C220</f>
        <v>RUBIO Y MAUAD LTDA.</v>
      </c>
      <c r="F329" s="14" t="s">
        <v>87</v>
      </c>
      <c r="G329" s="14" t="s">
        <v>90</v>
      </c>
      <c r="H329" s="2">
        <f>'CUOTA LTP'!K220</f>
        <v>0.80891999999999997</v>
      </c>
      <c r="I329" s="2">
        <f>'CUOTA LTP'!L220</f>
        <v>-0.80264079999999893</v>
      </c>
      <c r="J329" s="2">
        <f>'CUOTA LTP'!M220</f>
        <v>6.2792000000010395E-3</v>
      </c>
      <c r="K329" s="2">
        <f>'CUOTA LTP'!N220</f>
        <v>0</v>
      </c>
      <c r="L329" s="2">
        <f>'CUOTA LTP'!O220</f>
        <v>6.2792000000010395E-3</v>
      </c>
      <c r="M329" s="33">
        <f>'CUOTA LTP'!P220</f>
        <v>0</v>
      </c>
      <c r="N329" s="10" t="s">
        <v>91</v>
      </c>
      <c r="O329" s="10">
        <f>'RESUMEN '!$B$3</f>
        <v>44561</v>
      </c>
      <c r="P329" s="39">
        <v>2021</v>
      </c>
      <c r="Q329" s="3"/>
    </row>
    <row r="330" spans="1:17" x14ac:dyDescent="0.25">
      <c r="A330" s="31" t="s">
        <v>20</v>
      </c>
      <c r="B330" s="31" t="s">
        <v>84</v>
      </c>
      <c r="C330" s="31" t="s">
        <v>98</v>
      </c>
      <c r="D330" s="31" t="s">
        <v>100</v>
      </c>
      <c r="E330" s="31" t="str">
        <f>'CUOTA LTP'!C222</f>
        <v>JORGE COFRE TOLEDO</v>
      </c>
      <c r="F330" s="31" t="s">
        <v>87</v>
      </c>
      <c r="G330" s="31" t="s">
        <v>88</v>
      </c>
      <c r="H330" s="28">
        <f>'CUOTA LTP'!E222</f>
        <v>0</v>
      </c>
      <c r="I330" s="28">
        <f>'CUOTA LTP'!F222</f>
        <v>0.18792</v>
      </c>
      <c r="J330" s="28">
        <f>'CUOTA LTP'!G222</f>
        <v>0.18792</v>
      </c>
      <c r="K330" s="28">
        <f>'CUOTA LTP'!H222</f>
        <v>0.13800000000000001</v>
      </c>
      <c r="L330" s="28">
        <f>'CUOTA LTP'!I222</f>
        <v>4.9919999999999992E-2</v>
      </c>
      <c r="M330" s="33">
        <f>'CUOTA LTP'!P221</f>
        <v>0</v>
      </c>
      <c r="N330" s="10" t="s">
        <v>91</v>
      </c>
      <c r="O330" s="10">
        <f>'RESUMEN '!$B$3</f>
        <v>44561</v>
      </c>
      <c r="P330" s="39">
        <v>2021</v>
      </c>
      <c r="Q330" s="31"/>
    </row>
    <row r="331" spans="1:17" x14ac:dyDescent="0.25">
      <c r="A331" s="31" t="s">
        <v>20</v>
      </c>
      <c r="B331" s="31" t="s">
        <v>84</v>
      </c>
      <c r="C331" s="31" t="s">
        <v>98</v>
      </c>
      <c r="D331" s="31" t="s">
        <v>100</v>
      </c>
      <c r="E331" s="31" t="str">
        <f>'CUOTA LTP'!C222</f>
        <v>JORGE COFRE TOLEDO</v>
      </c>
      <c r="F331" s="31" t="s">
        <v>89</v>
      </c>
      <c r="G331" s="31" t="s">
        <v>90</v>
      </c>
      <c r="H331" s="28">
        <f>'CUOTA LTP'!E223</f>
        <v>0</v>
      </c>
      <c r="I331" s="28">
        <f>'CUOTA LTP'!F223</f>
        <v>0</v>
      </c>
      <c r="J331" s="28">
        <f>'CUOTA LTP'!G223</f>
        <v>4.9919999999999992E-2</v>
      </c>
      <c r="K331" s="28">
        <f>'CUOTA LTP'!H223</f>
        <v>0</v>
      </c>
      <c r="L331" s="28">
        <f>'CUOTA LTP'!I223</f>
        <v>4.9919999999999992E-2</v>
      </c>
      <c r="M331" s="33">
        <v>0</v>
      </c>
      <c r="N331" s="10" t="s">
        <v>91</v>
      </c>
      <c r="O331" s="10">
        <f>'RESUMEN '!$B$3</f>
        <v>44561</v>
      </c>
      <c r="P331" s="39">
        <v>2021</v>
      </c>
      <c r="Q331" s="31"/>
    </row>
    <row r="332" spans="1:17" x14ac:dyDescent="0.25">
      <c r="A332" s="31" t="s">
        <v>20</v>
      </c>
      <c r="B332" s="31" t="s">
        <v>84</v>
      </c>
      <c r="C332" s="31" t="s">
        <v>98</v>
      </c>
      <c r="D332" s="31" t="s">
        <v>100</v>
      </c>
      <c r="E332" s="31" t="str">
        <f>'CUOTA LTP'!C222</f>
        <v>JORGE COFRE TOLEDO</v>
      </c>
      <c r="F332" s="31" t="s">
        <v>87</v>
      </c>
      <c r="G332" s="31" t="s">
        <v>90</v>
      </c>
      <c r="H332" s="28">
        <f>'CUOTA LTP'!K222</f>
        <v>0</v>
      </c>
      <c r="I332" s="28">
        <f>'CUOTA LTP'!L222</f>
        <v>0.18792</v>
      </c>
      <c r="J332" s="28">
        <f>'CUOTA LTP'!M222</f>
        <v>0.18792</v>
      </c>
      <c r="K332" s="28">
        <f>'CUOTA LTP'!N222</f>
        <v>0.13800000000000001</v>
      </c>
      <c r="L332" s="28">
        <f>'CUOTA LTP'!O222</f>
        <v>4.9919999999999992E-2</v>
      </c>
      <c r="M332" s="33">
        <f>'CUOTA LTP'!P223</f>
        <v>0</v>
      </c>
      <c r="N332" s="10" t="s">
        <v>91</v>
      </c>
      <c r="O332" s="10">
        <f>'RESUMEN '!$B$3</f>
        <v>44561</v>
      </c>
      <c r="P332" s="39">
        <v>2021</v>
      </c>
      <c r="Q332" s="31"/>
    </row>
    <row r="333" spans="1:17" x14ac:dyDescent="0.25">
      <c r="A333" s="31" t="s">
        <v>20</v>
      </c>
      <c r="B333" s="31" t="s">
        <v>84</v>
      </c>
      <c r="C333" s="31" t="s">
        <v>98</v>
      </c>
      <c r="D333" s="31" t="s">
        <v>100</v>
      </c>
      <c r="E333" s="31" t="str">
        <f>'CUOTA LTP'!C228</f>
        <v>PESQUERA CMK LIMITADA</v>
      </c>
      <c r="F333" s="31" t="s">
        <v>87</v>
      </c>
      <c r="G333" s="31" t="s">
        <v>88</v>
      </c>
      <c r="H333" s="28">
        <f>'CUOTA LTP'!E228</f>
        <v>0</v>
      </c>
      <c r="I333" s="28">
        <f>'CUOTA LTP'!F228</f>
        <v>9.3960000000000002E-2</v>
      </c>
      <c r="J333" s="28">
        <f>'CUOTA LTP'!G228</f>
        <v>9.3960000000000002E-2</v>
      </c>
      <c r="K333" s="28">
        <f>'CUOTA LTP'!H228</f>
        <v>0.05</v>
      </c>
      <c r="L333" s="28">
        <f>'CUOTA LTP'!I228</f>
        <v>4.3959999999999999E-2</v>
      </c>
      <c r="M333" s="33">
        <v>0</v>
      </c>
      <c r="N333" s="10" t="s">
        <v>91</v>
      </c>
      <c r="O333" s="10">
        <f>'RESUMEN '!$B$3</f>
        <v>44561</v>
      </c>
      <c r="P333" s="39">
        <v>2021</v>
      </c>
      <c r="Q333" s="31"/>
    </row>
    <row r="334" spans="1:17" x14ac:dyDescent="0.25">
      <c r="A334" s="31" t="s">
        <v>20</v>
      </c>
      <c r="B334" s="31" t="s">
        <v>84</v>
      </c>
      <c r="C334" s="31" t="s">
        <v>98</v>
      </c>
      <c r="D334" s="31" t="s">
        <v>100</v>
      </c>
      <c r="E334" s="31" t="str">
        <f>'CUOTA LTP'!C228</f>
        <v>PESQUERA CMK LIMITADA</v>
      </c>
      <c r="F334" s="31" t="s">
        <v>89</v>
      </c>
      <c r="G334" s="31" t="s">
        <v>90</v>
      </c>
      <c r="H334" s="28">
        <f>'CUOTA LTP'!E229</f>
        <v>0</v>
      </c>
      <c r="I334" s="28">
        <f>'CUOTA LTP'!F229</f>
        <v>0</v>
      </c>
      <c r="J334" s="28">
        <f>'CUOTA LTP'!G229</f>
        <v>4.3959999999999999E-2</v>
      </c>
      <c r="K334" s="28">
        <f>'CUOTA LTP'!H229</f>
        <v>0</v>
      </c>
      <c r="L334" s="28">
        <f>'CUOTA LTP'!I229</f>
        <v>4.3959999999999999E-2</v>
      </c>
      <c r="M334" s="33">
        <f>'CUOTA LTP'!P229</f>
        <v>0</v>
      </c>
      <c r="N334" s="10" t="s">
        <v>91</v>
      </c>
      <c r="O334" s="10">
        <f>'RESUMEN '!$B$3</f>
        <v>44561</v>
      </c>
      <c r="P334" s="39">
        <v>2021</v>
      </c>
      <c r="Q334" s="31"/>
    </row>
    <row r="335" spans="1:17" x14ac:dyDescent="0.25">
      <c r="A335" s="31" t="s">
        <v>20</v>
      </c>
      <c r="B335" s="31" t="s">
        <v>84</v>
      </c>
      <c r="C335" s="31" t="s">
        <v>98</v>
      </c>
      <c r="D335" s="31" t="s">
        <v>100</v>
      </c>
      <c r="E335" s="31" t="str">
        <f>'CUOTA LTP'!C228</f>
        <v>PESQUERA CMK LIMITADA</v>
      </c>
      <c r="F335" s="31" t="s">
        <v>87</v>
      </c>
      <c r="G335" s="31" t="s">
        <v>90</v>
      </c>
      <c r="H335" s="28">
        <f>'CUOTA LTP'!K228</f>
        <v>0</v>
      </c>
      <c r="I335" s="28">
        <f>'CUOTA LTP'!L228</f>
        <v>9.3960000000000002E-2</v>
      </c>
      <c r="J335" s="28">
        <f>'CUOTA LTP'!M228</f>
        <v>9.3960000000000002E-2</v>
      </c>
      <c r="K335" s="28">
        <f>'CUOTA LTP'!N228</f>
        <v>0.05</v>
      </c>
      <c r="L335" s="28">
        <f>'CUOTA LTP'!O228</f>
        <v>4.3959999999999999E-2</v>
      </c>
      <c r="M335" s="33">
        <f>'CUOTA LTP'!P230</f>
        <v>0.61964520335471451</v>
      </c>
      <c r="N335" s="10" t="s">
        <v>91</v>
      </c>
      <c r="O335" s="10">
        <f>'RESUMEN '!$B$3</f>
        <v>44561</v>
      </c>
      <c r="P335" s="39">
        <v>2021</v>
      </c>
      <c r="Q335" s="31"/>
    </row>
    <row r="336" spans="1:17" x14ac:dyDescent="0.25">
      <c r="A336" s="16" t="s">
        <v>20</v>
      </c>
      <c r="B336" s="16" t="s">
        <v>84</v>
      </c>
      <c r="C336" s="16" t="s">
        <v>101</v>
      </c>
      <c r="D336" s="16" t="s">
        <v>102</v>
      </c>
      <c r="E336" s="16" t="s">
        <v>103</v>
      </c>
      <c r="F336" s="16" t="s">
        <v>87</v>
      </c>
      <c r="G336" s="16" t="s">
        <v>90</v>
      </c>
      <c r="H336" s="17">
        <f>'CUOTA LTP'!E230</f>
        <v>4698.0001059999986</v>
      </c>
      <c r="I336" s="17">
        <f>'CUOTA LTP'!F230</f>
        <v>-106.84699999999999</v>
      </c>
      <c r="J336" s="17">
        <f>'CUOTA LTP'!G230</f>
        <v>4591.1531059999988</v>
      </c>
      <c r="K336" s="17">
        <f>'CUOTA LTP'!H230</f>
        <v>2844.8859999999991</v>
      </c>
      <c r="L336" s="17">
        <f>'CUOTA LTP'!I230</f>
        <v>1746.2671059999998</v>
      </c>
      <c r="M336" s="34">
        <f>'CUOTA LTP'!J230</f>
        <v>0.61964520335471462</v>
      </c>
      <c r="N336" s="18" t="s">
        <v>91</v>
      </c>
      <c r="O336" s="18">
        <f>'RESUMEN '!$B$3</f>
        <v>44561</v>
      </c>
      <c r="P336" s="39">
        <v>2021</v>
      </c>
      <c r="Q336" s="1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14"/>
  <sheetViews>
    <sheetView topLeftCell="A22" workbookViewId="0">
      <selection activeCell="J65" sqref="J65"/>
    </sheetView>
  </sheetViews>
  <sheetFormatPr baseColWidth="10" defaultRowHeight="15" x14ac:dyDescent="0.25"/>
  <cols>
    <col min="1" max="1" width="19.42578125" bestFit="1" customWidth="1"/>
    <col min="2" max="2" width="34.140625" bestFit="1" customWidth="1"/>
    <col min="7" max="7" width="25.140625" customWidth="1"/>
  </cols>
  <sheetData>
    <row r="2" spans="1:6" ht="15.75" thickBot="1" x14ac:dyDescent="0.3">
      <c r="A2" s="131" t="s">
        <v>134</v>
      </c>
      <c r="B2" s="131">
        <v>10</v>
      </c>
      <c r="C2" s="131" t="s">
        <v>135</v>
      </c>
    </row>
    <row r="3" spans="1:6" ht="15.75" thickBot="1" x14ac:dyDescent="0.3">
      <c r="A3" s="105" t="s">
        <v>0</v>
      </c>
      <c r="B3" s="106" t="s">
        <v>35</v>
      </c>
      <c r="C3" s="106" t="s">
        <v>129</v>
      </c>
      <c r="D3" s="106" t="s">
        <v>130</v>
      </c>
      <c r="E3" s="106" t="s">
        <v>131</v>
      </c>
      <c r="F3" s="106" t="s">
        <v>132</v>
      </c>
    </row>
    <row r="4" spans="1:6" x14ac:dyDescent="0.25">
      <c r="A4" s="363" t="s">
        <v>52</v>
      </c>
      <c r="B4" s="366" t="s">
        <v>36</v>
      </c>
      <c r="C4" s="366">
        <f>0.1485321</f>
        <v>0.1485321</v>
      </c>
      <c r="D4" s="366">
        <f>0.0039+0.012</f>
        <v>1.5900000000000001E-2</v>
      </c>
      <c r="E4" s="366">
        <f>C4+D4</f>
        <v>0.1644321</v>
      </c>
      <c r="F4" s="366">
        <f>E4*$B$2</f>
        <v>1.6443209999999999</v>
      </c>
    </row>
    <row r="5" spans="1:6" ht="15.75" thickBot="1" x14ac:dyDescent="0.3">
      <c r="A5" s="364"/>
      <c r="B5" s="358"/>
      <c r="C5" s="358"/>
      <c r="D5" s="358"/>
      <c r="E5" s="358"/>
      <c r="F5" s="358"/>
    </row>
    <row r="6" spans="1:6" x14ac:dyDescent="0.25">
      <c r="A6" s="364"/>
      <c r="B6" s="358" t="s">
        <v>37</v>
      </c>
      <c r="C6" s="358">
        <f>0.0566081+0.0732369+0.0175203+0.1275318</f>
        <v>0.27489710000000001</v>
      </c>
      <c r="D6" s="358">
        <f>0.0006+0.006+0.0135+0.00825+0.0048</f>
        <v>3.3149999999999999E-2</v>
      </c>
      <c r="E6" s="366">
        <f t="shared" ref="E6" si="0">C6+D6</f>
        <v>0.30804710000000002</v>
      </c>
      <c r="F6" s="366">
        <f t="shared" ref="F6" si="1">E6*$B$2</f>
        <v>3.0804710000000002</v>
      </c>
    </row>
    <row r="7" spans="1:6" ht="15.75" thickBot="1" x14ac:dyDescent="0.3">
      <c r="A7" s="364"/>
      <c r="B7" s="358"/>
      <c r="C7" s="358"/>
      <c r="D7" s="358"/>
      <c r="E7" s="358"/>
      <c r="F7" s="358"/>
    </row>
    <row r="8" spans="1:6" x14ac:dyDescent="0.25">
      <c r="A8" s="364"/>
      <c r="B8" s="358" t="s">
        <v>38</v>
      </c>
      <c r="C8" s="358">
        <f>0.00003</f>
        <v>3.0000000000000001E-5</v>
      </c>
      <c r="D8" s="358"/>
      <c r="E8" s="366">
        <f t="shared" ref="E8" si="2">C8+D8</f>
        <v>3.0000000000000001E-5</v>
      </c>
      <c r="F8" s="366">
        <f t="shared" ref="F8" si="3">E8*$B$2</f>
        <v>3.0000000000000003E-4</v>
      </c>
    </row>
    <row r="9" spans="1:6" ht="15.75" thickBot="1" x14ac:dyDescent="0.3">
      <c r="A9" s="364"/>
      <c r="B9" s="358"/>
      <c r="C9" s="358"/>
      <c r="D9" s="358"/>
      <c r="E9" s="358"/>
      <c r="F9" s="358"/>
    </row>
    <row r="10" spans="1:6" x14ac:dyDescent="0.25">
      <c r="A10" s="364"/>
      <c r="B10" s="358" t="s">
        <v>39</v>
      </c>
      <c r="C10" s="358">
        <f>0.1458534</f>
        <v>0.14585339999999999</v>
      </c>
      <c r="D10" s="358">
        <f>0.0045+0.0045+0.00675</f>
        <v>1.575E-2</v>
      </c>
      <c r="E10" s="366">
        <f t="shared" ref="E10" si="4">C10+D10</f>
        <v>0.16160340000000001</v>
      </c>
      <c r="F10" s="366">
        <f t="shared" ref="F10" si="5">E10*$B$2</f>
        <v>1.616034</v>
      </c>
    </row>
    <row r="11" spans="1:6" ht="15.75" thickBot="1" x14ac:dyDescent="0.3">
      <c r="A11" s="364"/>
      <c r="B11" s="358"/>
      <c r="C11" s="358"/>
      <c r="D11" s="358"/>
      <c r="E11" s="358"/>
      <c r="F11" s="358"/>
    </row>
    <row r="12" spans="1:6" x14ac:dyDescent="0.25">
      <c r="A12" s="364"/>
      <c r="B12" s="358" t="s">
        <v>40</v>
      </c>
      <c r="C12" s="358">
        <f>0.0007568</f>
        <v>7.5679999999999996E-4</v>
      </c>
      <c r="D12" s="358">
        <v>4.4999999999999997E-3</v>
      </c>
      <c r="E12" s="366">
        <f t="shared" ref="E12" si="6">C12+D12</f>
        <v>5.2567999999999998E-3</v>
      </c>
      <c r="F12" s="366">
        <f t="shared" ref="F12" si="7">E12*$B$2</f>
        <v>5.2567999999999997E-2</v>
      </c>
    </row>
    <row r="13" spans="1:6" ht="15.75" thickBot="1" x14ac:dyDescent="0.3">
      <c r="A13" s="364"/>
      <c r="B13" s="358"/>
      <c r="C13" s="358"/>
      <c r="D13" s="358"/>
      <c r="E13" s="358"/>
      <c r="F13" s="358"/>
    </row>
    <row r="14" spans="1:6" x14ac:dyDescent="0.25">
      <c r="A14" s="364"/>
      <c r="B14" s="358" t="s">
        <v>41</v>
      </c>
      <c r="C14" s="358">
        <f>0.004693</f>
        <v>4.6930000000000001E-3</v>
      </c>
      <c r="D14" s="358"/>
      <c r="E14" s="366">
        <f t="shared" ref="E14" si="8">C14+D14</f>
        <v>4.6930000000000001E-3</v>
      </c>
      <c r="F14" s="366">
        <f t="shared" ref="F14" si="9">E14*$B$2</f>
        <v>4.6929999999999999E-2</v>
      </c>
    </row>
    <row r="15" spans="1:6" ht="15.75" thickBot="1" x14ac:dyDescent="0.3">
      <c r="A15" s="364"/>
      <c r="B15" s="358"/>
      <c r="C15" s="358"/>
      <c r="D15" s="358"/>
      <c r="E15" s="358"/>
      <c r="F15" s="358"/>
    </row>
    <row r="16" spans="1:6" x14ac:dyDescent="0.25">
      <c r="A16" s="364"/>
      <c r="B16" s="358" t="s">
        <v>42</v>
      </c>
      <c r="C16" s="358">
        <f>0.002839</f>
        <v>2.8389999999999999E-3</v>
      </c>
      <c r="D16" s="358"/>
      <c r="E16" s="366">
        <f t="shared" ref="E16" si="10">C16+D16</f>
        <v>2.8389999999999999E-3</v>
      </c>
      <c r="F16" s="366">
        <f t="shared" ref="F16" si="11">E16*$B$2</f>
        <v>2.8389999999999999E-2</v>
      </c>
    </row>
    <row r="17" spans="1:6" ht="15.75" thickBot="1" x14ac:dyDescent="0.3">
      <c r="A17" s="364"/>
      <c r="B17" s="358"/>
      <c r="C17" s="358"/>
      <c r="D17" s="358"/>
      <c r="E17" s="358"/>
      <c r="F17" s="358"/>
    </row>
    <row r="18" spans="1:6" x14ac:dyDescent="0.25">
      <c r="A18" s="364"/>
      <c r="B18" s="379" t="s">
        <v>43</v>
      </c>
      <c r="C18" s="379">
        <f>0.151771+0.0369113+0.0311581</f>
        <v>0.21984039999999999</v>
      </c>
      <c r="D18" s="379">
        <f>0.0015+0.0015+0.0015+0.003+0.003+0.003+0.003+0.003+0.003+0.00235+0.00215+0.0045+0.0045+0.0045+0.0045+0.00255+0.00218+0.0075+0.012+0.0102</f>
        <v>7.9430000000000001E-2</v>
      </c>
      <c r="E18" s="380">
        <f t="shared" ref="E18" si="12">C18+D18</f>
        <v>0.29927039999999999</v>
      </c>
      <c r="F18" s="380">
        <f t="shared" ref="F18" si="13">E18*$B$2</f>
        <v>2.9927039999999998</v>
      </c>
    </row>
    <row r="19" spans="1:6" ht="15.75" thickBot="1" x14ac:dyDescent="0.3">
      <c r="A19" s="364"/>
      <c r="B19" s="379"/>
      <c r="C19" s="379"/>
      <c r="D19" s="379"/>
      <c r="E19" s="379"/>
      <c r="F19" s="379"/>
    </row>
    <row r="20" spans="1:6" x14ac:dyDescent="0.25">
      <c r="A20" s="364"/>
      <c r="B20" s="358" t="s">
        <v>44</v>
      </c>
      <c r="C20" s="358">
        <f>0.0015497</f>
        <v>1.5497E-3</v>
      </c>
      <c r="D20" s="358"/>
      <c r="E20" s="366">
        <f t="shared" ref="E20" si="14">C20+D20</f>
        <v>1.5497E-3</v>
      </c>
      <c r="F20" s="366">
        <f t="shared" ref="F20" si="15">E20*$B$2</f>
        <v>1.5497E-2</v>
      </c>
    </row>
    <row r="21" spans="1:6" ht="15.75" thickBot="1" x14ac:dyDescent="0.3">
      <c r="A21" s="364"/>
      <c r="B21" s="358"/>
      <c r="C21" s="358"/>
      <c r="D21" s="358"/>
      <c r="E21" s="358"/>
      <c r="F21" s="358"/>
    </row>
    <row r="22" spans="1:6" x14ac:dyDescent="0.25">
      <c r="A22" s="364"/>
      <c r="B22" s="358" t="s">
        <v>45</v>
      </c>
      <c r="C22" s="358">
        <f>0.0324857</f>
        <v>3.2485699999999999E-2</v>
      </c>
      <c r="D22" s="358"/>
      <c r="E22" s="366">
        <f t="shared" ref="E22" si="16">C22+D22</f>
        <v>3.2485699999999999E-2</v>
      </c>
      <c r="F22" s="366">
        <f t="shared" ref="F22" si="17">E22*$B$2</f>
        <v>0.32485700000000001</v>
      </c>
    </row>
    <row r="23" spans="1:6" ht="15.75" thickBot="1" x14ac:dyDescent="0.3">
      <c r="A23" s="364"/>
      <c r="B23" s="358"/>
      <c r="C23" s="358"/>
      <c r="D23" s="358"/>
      <c r="E23" s="358"/>
      <c r="F23" s="358"/>
    </row>
    <row r="24" spans="1:6" x14ac:dyDescent="0.25">
      <c r="A24" s="364"/>
      <c r="B24" s="358" t="s">
        <v>46</v>
      </c>
      <c r="C24" s="358">
        <f>0.00003</f>
        <v>3.0000000000000001E-5</v>
      </c>
      <c r="D24" s="358"/>
      <c r="E24" s="366">
        <f t="shared" ref="E24" si="18">C24+D24</f>
        <v>3.0000000000000001E-5</v>
      </c>
      <c r="F24" s="366">
        <f t="shared" ref="F24" si="19">E24*$B$2</f>
        <v>3.0000000000000003E-4</v>
      </c>
    </row>
    <row r="25" spans="1:6" ht="15.75" thickBot="1" x14ac:dyDescent="0.3">
      <c r="A25" s="364"/>
      <c r="B25" s="358"/>
      <c r="C25" s="358"/>
      <c r="D25" s="358"/>
      <c r="E25" s="358"/>
      <c r="F25" s="358"/>
    </row>
    <row r="26" spans="1:6" x14ac:dyDescent="0.25">
      <c r="A26" s="364"/>
      <c r="B26" s="358" t="s">
        <v>47</v>
      </c>
      <c r="C26" s="358">
        <f>0.00002</f>
        <v>2.0000000000000002E-5</v>
      </c>
      <c r="D26" s="358"/>
      <c r="E26" s="366">
        <f t="shared" ref="E26" si="20">C26+D26</f>
        <v>2.0000000000000002E-5</v>
      </c>
      <c r="F26" s="366">
        <f t="shared" ref="F26" si="21">E26*$B$2</f>
        <v>2.0000000000000001E-4</v>
      </c>
    </row>
    <row r="27" spans="1:6" ht="15.75" thickBot="1" x14ac:dyDescent="0.3">
      <c r="A27" s="364"/>
      <c r="B27" s="358"/>
      <c r="C27" s="358"/>
      <c r="D27" s="358"/>
      <c r="E27" s="358"/>
      <c r="F27" s="358"/>
    </row>
    <row r="28" spans="1:6" x14ac:dyDescent="0.25">
      <c r="A28" s="364"/>
      <c r="B28" s="358" t="s">
        <v>48</v>
      </c>
      <c r="C28" s="358">
        <f>0.0181825</f>
        <v>1.8182500000000001E-2</v>
      </c>
      <c r="D28" s="358"/>
      <c r="E28" s="366">
        <f t="shared" ref="E28" si="22">C28+D28</f>
        <v>1.8182500000000001E-2</v>
      </c>
      <c r="F28" s="366">
        <f t="shared" ref="F28" si="23">E28*$B$2</f>
        <v>0.18182500000000001</v>
      </c>
    </row>
    <row r="29" spans="1:6" ht="15.75" thickBot="1" x14ac:dyDescent="0.3">
      <c r="A29" s="364"/>
      <c r="B29" s="358"/>
      <c r="C29" s="358"/>
      <c r="D29" s="358"/>
      <c r="E29" s="358"/>
      <c r="F29" s="358"/>
    </row>
    <row r="30" spans="1:6" x14ac:dyDescent="0.25">
      <c r="A30" s="364"/>
      <c r="B30" s="358" t="s">
        <v>49</v>
      </c>
      <c r="C30" s="358">
        <f>0.00001</f>
        <v>1.0000000000000001E-5</v>
      </c>
      <c r="D30" s="358"/>
      <c r="E30" s="366">
        <f t="shared" ref="E30" si="24">C30+D30</f>
        <v>1.0000000000000001E-5</v>
      </c>
      <c r="F30" s="366">
        <f t="shared" ref="F30" si="25">E30*$B$2</f>
        <v>1E-4</v>
      </c>
    </row>
    <row r="31" spans="1:6" ht="15.75" thickBot="1" x14ac:dyDescent="0.3">
      <c r="A31" s="364"/>
      <c r="B31" s="358"/>
      <c r="C31" s="358"/>
      <c r="D31" s="358"/>
      <c r="E31" s="358"/>
      <c r="F31" s="358"/>
    </row>
    <row r="32" spans="1:6" x14ac:dyDescent="0.25">
      <c r="A32" s="364"/>
      <c r="B32" s="358" t="s">
        <v>50</v>
      </c>
      <c r="C32" s="358">
        <f>0.00027</f>
        <v>2.7E-4</v>
      </c>
      <c r="D32" s="358"/>
      <c r="E32" s="366">
        <f t="shared" ref="E32" si="26">C32+D32</f>
        <v>2.7E-4</v>
      </c>
      <c r="F32" s="366">
        <f t="shared" ref="F32" si="27">E32*$B$2</f>
        <v>2.7000000000000001E-3</v>
      </c>
    </row>
    <row r="33" spans="1:8" ht="15.75" thickBot="1" x14ac:dyDescent="0.3">
      <c r="A33" s="364"/>
      <c r="B33" s="358"/>
      <c r="C33" s="358"/>
      <c r="D33" s="358"/>
      <c r="E33" s="358"/>
      <c r="F33" s="358"/>
    </row>
    <row r="34" spans="1:8" x14ac:dyDescent="0.25">
      <c r="A34" s="364"/>
      <c r="B34" s="358" t="s">
        <v>51</v>
      </c>
      <c r="C34" s="358">
        <f>0.00001</f>
        <v>1.0000000000000001E-5</v>
      </c>
      <c r="D34" s="358">
        <v>1.2700000000000001E-3</v>
      </c>
      <c r="E34" s="366">
        <f t="shared" ref="E34" si="28">C34+D34</f>
        <v>1.2800000000000001E-3</v>
      </c>
      <c r="F34" s="366">
        <f t="shared" ref="F34" si="29">E34*$B$2</f>
        <v>1.2800000000000001E-2</v>
      </c>
    </row>
    <row r="35" spans="1:8" ht="15.75" thickBot="1" x14ac:dyDescent="0.3">
      <c r="A35" s="365"/>
      <c r="B35" s="359"/>
      <c r="C35" s="359"/>
      <c r="D35" s="359"/>
      <c r="E35" s="358"/>
      <c r="F35" s="358"/>
    </row>
    <row r="36" spans="1:8" ht="15.75" thickBot="1" x14ac:dyDescent="0.3">
      <c r="C36">
        <f>SUM(C4:C35)</f>
        <v>0.84999969999999969</v>
      </c>
      <c r="D36">
        <f t="shared" ref="D36:F36" si="30">SUM(D4:D35)</f>
        <v>0.15</v>
      </c>
      <c r="E36">
        <f t="shared" si="30"/>
        <v>0.99999969999999971</v>
      </c>
      <c r="F36">
        <f t="shared" si="30"/>
        <v>9.9999969999999987</v>
      </c>
    </row>
    <row r="37" spans="1:8" ht="15.75" thickBot="1" x14ac:dyDescent="0.3">
      <c r="C37" s="106" t="s">
        <v>129</v>
      </c>
      <c r="D37" s="106" t="s">
        <v>130</v>
      </c>
      <c r="E37" s="106" t="s">
        <v>131</v>
      </c>
      <c r="F37" s="106" t="s">
        <v>132</v>
      </c>
      <c r="G37">
        <v>402</v>
      </c>
      <c r="H37" s="132" t="s">
        <v>136</v>
      </c>
    </row>
    <row r="38" spans="1:8" x14ac:dyDescent="0.25">
      <c r="A38" s="317" t="s">
        <v>53</v>
      </c>
      <c r="B38" s="320" t="s">
        <v>36</v>
      </c>
      <c r="C38" s="366">
        <f>0.1485321</f>
        <v>0.1485321</v>
      </c>
      <c r="D38" s="366">
        <f>0.0039+0.012</f>
        <v>1.5900000000000001E-2</v>
      </c>
      <c r="E38" s="366">
        <f>C38+D38</f>
        <v>0.1644321</v>
      </c>
      <c r="F38" s="366">
        <f>E38*$G$37</f>
        <v>66.1017042</v>
      </c>
      <c r="G38" s="330">
        <v>66.101699999999994</v>
      </c>
      <c r="H38" s="330">
        <f>F38-G38</f>
        <v>4.200000006449045E-6</v>
      </c>
    </row>
    <row r="39" spans="1:8" ht="15.75" thickBot="1" x14ac:dyDescent="0.3">
      <c r="A39" s="318"/>
      <c r="B39" s="308"/>
      <c r="C39" s="358"/>
      <c r="D39" s="358"/>
      <c r="E39" s="358"/>
      <c r="F39" s="358"/>
      <c r="G39" s="310"/>
      <c r="H39" s="310"/>
    </row>
    <row r="40" spans="1:8" x14ac:dyDescent="0.25">
      <c r="A40" s="318"/>
      <c r="B40" s="308" t="s">
        <v>37</v>
      </c>
      <c r="C40" s="358">
        <f>0.0566081+0.0732369+0.0175203+0.1275318</f>
        <v>0.27489710000000001</v>
      </c>
      <c r="D40" s="358">
        <f>0.0006+0.006+0.0135+0.00825+0.0048</f>
        <v>3.3149999999999999E-2</v>
      </c>
      <c r="E40" s="366">
        <f t="shared" ref="E40" si="31">C40+D40</f>
        <v>0.30804710000000002</v>
      </c>
      <c r="F40" s="366">
        <f t="shared" ref="F40" si="32">E40*$G$37</f>
        <v>123.83493420000001</v>
      </c>
      <c r="G40" s="310">
        <v>123.83493</v>
      </c>
      <c r="H40" s="330">
        <f t="shared" ref="H40" si="33">F40-G40</f>
        <v>4.200000006449045E-6</v>
      </c>
    </row>
    <row r="41" spans="1:8" ht="15.75" thickBot="1" x14ac:dyDescent="0.3">
      <c r="A41" s="318"/>
      <c r="B41" s="308"/>
      <c r="C41" s="358"/>
      <c r="D41" s="358"/>
      <c r="E41" s="358"/>
      <c r="F41" s="358"/>
      <c r="G41" s="310"/>
      <c r="H41" s="310"/>
    </row>
    <row r="42" spans="1:8" x14ac:dyDescent="0.25">
      <c r="A42" s="318"/>
      <c r="B42" s="308" t="s">
        <v>38</v>
      </c>
      <c r="C42" s="358">
        <f>0.00003</f>
        <v>3.0000000000000001E-5</v>
      </c>
      <c r="D42" s="358"/>
      <c r="E42" s="366">
        <f t="shared" ref="E42" si="34">C42+D42</f>
        <v>3.0000000000000001E-5</v>
      </c>
      <c r="F42" s="366">
        <f t="shared" ref="F42" si="35">E42*$G$37</f>
        <v>1.206E-2</v>
      </c>
      <c r="G42" s="310">
        <v>1.206E-2</v>
      </c>
      <c r="H42" s="330">
        <f t="shared" ref="H42" si="36">F42-G42</f>
        <v>0</v>
      </c>
    </row>
    <row r="43" spans="1:8" ht="15.75" thickBot="1" x14ac:dyDescent="0.3">
      <c r="A43" s="318"/>
      <c r="B43" s="308"/>
      <c r="C43" s="358"/>
      <c r="D43" s="358"/>
      <c r="E43" s="358"/>
      <c r="F43" s="358"/>
      <c r="G43" s="310"/>
      <c r="H43" s="310"/>
    </row>
    <row r="44" spans="1:8" x14ac:dyDescent="0.25">
      <c r="A44" s="318"/>
      <c r="B44" s="308" t="s">
        <v>39</v>
      </c>
      <c r="C44" s="358">
        <f>0.1458534</f>
        <v>0.14585339999999999</v>
      </c>
      <c r="D44" s="358">
        <f>0.0045+0.0045+0.00675</f>
        <v>1.575E-2</v>
      </c>
      <c r="E44" s="366">
        <f t="shared" ref="E44" si="37">C44+D44</f>
        <v>0.16160340000000001</v>
      </c>
      <c r="F44" s="366">
        <f t="shared" ref="F44" si="38">E44*$G$37</f>
        <v>64.9645668</v>
      </c>
      <c r="G44" s="310">
        <v>64.964569999999995</v>
      </c>
      <c r="H44" s="330">
        <f t="shared" ref="H44" si="39">F44-G44</f>
        <v>-3.1999999947629476E-6</v>
      </c>
    </row>
    <row r="45" spans="1:8" ht="15.75" thickBot="1" x14ac:dyDescent="0.3">
      <c r="A45" s="318"/>
      <c r="B45" s="308"/>
      <c r="C45" s="358"/>
      <c r="D45" s="358"/>
      <c r="E45" s="358"/>
      <c r="F45" s="358"/>
      <c r="G45" s="310"/>
      <c r="H45" s="310"/>
    </row>
    <row r="46" spans="1:8" x14ac:dyDescent="0.25">
      <c r="A46" s="318"/>
      <c r="B46" s="308" t="s">
        <v>40</v>
      </c>
      <c r="C46" s="358">
        <f>0.0007568</f>
        <v>7.5679999999999996E-4</v>
      </c>
      <c r="D46" s="358">
        <v>4.4999999999999997E-3</v>
      </c>
      <c r="E46" s="366">
        <f t="shared" ref="E46" si="40">C46+D46</f>
        <v>5.2567999999999998E-3</v>
      </c>
      <c r="F46" s="366">
        <f t="shared" ref="F46" si="41">E46*$G$37</f>
        <v>2.1132336</v>
      </c>
      <c r="G46" s="310">
        <v>2.1132300000000002</v>
      </c>
      <c r="H46" s="330">
        <f t="shared" ref="H46" si="42">F46-G46</f>
        <v>3.5999999998814758E-6</v>
      </c>
    </row>
    <row r="47" spans="1:8" ht="15.75" thickBot="1" x14ac:dyDescent="0.3">
      <c r="A47" s="318"/>
      <c r="B47" s="308"/>
      <c r="C47" s="358"/>
      <c r="D47" s="358"/>
      <c r="E47" s="358"/>
      <c r="F47" s="358"/>
      <c r="G47" s="310"/>
      <c r="H47" s="310"/>
    </row>
    <row r="48" spans="1:8" x14ac:dyDescent="0.25">
      <c r="A48" s="318"/>
      <c r="B48" s="308" t="s">
        <v>41</v>
      </c>
      <c r="C48" s="358">
        <f>0.004693</f>
        <v>4.6930000000000001E-3</v>
      </c>
      <c r="D48" s="358"/>
      <c r="E48" s="366">
        <f t="shared" ref="E48" si="43">C48+D48</f>
        <v>4.6930000000000001E-3</v>
      </c>
      <c r="F48" s="366">
        <f t="shared" ref="F48" si="44">E48*$G$37</f>
        <v>1.8865860000000001</v>
      </c>
      <c r="G48" s="310">
        <v>1.88659</v>
      </c>
      <c r="H48" s="330">
        <f t="shared" ref="H48" si="45">F48-G48</f>
        <v>-3.9999999998929781E-6</v>
      </c>
    </row>
    <row r="49" spans="1:8" ht="15.75" thickBot="1" x14ac:dyDescent="0.3">
      <c r="A49" s="318"/>
      <c r="B49" s="308"/>
      <c r="C49" s="358"/>
      <c r="D49" s="358"/>
      <c r="E49" s="358"/>
      <c r="F49" s="358"/>
      <c r="G49" s="310"/>
      <c r="H49" s="310"/>
    </row>
    <row r="50" spans="1:8" x14ac:dyDescent="0.25">
      <c r="A50" s="318"/>
      <c r="B50" s="308" t="s">
        <v>42</v>
      </c>
      <c r="C50" s="358">
        <f>0.002839</f>
        <v>2.8389999999999999E-3</v>
      </c>
      <c r="D50" s="358"/>
      <c r="E50" s="366">
        <f t="shared" ref="E50" si="46">C50+D50</f>
        <v>2.8389999999999999E-3</v>
      </c>
      <c r="F50" s="366">
        <f t="shared" ref="F50" si="47">E50*$G$37</f>
        <v>1.141278</v>
      </c>
      <c r="G50" s="310">
        <v>1.1412800000000001</v>
      </c>
      <c r="H50" s="330">
        <f t="shared" ref="H50" si="48">F50-G50</f>
        <v>-2.0000000000575113E-6</v>
      </c>
    </row>
    <row r="51" spans="1:8" ht="15.75" thickBot="1" x14ac:dyDescent="0.3">
      <c r="A51" s="318"/>
      <c r="B51" s="308"/>
      <c r="C51" s="358"/>
      <c r="D51" s="358"/>
      <c r="E51" s="358"/>
      <c r="F51" s="358"/>
      <c r="G51" s="310"/>
      <c r="H51" s="310"/>
    </row>
    <row r="52" spans="1:8" x14ac:dyDescent="0.25">
      <c r="A52" s="318"/>
      <c r="B52" s="308" t="s">
        <v>43</v>
      </c>
      <c r="C52" s="379">
        <f>0.151771+0.0369113+0.0311581</f>
        <v>0.21984039999999999</v>
      </c>
      <c r="D52" s="379">
        <f>0.0015+0.0015+0.0015+0.003+0.003+0.003+0.003+0.003+0.003+0.00235+0.00215+0.0045+0.0045+0.0045+0.0045+0.00255+0.00218+0.0075+0.012+0.0102</f>
        <v>7.9430000000000001E-2</v>
      </c>
      <c r="E52" s="380">
        <f t="shared" ref="E52" si="49">C52+D52</f>
        <v>0.29927039999999999</v>
      </c>
      <c r="F52" s="366">
        <f t="shared" ref="F52" si="50">E52*$G$37</f>
        <v>120.3067008</v>
      </c>
      <c r="G52" s="310">
        <v>120.30669000000003</v>
      </c>
      <c r="H52" s="330">
        <f t="shared" ref="H52" si="51">F52-G52</f>
        <v>1.079999996989045E-5</v>
      </c>
    </row>
    <row r="53" spans="1:8" ht="15.75" thickBot="1" x14ac:dyDescent="0.3">
      <c r="A53" s="318"/>
      <c r="B53" s="308"/>
      <c r="C53" s="379"/>
      <c r="D53" s="379"/>
      <c r="E53" s="379"/>
      <c r="F53" s="358"/>
      <c r="G53" s="310"/>
      <c r="H53" s="310"/>
    </row>
    <row r="54" spans="1:8" x14ac:dyDescent="0.25">
      <c r="A54" s="318"/>
      <c r="B54" s="308" t="s">
        <v>44</v>
      </c>
      <c r="C54" s="358">
        <f>0.0015497</f>
        <v>1.5497E-3</v>
      </c>
      <c r="D54" s="358"/>
      <c r="E54" s="366">
        <f t="shared" ref="E54" si="52">C54+D54</f>
        <v>1.5497E-3</v>
      </c>
      <c r="F54" s="366">
        <f t="shared" ref="F54" si="53">E54*$G$37</f>
        <v>0.62297939999999996</v>
      </c>
      <c r="G54" s="310">
        <v>0.62297999999999998</v>
      </c>
      <c r="H54" s="330">
        <f t="shared" ref="H54" si="54">F54-G54</f>
        <v>-6.000000000172534E-7</v>
      </c>
    </row>
    <row r="55" spans="1:8" ht="15.75" thickBot="1" x14ac:dyDescent="0.3">
      <c r="A55" s="318"/>
      <c r="B55" s="308"/>
      <c r="C55" s="358"/>
      <c r="D55" s="358"/>
      <c r="E55" s="358"/>
      <c r="F55" s="358"/>
      <c r="G55" s="310"/>
      <c r="H55" s="310"/>
    </row>
    <row r="56" spans="1:8" x14ac:dyDescent="0.25">
      <c r="A56" s="318"/>
      <c r="B56" s="308" t="s">
        <v>45</v>
      </c>
      <c r="C56" s="358">
        <f>0.0324857</f>
        <v>3.2485699999999999E-2</v>
      </c>
      <c r="D56" s="358"/>
      <c r="E56" s="366">
        <f t="shared" ref="E56" si="55">C56+D56</f>
        <v>3.2485699999999999E-2</v>
      </c>
      <c r="F56" s="366">
        <f t="shared" ref="F56" si="56">E56*$G$37</f>
        <v>13.059251399999999</v>
      </c>
      <c r="G56" s="310">
        <v>13.059249999999999</v>
      </c>
      <c r="H56" s="330">
        <f t="shared" ref="H56" si="57">F56-G56</f>
        <v>1.4000000003733248E-6</v>
      </c>
    </row>
    <row r="57" spans="1:8" ht="15.75" thickBot="1" x14ac:dyDescent="0.3">
      <c r="A57" s="318"/>
      <c r="B57" s="308"/>
      <c r="C57" s="358"/>
      <c r="D57" s="358"/>
      <c r="E57" s="358"/>
      <c r="F57" s="358"/>
      <c r="G57" s="310"/>
      <c r="H57" s="310"/>
    </row>
    <row r="58" spans="1:8" x14ac:dyDescent="0.25">
      <c r="A58" s="318"/>
      <c r="B58" s="308" t="s">
        <v>46</v>
      </c>
      <c r="C58" s="358">
        <f>0.00003</f>
        <v>3.0000000000000001E-5</v>
      </c>
      <c r="D58" s="358"/>
      <c r="E58" s="366">
        <f t="shared" ref="E58" si="58">C58+D58</f>
        <v>3.0000000000000001E-5</v>
      </c>
      <c r="F58" s="366">
        <f t="shared" ref="F58" si="59">E58*$G$37</f>
        <v>1.206E-2</v>
      </c>
      <c r="G58" s="310">
        <v>1.206E-2</v>
      </c>
      <c r="H58" s="330">
        <f t="shared" ref="H58" si="60">F58-G58</f>
        <v>0</v>
      </c>
    </row>
    <row r="59" spans="1:8" ht="15.75" thickBot="1" x14ac:dyDescent="0.3">
      <c r="A59" s="318"/>
      <c r="B59" s="308"/>
      <c r="C59" s="358"/>
      <c r="D59" s="358"/>
      <c r="E59" s="358"/>
      <c r="F59" s="358"/>
      <c r="G59" s="310"/>
      <c r="H59" s="310"/>
    </row>
    <row r="60" spans="1:8" x14ac:dyDescent="0.25">
      <c r="A60" s="318"/>
      <c r="B60" s="308" t="s">
        <v>47</v>
      </c>
      <c r="C60" s="358">
        <f>0.00002</f>
        <v>2.0000000000000002E-5</v>
      </c>
      <c r="D60" s="358"/>
      <c r="E60" s="366">
        <f t="shared" ref="E60" si="61">C60+D60</f>
        <v>2.0000000000000002E-5</v>
      </c>
      <c r="F60" s="366">
        <f t="shared" ref="F60" si="62">E60*$G$37</f>
        <v>8.0400000000000003E-3</v>
      </c>
      <c r="G60" s="310">
        <v>8.0400000000000003E-3</v>
      </c>
      <c r="H60" s="330">
        <f t="shared" ref="H60" si="63">F60-G60</f>
        <v>0</v>
      </c>
    </row>
    <row r="61" spans="1:8" ht="15.75" thickBot="1" x14ac:dyDescent="0.3">
      <c r="A61" s="318"/>
      <c r="B61" s="308"/>
      <c r="C61" s="358"/>
      <c r="D61" s="358"/>
      <c r="E61" s="358"/>
      <c r="F61" s="358"/>
      <c r="G61" s="310"/>
      <c r="H61" s="310"/>
    </row>
    <row r="62" spans="1:8" x14ac:dyDescent="0.25">
      <c r="A62" s="318"/>
      <c r="B62" s="308" t="s">
        <v>48</v>
      </c>
      <c r="C62" s="358">
        <f>0.0181825</f>
        <v>1.8182500000000001E-2</v>
      </c>
      <c r="D62" s="358"/>
      <c r="E62" s="366">
        <f t="shared" ref="E62" si="64">C62+D62</f>
        <v>1.8182500000000001E-2</v>
      </c>
      <c r="F62" s="366">
        <f t="shared" ref="F62" si="65">E62*$G$37</f>
        <v>7.3093650000000006</v>
      </c>
      <c r="G62" s="310">
        <v>7.3093699999999995</v>
      </c>
      <c r="H62" s="330">
        <f t="shared" ref="H62" si="66">F62-G62</f>
        <v>-4.999999998922533E-6</v>
      </c>
    </row>
    <row r="63" spans="1:8" ht="15.75" thickBot="1" x14ac:dyDescent="0.3">
      <c r="A63" s="318"/>
      <c r="B63" s="308"/>
      <c r="C63" s="358"/>
      <c r="D63" s="358"/>
      <c r="E63" s="358"/>
      <c r="F63" s="358"/>
      <c r="G63" s="310"/>
      <c r="H63" s="310"/>
    </row>
    <row r="64" spans="1:8" x14ac:dyDescent="0.25">
      <c r="A64" s="318"/>
      <c r="B64" s="308" t="s">
        <v>49</v>
      </c>
      <c r="C64" s="358">
        <f>0.00001</f>
        <v>1.0000000000000001E-5</v>
      </c>
      <c r="D64" s="358"/>
      <c r="E64" s="366">
        <f t="shared" ref="E64" si="67">C64+D64</f>
        <v>1.0000000000000001E-5</v>
      </c>
      <c r="F64" s="366">
        <f t="shared" ref="F64" si="68">E64*$G$37</f>
        <v>4.0200000000000001E-3</v>
      </c>
      <c r="G64" s="310">
        <v>4.0200000000000001E-3</v>
      </c>
      <c r="H64" s="330">
        <f t="shared" ref="H64" si="69">F64-G64</f>
        <v>0</v>
      </c>
    </row>
    <row r="65" spans="1:8" ht="15.75" thickBot="1" x14ac:dyDescent="0.3">
      <c r="A65" s="318"/>
      <c r="B65" s="308"/>
      <c r="C65" s="358"/>
      <c r="D65" s="358"/>
      <c r="E65" s="358"/>
      <c r="F65" s="358"/>
      <c r="G65" s="310"/>
      <c r="H65" s="310"/>
    </row>
    <row r="66" spans="1:8" x14ac:dyDescent="0.25">
      <c r="A66" s="318"/>
      <c r="B66" s="308" t="s">
        <v>50</v>
      </c>
      <c r="C66" s="358">
        <f>0.00027</f>
        <v>2.7E-4</v>
      </c>
      <c r="D66" s="358"/>
      <c r="E66" s="366">
        <f t="shared" ref="E66" si="70">C66+D66</f>
        <v>2.7E-4</v>
      </c>
      <c r="F66" s="366">
        <f t="shared" ref="F66" si="71">E66*$G$37</f>
        <v>0.10854</v>
      </c>
      <c r="G66" s="310">
        <v>0.10854</v>
      </c>
      <c r="H66" s="330">
        <f t="shared" ref="H66" si="72">F66-G66</f>
        <v>0</v>
      </c>
    </row>
    <row r="67" spans="1:8" ht="15.75" thickBot="1" x14ac:dyDescent="0.3">
      <c r="A67" s="318"/>
      <c r="B67" s="308"/>
      <c r="C67" s="358"/>
      <c r="D67" s="358"/>
      <c r="E67" s="358"/>
      <c r="F67" s="358"/>
      <c r="G67" s="310"/>
      <c r="H67" s="310"/>
    </row>
    <row r="68" spans="1:8" x14ac:dyDescent="0.25">
      <c r="A68" s="318"/>
      <c r="B68" s="308" t="s">
        <v>51</v>
      </c>
      <c r="C68" s="358">
        <f>0.00001</f>
        <v>1.0000000000000001E-5</v>
      </c>
      <c r="D68" s="358">
        <v>1.2700000000000001E-3</v>
      </c>
      <c r="E68" s="366">
        <f t="shared" ref="E68" si="73">C68+D68</f>
        <v>1.2800000000000001E-3</v>
      </c>
      <c r="F68" s="366">
        <f t="shared" ref="F68" si="74">E68*$G$37</f>
        <v>0.51456000000000002</v>
      </c>
      <c r="G68" s="310">
        <v>0.51456000000000002</v>
      </c>
      <c r="H68" s="330">
        <f t="shared" ref="H68" si="75">F68-G68</f>
        <v>0</v>
      </c>
    </row>
    <row r="69" spans="1:8" ht="15.75" thickBot="1" x14ac:dyDescent="0.3">
      <c r="A69" s="319"/>
      <c r="B69" s="323"/>
      <c r="C69" s="359"/>
      <c r="D69" s="359"/>
      <c r="E69" s="358"/>
      <c r="F69" s="358"/>
      <c r="G69" s="336"/>
      <c r="H69" s="310"/>
    </row>
    <row r="70" spans="1:8" x14ac:dyDescent="0.25">
      <c r="C70">
        <f>SUM(C38:C69)</f>
        <v>0.84999969999999969</v>
      </c>
      <c r="D70">
        <f t="shared" ref="D70" si="76">SUM(D38:D69)</f>
        <v>0.15</v>
      </c>
      <c r="E70">
        <f t="shared" ref="E70" si="77">SUM(E38:E69)</f>
        <v>0.99999969999999971</v>
      </c>
      <c r="F70">
        <f t="shared" ref="F70" si="78">SUM(F38:F69)</f>
        <v>401.99987940000005</v>
      </c>
    </row>
    <row r="72" spans="1:8" ht="15.75" thickBot="1" x14ac:dyDescent="0.3"/>
    <row r="73" spans="1:8" ht="15.75" thickBot="1" x14ac:dyDescent="0.3">
      <c r="C73" s="106" t="s">
        <v>129</v>
      </c>
      <c r="D73" s="106" t="s">
        <v>130</v>
      </c>
      <c r="E73" s="106" t="s">
        <v>131</v>
      </c>
      <c r="F73" s="133" t="s">
        <v>132</v>
      </c>
      <c r="G73" s="134">
        <v>1135</v>
      </c>
      <c r="H73" s="135" t="s">
        <v>136</v>
      </c>
    </row>
    <row r="74" spans="1:8" x14ac:dyDescent="0.25">
      <c r="A74" s="317" t="s">
        <v>53</v>
      </c>
      <c r="B74" s="320" t="s">
        <v>36</v>
      </c>
      <c r="C74" s="366">
        <f>0.1485321</f>
        <v>0.1485321</v>
      </c>
      <c r="D74" s="366">
        <f>0.0039+0.012</f>
        <v>1.5900000000000001E-2</v>
      </c>
      <c r="E74" s="366">
        <f>C74+D74</f>
        <v>0.1644321</v>
      </c>
      <c r="F74" s="366">
        <f>E74*$G$73</f>
        <v>186.63043350000001</v>
      </c>
      <c r="G74" s="330">
        <v>186.63044000000002</v>
      </c>
      <c r="H74" s="330">
        <f>F74-G74</f>
        <v>-6.500000012010787E-6</v>
      </c>
    </row>
    <row r="75" spans="1:8" ht="15.75" thickBot="1" x14ac:dyDescent="0.3">
      <c r="A75" s="318"/>
      <c r="B75" s="308"/>
      <c r="C75" s="358"/>
      <c r="D75" s="358"/>
      <c r="E75" s="358"/>
      <c r="F75" s="358"/>
      <c r="G75" s="310"/>
      <c r="H75" s="310"/>
    </row>
    <row r="76" spans="1:8" x14ac:dyDescent="0.25">
      <c r="A76" s="318"/>
      <c r="B76" s="308" t="s">
        <v>37</v>
      </c>
      <c r="C76" s="358">
        <f>0.0566081+0.0732369+0.0175203+0.1275318</f>
        <v>0.27489710000000001</v>
      </c>
      <c r="D76" s="358">
        <f>0.0006+0.006+0.0135+0.00825+0.0048</f>
        <v>3.3149999999999999E-2</v>
      </c>
      <c r="E76" s="366">
        <f t="shared" ref="E76" si="79">C76+D76</f>
        <v>0.30804710000000002</v>
      </c>
      <c r="F76" s="366">
        <f t="shared" ref="F76" si="80">E76*$G$73</f>
        <v>349.63345850000002</v>
      </c>
      <c r="G76" s="330">
        <v>349.63351</v>
      </c>
      <c r="H76" s="330">
        <f t="shared" ref="H76" si="81">F76-G76</f>
        <v>-5.1499999983661837E-5</v>
      </c>
    </row>
    <row r="77" spans="1:8" ht="15.75" thickBot="1" x14ac:dyDescent="0.3">
      <c r="A77" s="318"/>
      <c r="B77" s="308"/>
      <c r="C77" s="358"/>
      <c r="D77" s="358"/>
      <c r="E77" s="358"/>
      <c r="F77" s="358"/>
      <c r="G77" s="310"/>
      <c r="H77" s="310"/>
    </row>
    <row r="78" spans="1:8" x14ac:dyDescent="0.25">
      <c r="A78" s="318"/>
      <c r="B78" s="308" t="s">
        <v>38</v>
      </c>
      <c r="C78" s="358">
        <f>0.00003</f>
        <v>3.0000000000000001E-5</v>
      </c>
      <c r="D78" s="358"/>
      <c r="E78" s="366">
        <f t="shared" ref="E78" si="82">C78+D78</f>
        <v>3.0000000000000001E-5</v>
      </c>
      <c r="F78" s="366">
        <f t="shared" ref="F78" si="83">E78*$G$73</f>
        <v>3.4050000000000004E-2</v>
      </c>
      <c r="G78" s="330">
        <v>3.4049999999999997E-2</v>
      </c>
      <c r="H78" s="330">
        <f t="shared" ref="H78" si="84">F78-G78</f>
        <v>0</v>
      </c>
    </row>
    <row r="79" spans="1:8" ht="15.75" thickBot="1" x14ac:dyDescent="0.3">
      <c r="A79" s="318"/>
      <c r="B79" s="308"/>
      <c r="C79" s="358"/>
      <c r="D79" s="358"/>
      <c r="E79" s="358"/>
      <c r="F79" s="358"/>
      <c r="G79" s="310"/>
      <c r="H79" s="310"/>
    </row>
    <row r="80" spans="1:8" x14ac:dyDescent="0.25">
      <c r="A80" s="318"/>
      <c r="B80" s="308" t="s">
        <v>39</v>
      </c>
      <c r="C80" s="358">
        <f>0.1458534</f>
        <v>0.14585339999999999</v>
      </c>
      <c r="D80" s="358">
        <f>0.0045+0.0045+0.00675</f>
        <v>1.575E-2</v>
      </c>
      <c r="E80" s="366">
        <f t="shared" ref="E80" si="85">C80+D80</f>
        <v>0.16160340000000001</v>
      </c>
      <c r="F80" s="366">
        <f t="shared" ref="F80" si="86">E80*$G$73</f>
        <v>183.419859</v>
      </c>
      <c r="G80" s="330">
        <v>183.41990000000001</v>
      </c>
      <c r="H80" s="330">
        <f t="shared" ref="H80" si="87">F80-G80</f>
        <v>-4.1000000010171789E-5</v>
      </c>
    </row>
    <row r="81" spans="1:8" ht="15.75" thickBot="1" x14ac:dyDescent="0.3">
      <c r="A81" s="318"/>
      <c r="B81" s="308"/>
      <c r="C81" s="358"/>
      <c r="D81" s="358"/>
      <c r="E81" s="358"/>
      <c r="F81" s="358"/>
      <c r="G81" s="310"/>
      <c r="H81" s="310"/>
    </row>
    <row r="82" spans="1:8" x14ac:dyDescent="0.25">
      <c r="A82" s="318"/>
      <c r="B82" s="308" t="s">
        <v>40</v>
      </c>
      <c r="C82" s="358">
        <f>0.0007568</f>
        <v>7.5679999999999996E-4</v>
      </c>
      <c r="D82" s="358">
        <v>4.4999999999999997E-3</v>
      </c>
      <c r="E82" s="366">
        <f t="shared" ref="E82" si="88">C82+D82</f>
        <v>5.2567999999999998E-3</v>
      </c>
      <c r="F82" s="366">
        <f t="shared" ref="F82" si="89">E82*$G$73</f>
        <v>5.9664679999999999</v>
      </c>
      <c r="G82" s="330">
        <v>5.9664700000000011</v>
      </c>
      <c r="H82" s="330">
        <f t="shared" ref="H82" si="90">F82-G82</f>
        <v>-2.0000000011677344E-6</v>
      </c>
    </row>
    <row r="83" spans="1:8" ht="15.75" thickBot="1" x14ac:dyDescent="0.3">
      <c r="A83" s="318"/>
      <c r="B83" s="308"/>
      <c r="C83" s="358"/>
      <c r="D83" s="358"/>
      <c r="E83" s="358"/>
      <c r="F83" s="358"/>
      <c r="G83" s="310"/>
      <c r="H83" s="310"/>
    </row>
    <row r="84" spans="1:8" x14ac:dyDescent="0.25">
      <c r="A84" s="318"/>
      <c r="B84" s="308" t="s">
        <v>41</v>
      </c>
      <c r="C84" s="358">
        <f>0.004693</f>
        <v>4.6930000000000001E-3</v>
      </c>
      <c r="D84" s="358"/>
      <c r="E84" s="366">
        <f t="shared" ref="E84" si="91">C84+D84</f>
        <v>4.6930000000000001E-3</v>
      </c>
      <c r="F84" s="366">
        <f t="shared" ref="F84" si="92">E84*$G$73</f>
        <v>5.3265549999999999</v>
      </c>
      <c r="G84" s="330">
        <v>5.3265599999999997</v>
      </c>
      <c r="H84" s="330">
        <f t="shared" ref="H84" si="93">F84-G84</f>
        <v>-4.9999999998107114E-6</v>
      </c>
    </row>
    <row r="85" spans="1:8" ht="15.75" thickBot="1" x14ac:dyDescent="0.3">
      <c r="A85" s="318"/>
      <c r="B85" s="308"/>
      <c r="C85" s="358"/>
      <c r="D85" s="358"/>
      <c r="E85" s="358"/>
      <c r="F85" s="358"/>
      <c r="G85" s="310"/>
      <c r="H85" s="310"/>
    </row>
    <row r="86" spans="1:8" x14ac:dyDescent="0.25">
      <c r="A86" s="318"/>
      <c r="B86" s="308" t="s">
        <v>42</v>
      </c>
      <c r="C86" s="358">
        <f>0.002839</f>
        <v>2.8389999999999999E-3</v>
      </c>
      <c r="D86" s="358"/>
      <c r="E86" s="366">
        <f t="shared" ref="E86" si="94">C86+D86</f>
        <v>2.8389999999999999E-3</v>
      </c>
      <c r="F86" s="366">
        <f t="shared" ref="F86" si="95">E86*$G$73</f>
        <v>3.2222650000000002</v>
      </c>
      <c r="G86" s="330">
        <v>3.22227</v>
      </c>
      <c r="H86" s="330">
        <f t="shared" ref="H86" si="96">F86-G86</f>
        <v>-4.9999999998107114E-6</v>
      </c>
    </row>
    <row r="87" spans="1:8" ht="15.75" thickBot="1" x14ac:dyDescent="0.3">
      <c r="A87" s="318"/>
      <c r="B87" s="308"/>
      <c r="C87" s="358"/>
      <c r="D87" s="358"/>
      <c r="E87" s="358"/>
      <c r="F87" s="358"/>
      <c r="G87" s="310"/>
      <c r="H87" s="310"/>
    </row>
    <row r="88" spans="1:8" x14ac:dyDescent="0.25">
      <c r="A88" s="318"/>
      <c r="B88" s="308" t="s">
        <v>43</v>
      </c>
      <c r="C88" s="379">
        <f>0.151771+0.0369113+0.0311581</f>
        <v>0.21984039999999999</v>
      </c>
      <c r="D88" s="379">
        <f>0.0015+0.0015+0.0015+0.003+0.003+0.003+0.003+0.003+0.003+0.00235+0.00215+0.0045+0.0045+0.0045+0.0045+0.00255+0.00218+0.0075+0.012+0.0102</f>
        <v>7.9430000000000001E-2</v>
      </c>
      <c r="E88" s="380">
        <f t="shared" ref="E88" si="97">C88+D88</f>
        <v>0.29927039999999999</v>
      </c>
      <c r="F88" s="366">
        <f t="shared" ref="F88" si="98">E88*$G$73</f>
        <v>339.67190399999998</v>
      </c>
      <c r="G88" s="330">
        <v>339.67205999999999</v>
      </c>
      <c r="H88" s="330">
        <f t="shared" ref="H88" si="99">F88-G88</f>
        <v>-1.5600000000404179E-4</v>
      </c>
    </row>
    <row r="89" spans="1:8" ht="15.75" thickBot="1" x14ac:dyDescent="0.3">
      <c r="A89" s="318"/>
      <c r="B89" s="308"/>
      <c r="C89" s="379"/>
      <c r="D89" s="379"/>
      <c r="E89" s="379"/>
      <c r="F89" s="358"/>
      <c r="G89" s="310"/>
      <c r="H89" s="310"/>
    </row>
    <row r="90" spans="1:8" x14ac:dyDescent="0.25">
      <c r="A90" s="318"/>
      <c r="B90" s="308" t="s">
        <v>44</v>
      </c>
      <c r="C90" s="358">
        <f>0.0015497</f>
        <v>1.5497E-3</v>
      </c>
      <c r="D90" s="358"/>
      <c r="E90" s="366">
        <f t="shared" ref="E90" si="100">C90+D90</f>
        <v>1.5497E-3</v>
      </c>
      <c r="F90" s="366">
        <f t="shared" ref="F90" si="101">E90*$G$73</f>
        <v>1.7589094999999999</v>
      </c>
      <c r="G90" s="330">
        <v>1.75891</v>
      </c>
      <c r="H90" s="330">
        <f t="shared" ref="H90" si="102">F90-G90</f>
        <v>-5.0000000006988898E-7</v>
      </c>
    </row>
    <row r="91" spans="1:8" ht="15.75" thickBot="1" x14ac:dyDescent="0.3">
      <c r="A91" s="318"/>
      <c r="B91" s="308"/>
      <c r="C91" s="358"/>
      <c r="D91" s="358"/>
      <c r="E91" s="358"/>
      <c r="F91" s="358"/>
      <c r="G91" s="310"/>
      <c r="H91" s="310"/>
    </row>
    <row r="92" spans="1:8" x14ac:dyDescent="0.25">
      <c r="A92" s="318"/>
      <c r="B92" s="308" t="s">
        <v>45</v>
      </c>
      <c r="C92" s="358">
        <f>0.0324857</f>
        <v>3.2485699999999999E-2</v>
      </c>
      <c r="D92" s="358"/>
      <c r="E92" s="366">
        <f t="shared" ref="E92" si="103">C92+D92</f>
        <v>3.2485699999999999E-2</v>
      </c>
      <c r="F92" s="366">
        <f t="shared" ref="F92" si="104">E92*$G$73</f>
        <v>36.871269499999997</v>
      </c>
      <c r="G92" s="330">
        <v>36.871269999999996</v>
      </c>
      <c r="H92" s="330">
        <f t="shared" ref="H92" si="105">F92-G92</f>
        <v>-4.9999999873762135E-7</v>
      </c>
    </row>
    <row r="93" spans="1:8" ht="15.75" thickBot="1" x14ac:dyDescent="0.3">
      <c r="A93" s="318"/>
      <c r="B93" s="308"/>
      <c r="C93" s="358"/>
      <c r="D93" s="358"/>
      <c r="E93" s="358"/>
      <c r="F93" s="358"/>
      <c r="G93" s="310"/>
      <c r="H93" s="310"/>
    </row>
    <row r="94" spans="1:8" x14ac:dyDescent="0.25">
      <c r="A94" s="318"/>
      <c r="B94" s="379" t="s">
        <v>46</v>
      </c>
      <c r="C94" s="379">
        <f>0.00003</f>
        <v>3.0000000000000001E-5</v>
      </c>
      <c r="D94" s="379"/>
      <c r="E94" s="380">
        <f t="shared" ref="E94" si="106">C94+D94</f>
        <v>3.0000000000000001E-5</v>
      </c>
      <c r="F94" s="380">
        <f t="shared" ref="F94" si="107">E94*$G$73</f>
        <v>3.4050000000000004E-2</v>
      </c>
      <c r="G94" s="381">
        <v>3.4049999999999997E-2</v>
      </c>
      <c r="H94" s="330">
        <f t="shared" ref="H94" si="108">F94-G94</f>
        <v>0</v>
      </c>
    </row>
    <row r="95" spans="1:8" ht="15.75" thickBot="1" x14ac:dyDescent="0.3">
      <c r="A95" s="318"/>
      <c r="B95" s="379"/>
      <c r="C95" s="379"/>
      <c r="D95" s="379"/>
      <c r="E95" s="379"/>
      <c r="F95" s="379"/>
      <c r="G95" s="382"/>
      <c r="H95" s="310"/>
    </row>
    <row r="96" spans="1:8" x14ac:dyDescent="0.25">
      <c r="A96" s="318"/>
      <c r="B96" s="308" t="s">
        <v>47</v>
      </c>
      <c r="C96" s="358">
        <f>0.00002</f>
        <v>2.0000000000000002E-5</v>
      </c>
      <c r="D96" s="358"/>
      <c r="E96" s="366">
        <f t="shared" ref="E96" si="109">C96+D96</f>
        <v>2.0000000000000002E-5</v>
      </c>
      <c r="F96" s="366">
        <f t="shared" ref="F96" si="110">E96*$G$73</f>
        <v>2.2700000000000001E-2</v>
      </c>
      <c r="G96" s="330">
        <v>2.2699999999999998E-2</v>
      </c>
      <c r="H96" s="330">
        <f t="shared" ref="H96" si="111">F96-G96</f>
        <v>0</v>
      </c>
    </row>
    <row r="97" spans="1:8" ht="15.75" thickBot="1" x14ac:dyDescent="0.3">
      <c r="A97" s="318"/>
      <c r="B97" s="308"/>
      <c r="C97" s="358"/>
      <c r="D97" s="358"/>
      <c r="E97" s="358"/>
      <c r="F97" s="358"/>
      <c r="G97" s="310"/>
      <c r="H97" s="310"/>
    </row>
    <row r="98" spans="1:8" x14ac:dyDescent="0.25">
      <c r="A98" s="318"/>
      <c r="B98" s="308" t="s">
        <v>48</v>
      </c>
      <c r="C98" s="358">
        <f>0.0181825</f>
        <v>1.8182500000000001E-2</v>
      </c>
      <c r="D98" s="358"/>
      <c r="E98" s="366">
        <f t="shared" ref="E98" si="112">C98+D98</f>
        <v>1.8182500000000001E-2</v>
      </c>
      <c r="F98" s="366">
        <f t="shared" ref="F98" si="113">E98*$G$73</f>
        <v>20.637137500000001</v>
      </c>
      <c r="G98" s="330">
        <v>20.637139999999999</v>
      </c>
      <c r="H98" s="330">
        <f t="shared" ref="H98" si="114">F98-G98</f>
        <v>-2.4999999972408204E-6</v>
      </c>
    </row>
    <row r="99" spans="1:8" ht="15.75" thickBot="1" x14ac:dyDescent="0.3">
      <c r="A99" s="318"/>
      <c r="B99" s="308"/>
      <c r="C99" s="358"/>
      <c r="D99" s="358"/>
      <c r="E99" s="358"/>
      <c r="F99" s="358"/>
      <c r="G99" s="310"/>
      <c r="H99" s="310"/>
    </row>
    <row r="100" spans="1:8" x14ac:dyDescent="0.25">
      <c r="A100" s="318"/>
      <c r="B100" s="308" t="s">
        <v>49</v>
      </c>
      <c r="C100" s="358">
        <f>0.00001</f>
        <v>1.0000000000000001E-5</v>
      </c>
      <c r="D100" s="358"/>
      <c r="E100" s="366">
        <f t="shared" ref="E100" si="115">C100+D100</f>
        <v>1.0000000000000001E-5</v>
      </c>
      <c r="F100" s="366">
        <f t="shared" ref="F100" si="116">E100*$G$73</f>
        <v>1.1350000000000001E-2</v>
      </c>
      <c r="G100" s="330">
        <v>1.1349999999999999E-2</v>
      </c>
      <c r="H100" s="330">
        <f t="shared" ref="H100" si="117">F100-G100</f>
        <v>0</v>
      </c>
    </row>
    <row r="101" spans="1:8" ht="15.75" thickBot="1" x14ac:dyDescent="0.3">
      <c r="A101" s="318"/>
      <c r="B101" s="308"/>
      <c r="C101" s="358"/>
      <c r="D101" s="358"/>
      <c r="E101" s="358"/>
      <c r="F101" s="358"/>
      <c r="G101" s="310"/>
      <c r="H101" s="310"/>
    </row>
    <row r="102" spans="1:8" x14ac:dyDescent="0.25">
      <c r="A102" s="318"/>
      <c r="B102" s="308" t="s">
        <v>50</v>
      </c>
      <c r="C102" s="358">
        <f>0.00027</f>
        <v>2.7E-4</v>
      </c>
      <c r="D102" s="358"/>
      <c r="E102" s="366">
        <f t="shared" ref="E102" si="118">C102+D102</f>
        <v>2.7E-4</v>
      </c>
      <c r="F102" s="366">
        <f t="shared" ref="F102" si="119">E102*$G$73</f>
        <v>0.30645</v>
      </c>
      <c r="G102" s="330">
        <v>0.30645</v>
      </c>
      <c r="H102" s="330">
        <f t="shared" ref="H102" si="120">F102-G102</f>
        <v>0</v>
      </c>
    </row>
    <row r="103" spans="1:8" ht="15.75" thickBot="1" x14ac:dyDescent="0.3">
      <c r="A103" s="318"/>
      <c r="B103" s="308"/>
      <c r="C103" s="358"/>
      <c r="D103" s="358"/>
      <c r="E103" s="358"/>
      <c r="F103" s="358"/>
      <c r="G103" s="310"/>
      <c r="H103" s="310"/>
    </row>
    <row r="104" spans="1:8" x14ac:dyDescent="0.25">
      <c r="A104" s="318"/>
      <c r="B104" s="308" t="s">
        <v>51</v>
      </c>
      <c r="C104" s="358">
        <f>0.00001</f>
        <v>1.0000000000000001E-5</v>
      </c>
      <c r="D104" s="358">
        <v>1.2700000000000001E-3</v>
      </c>
      <c r="E104" s="366">
        <f t="shared" ref="E104" si="121">C104+D104</f>
        <v>1.2800000000000001E-3</v>
      </c>
      <c r="F104" s="366">
        <f t="shared" ref="F104" si="122">E104*$G$73</f>
        <v>1.4528000000000001</v>
      </c>
      <c r="G104" s="330">
        <v>1.45275</v>
      </c>
      <c r="H104" s="330">
        <f t="shared" ref="H104" si="123">F104-G104</f>
        <v>5.0000000000105516E-5</v>
      </c>
    </row>
    <row r="105" spans="1:8" ht="15.75" thickBot="1" x14ac:dyDescent="0.3">
      <c r="A105" s="319"/>
      <c r="B105" s="323"/>
      <c r="C105" s="359"/>
      <c r="D105" s="359"/>
      <c r="E105" s="358"/>
      <c r="F105" s="358"/>
      <c r="G105" s="310"/>
      <c r="H105" s="310"/>
    </row>
    <row r="106" spans="1:8" x14ac:dyDescent="0.25">
      <c r="C106">
        <f>SUM(C74:C105)</f>
        <v>0.84999969999999969</v>
      </c>
      <c r="D106">
        <f t="shared" ref="D106" si="124">SUM(D74:D105)</f>
        <v>0.15</v>
      </c>
      <c r="E106">
        <f t="shared" ref="E106" si="125">SUM(E74:E105)</f>
        <v>0.99999969999999971</v>
      </c>
      <c r="F106">
        <f t="shared" ref="F106" si="126">SUM(F74:F105)</f>
        <v>1134.9996595</v>
      </c>
      <c r="G106">
        <f t="shared" ref="G106" si="127">SUM(G74:G105)</f>
        <v>1134.9998800000001</v>
      </c>
      <c r="H106">
        <f t="shared" ref="H106" si="128">SUM(H74:H105)</f>
        <v>-2.2050000000661818E-4</v>
      </c>
    </row>
    <row r="108" spans="1:8" ht="15.75" thickBot="1" x14ac:dyDescent="0.3"/>
    <row r="109" spans="1:8" ht="15.75" thickBot="1" x14ac:dyDescent="0.3">
      <c r="C109" s="106" t="s">
        <v>129</v>
      </c>
      <c r="D109" s="106" t="s">
        <v>130</v>
      </c>
      <c r="E109" s="106" t="s">
        <v>131</v>
      </c>
      <c r="F109" s="133" t="s">
        <v>132</v>
      </c>
      <c r="G109" s="134">
        <v>884</v>
      </c>
      <c r="H109" s="135" t="s">
        <v>136</v>
      </c>
    </row>
    <row r="110" spans="1:8" x14ac:dyDescent="0.25">
      <c r="A110" s="317" t="s">
        <v>53</v>
      </c>
      <c r="B110" s="320" t="s">
        <v>36</v>
      </c>
      <c r="C110" s="366">
        <f>0.1485321</f>
        <v>0.1485321</v>
      </c>
      <c r="D110" s="366">
        <f>0.0039+0.012</f>
        <v>1.5900000000000001E-2</v>
      </c>
      <c r="E110" s="366">
        <f>C110+D110</f>
        <v>0.1644321</v>
      </c>
      <c r="F110" s="366">
        <f>E110*$G$109</f>
        <v>145.35797639999998</v>
      </c>
      <c r="G110" s="330">
        <v>145.35796999999999</v>
      </c>
      <c r="H110" s="330">
        <f>F110-G110</f>
        <v>6.3999999895258952E-6</v>
      </c>
    </row>
    <row r="111" spans="1:8" ht="15.75" thickBot="1" x14ac:dyDescent="0.3">
      <c r="A111" s="318"/>
      <c r="B111" s="308"/>
      <c r="C111" s="358"/>
      <c r="D111" s="358"/>
      <c r="E111" s="358"/>
      <c r="F111" s="358"/>
      <c r="G111" s="310"/>
      <c r="H111" s="310"/>
    </row>
    <row r="112" spans="1:8" x14ac:dyDescent="0.25">
      <c r="A112" s="318"/>
      <c r="B112" s="308" t="s">
        <v>37</v>
      </c>
      <c r="C112" s="358">
        <f>0.0566081+0.0732369+0.0175203+0.1275318</f>
        <v>0.27489710000000001</v>
      </c>
      <c r="D112" s="358">
        <f>0.0006+0.006+0.0135+0.00825+0.0048</f>
        <v>3.3149999999999999E-2</v>
      </c>
      <c r="E112" s="366">
        <f t="shared" ref="E112" si="129">C112+D112</f>
        <v>0.30804710000000002</v>
      </c>
      <c r="F112" s="366">
        <f t="shared" ref="F112" si="130">E112*$G$109</f>
        <v>272.31363640000001</v>
      </c>
      <c r="G112" s="330">
        <v>272.31364000000002</v>
      </c>
      <c r="H112" s="330">
        <f t="shared" ref="H112" si="131">F112-G112</f>
        <v>-3.6000000136482413E-6</v>
      </c>
    </row>
    <row r="113" spans="1:11" ht="15.75" thickBot="1" x14ac:dyDescent="0.3">
      <c r="A113" s="318"/>
      <c r="B113" s="308"/>
      <c r="C113" s="358"/>
      <c r="D113" s="358"/>
      <c r="E113" s="358"/>
      <c r="F113" s="358"/>
      <c r="G113" s="310"/>
      <c r="H113" s="310"/>
    </row>
    <row r="114" spans="1:11" x14ac:dyDescent="0.25">
      <c r="A114" s="318"/>
      <c r="B114" s="308" t="s">
        <v>38</v>
      </c>
      <c r="C114" s="358">
        <f>0.00003</f>
        <v>3.0000000000000001E-5</v>
      </c>
      <c r="D114" s="358"/>
      <c r="E114" s="366">
        <f t="shared" ref="E114" si="132">C114+D114</f>
        <v>3.0000000000000001E-5</v>
      </c>
      <c r="F114" s="366">
        <f t="shared" ref="F114" si="133">E114*$G$109</f>
        <v>2.6520000000000002E-2</v>
      </c>
      <c r="G114" s="330">
        <v>2.6519999999999998E-2</v>
      </c>
      <c r="H114" s="330">
        <f t="shared" ref="H114" si="134">F114-G114</f>
        <v>0</v>
      </c>
    </row>
    <row r="115" spans="1:11" ht="15.75" thickBot="1" x14ac:dyDescent="0.3">
      <c r="A115" s="318"/>
      <c r="B115" s="308"/>
      <c r="C115" s="358"/>
      <c r="D115" s="358"/>
      <c r="E115" s="358"/>
      <c r="F115" s="358"/>
      <c r="G115" s="310"/>
      <c r="H115" s="310"/>
      <c r="K115" s="310">
        <f>E115+E116</f>
        <v>0.16160340000000001</v>
      </c>
    </row>
    <row r="116" spans="1:11" x14ac:dyDescent="0.25">
      <c r="A116" s="318"/>
      <c r="B116" s="308" t="s">
        <v>39</v>
      </c>
      <c r="C116" s="358">
        <f>0.1458534</f>
        <v>0.14585339999999999</v>
      </c>
      <c r="D116" s="358">
        <f>0.0045+0.0045+0.00675</f>
        <v>1.575E-2</v>
      </c>
      <c r="E116" s="366">
        <f t="shared" ref="E116" si="135">C116+D116</f>
        <v>0.16160340000000001</v>
      </c>
      <c r="F116" s="366">
        <f t="shared" ref="F116" si="136">E116*$G$109</f>
        <v>142.85740560000002</v>
      </c>
      <c r="G116" s="330">
        <v>142.85740999999999</v>
      </c>
      <c r="H116" s="330">
        <f t="shared" ref="H116" si="137">F116-G116</f>
        <v>-4.3999999661537004E-6</v>
      </c>
      <c r="K116" s="310"/>
    </row>
    <row r="117" spans="1:11" ht="15.75" thickBot="1" x14ac:dyDescent="0.3">
      <c r="A117" s="318"/>
      <c r="B117" s="308"/>
      <c r="C117" s="358"/>
      <c r="D117" s="358"/>
      <c r="E117" s="358"/>
      <c r="F117" s="358"/>
      <c r="G117" s="310"/>
      <c r="H117" s="310"/>
    </row>
    <row r="118" spans="1:11" x14ac:dyDescent="0.25">
      <c r="A118" s="318"/>
      <c r="B118" s="308" t="s">
        <v>40</v>
      </c>
      <c r="C118" s="358">
        <f>0.0007568</f>
        <v>7.5679999999999996E-4</v>
      </c>
      <c r="D118" s="358">
        <v>4.4999999999999997E-3</v>
      </c>
      <c r="E118" s="366">
        <f t="shared" ref="E118" si="138">C118+D118</f>
        <v>5.2567999999999998E-3</v>
      </c>
      <c r="F118" s="366">
        <f t="shared" ref="F118" si="139">E118*$G$109</f>
        <v>4.6470111999999997</v>
      </c>
      <c r="G118" s="330">
        <v>4.6470099999999999</v>
      </c>
      <c r="H118" s="330">
        <f t="shared" ref="H118" si="140">F118-G118</f>
        <v>1.1999999998124622E-6</v>
      </c>
    </row>
    <row r="119" spans="1:11" ht="15.75" thickBot="1" x14ac:dyDescent="0.3">
      <c r="A119" s="318"/>
      <c r="B119" s="308"/>
      <c r="C119" s="358"/>
      <c r="D119" s="358"/>
      <c r="E119" s="358"/>
      <c r="F119" s="358"/>
      <c r="G119" s="310"/>
      <c r="H119" s="310"/>
    </row>
    <row r="120" spans="1:11" x14ac:dyDescent="0.25">
      <c r="A120" s="318"/>
      <c r="B120" s="308" t="s">
        <v>41</v>
      </c>
      <c r="C120" s="358">
        <f>0.004693</f>
        <v>4.6930000000000001E-3</v>
      </c>
      <c r="D120" s="358"/>
      <c r="E120" s="366">
        <f t="shared" ref="E120" si="141">C120+D120</f>
        <v>4.6930000000000001E-3</v>
      </c>
      <c r="F120" s="366">
        <f t="shared" ref="F120" si="142">E120*$G$109</f>
        <v>4.148612</v>
      </c>
      <c r="G120" s="330">
        <v>4.1486099999999997</v>
      </c>
      <c r="H120" s="330">
        <f t="shared" ref="H120" si="143">F120-G120</f>
        <v>2.0000000002795559E-6</v>
      </c>
    </row>
    <row r="121" spans="1:11" ht="15.75" thickBot="1" x14ac:dyDescent="0.3">
      <c r="A121" s="318"/>
      <c r="B121" s="308"/>
      <c r="C121" s="358"/>
      <c r="D121" s="358"/>
      <c r="E121" s="358"/>
      <c r="F121" s="358"/>
      <c r="G121" s="310"/>
      <c r="H121" s="310"/>
    </row>
    <row r="122" spans="1:11" x14ac:dyDescent="0.25">
      <c r="A122" s="318"/>
      <c r="B122" s="308" t="s">
        <v>42</v>
      </c>
      <c r="C122" s="358">
        <f>0.002839</f>
        <v>2.8389999999999999E-3</v>
      </c>
      <c r="D122" s="358"/>
      <c r="E122" s="366">
        <f t="shared" ref="E122" si="144">C122+D122</f>
        <v>2.8389999999999999E-3</v>
      </c>
      <c r="F122" s="366">
        <f t="shared" ref="F122" si="145">E122*$G$109</f>
        <v>2.5096759999999998</v>
      </c>
      <c r="G122" s="330">
        <v>2.5096699999999998</v>
      </c>
      <c r="H122" s="330">
        <f t="shared" ref="H122" si="146">F122-G122</f>
        <v>5.9999999999504894E-6</v>
      </c>
    </row>
    <row r="123" spans="1:11" ht="15.75" thickBot="1" x14ac:dyDescent="0.3">
      <c r="A123" s="318"/>
      <c r="B123" s="308"/>
      <c r="C123" s="358"/>
      <c r="D123" s="358"/>
      <c r="E123" s="358"/>
      <c r="F123" s="358"/>
      <c r="G123" s="310"/>
      <c r="H123" s="310"/>
    </row>
    <row r="124" spans="1:11" x14ac:dyDescent="0.25">
      <c r="A124" s="318"/>
      <c r="B124" s="308" t="s">
        <v>43</v>
      </c>
      <c r="C124" s="379">
        <f>0.151771+0.0369113+0.0311581</f>
        <v>0.21984039999999999</v>
      </c>
      <c r="D124" s="379">
        <f>0.0015+0.0015+0.0015+0.003+0.003+0.003+0.003+0.003+0.003+0.00235+0.00215+0.0045+0.0045+0.0045+0.0045+0.00255+0.00218+0.0075+0.012+0.0102</f>
        <v>7.9430000000000001E-2</v>
      </c>
      <c r="E124" s="380">
        <f t="shared" ref="E124" si="147">C124+D124</f>
        <v>0.29927039999999999</v>
      </c>
      <c r="F124" s="366">
        <f t="shared" ref="F124" si="148">E124*$G$109</f>
        <v>264.5550336</v>
      </c>
      <c r="G124" s="330">
        <v>264.55500999999998</v>
      </c>
      <c r="H124" s="330">
        <f t="shared" ref="H124" si="149">F124-G124</f>
        <v>2.3600000019996514E-5</v>
      </c>
    </row>
    <row r="125" spans="1:11" ht="15.75" thickBot="1" x14ac:dyDescent="0.3">
      <c r="A125" s="318"/>
      <c r="B125" s="308"/>
      <c r="C125" s="379"/>
      <c r="D125" s="379"/>
      <c r="E125" s="379"/>
      <c r="F125" s="358"/>
      <c r="G125" s="310"/>
      <c r="H125" s="310"/>
    </row>
    <row r="126" spans="1:11" x14ac:dyDescent="0.25">
      <c r="A126" s="318"/>
      <c r="B126" s="308" t="s">
        <v>44</v>
      </c>
      <c r="C126" s="358">
        <f>0.0015497</f>
        <v>1.5497E-3</v>
      </c>
      <c r="D126" s="358"/>
      <c r="E126" s="366">
        <f t="shared" ref="E126" si="150">C126+D126</f>
        <v>1.5497E-3</v>
      </c>
      <c r="F126" s="366">
        <f t="shared" ref="F126" si="151">E126*$G$109</f>
        <v>1.3699348</v>
      </c>
      <c r="G126" s="330">
        <v>1.3699300000000001</v>
      </c>
      <c r="H126" s="330">
        <f t="shared" ref="H126" si="152">F126-G126</f>
        <v>4.7999999999159826E-6</v>
      </c>
    </row>
    <row r="127" spans="1:11" ht="15.75" thickBot="1" x14ac:dyDescent="0.3">
      <c r="A127" s="318"/>
      <c r="B127" s="308"/>
      <c r="C127" s="358"/>
      <c r="D127" s="358"/>
      <c r="E127" s="358"/>
      <c r="F127" s="358"/>
      <c r="G127" s="310"/>
      <c r="H127" s="310"/>
    </row>
    <row r="128" spans="1:11" x14ac:dyDescent="0.25">
      <c r="A128" s="318"/>
      <c r="B128" s="308" t="s">
        <v>45</v>
      </c>
      <c r="C128" s="358">
        <f>0.0324857</f>
        <v>3.2485699999999999E-2</v>
      </c>
      <c r="D128" s="358"/>
      <c r="E128" s="366">
        <f t="shared" ref="E128" si="153">C128+D128</f>
        <v>3.2485699999999999E-2</v>
      </c>
      <c r="F128" s="366">
        <f t="shared" ref="F128" si="154">E128*$G$109</f>
        <v>28.7173588</v>
      </c>
      <c r="G128" s="330">
        <v>28.717359999999999</v>
      </c>
      <c r="H128" s="330">
        <f t="shared" ref="H128" si="155">F128-G128</f>
        <v>-1.1999999998124622E-6</v>
      </c>
    </row>
    <row r="129" spans="1:8" ht="15.75" thickBot="1" x14ac:dyDescent="0.3">
      <c r="A129" s="318"/>
      <c r="B129" s="308"/>
      <c r="C129" s="358"/>
      <c r="D129" s="358"/>
      <c r="E129" s="358"/>
      <c r="F129" s="358"/>
      <c r="G129" s="310"/>
      <c r="H129" s="310"/>
    </row>
    <row r="130" spans="1:8" x14ac:dyDescent="0.25">
      <c r="A130" s="318"/>
      <c r="B130" s="379" t="s">
        <v>46</v>
      </c>
      <c r="C130" s="379">
        <f>0.00003</f>
        <v>3.0000000000000001E-5</v>
      </c>
      <c r="D130" s="379"/>
      <c r="E130" s="380">
        <f t="shared" ref="E130" si="156">C130+D130</f>
        <v>3.0000000000000001E-5</v>
      </c>
      <c r="F130" s="366">
        <f t="shared" ref="F130" si="157">E130*$G$109</f>
        <v>2.6520000000000002E-2</v>
      </c>
      <c r="G130" s="381">
        <v>2.6519999999999998E-2</v>
      </c>
      <c r="H130" s="330">
        <f t="shared" ref="H130" si="158">F130-G130</f>
        <v>0</v>
      </c>
    </row>
    <row r="131" spans="1:8" ht="15.75" thickBot="1" x14ac:dyDescent="0.3">
      <c r="A131" s="318"/>
      <c r="B131" s="379"/>
      <c r="C131" s="379"/>
      <c r="D131" s="379"/>
      <c r="E131" s="379"/>
      <c r="F131" s="358"/>
      <c r="G131" s="382"/>
      <c r="H131" s="310"/>
    </row>
    <row r="132" spans="1:8" x14ac:dyDescent="0.25">
      <c r="A132" s="318"/>
      <c r="B132" s="308" t="s">
        <v>47</v>
      </c>
      <c r="C132" s="358">
        <f>0.00002</f>
        <v>2.0000000000000002E-5</v>
      </c>
      <c r="D132" s="358"/>
      <c r="E132" s="366">
        <f t="shared" ref="E132" si="159">C132+D132</f>
        <v>2.0000000000000002E-5</v>
      </c>
      <c r="F132" s="366">
        <f t="shared" ref="F132" si="160">E132*$G$109</f>
        <v>1.7680000000000001E-2</v>
      </c>
      <c r="G132" s="330">
        <v>1.7680000000000001E-2</v>
      </c>
      <c r="H132" s="330">
        <f t="shared" ref="H132" si="161">F132-G132</f>
        <v>0</v>
      </c>
    </row>
    <row r="133" spans="1:8" ht="15.75" thickBot="1" x14ac:dyDescent="0.3">
      <c r="A133" s="318"/>
      <c r="B133" s="308"/>
      <c r="C133" s="358"/>
      <c r="D133" s="358"/>
      <c r="E133" s="358"/>
      <c r="F133" s="358"/>
      <c r="G133" s="310"/>
      <c r="H133" s="310"/>
    </row>
    <row r="134" spans="1:8" x14ac:dyDescent="0.25">
      <c r="A134" s="318"/>
      <c r="B134" s="308" t="s">
        <v>48</v>
      </c>
      <c r="C134" s="358">
        <f>0.0181825</f>
        <v>1.8182500000000001E-2</v>
      </c>
      <c r="D134" s="358"/>
      <c r="E134" s="366">
        <f t="shared" ref="E134" si="162">C134+D134</f>
        <v>1.8182500000000001E-2</v>
      </c>
      <c r="F134" s="366">
        <f t="shared" ref="F134" si="163">E134*$G$109</f>
        <v>16.073330000000002</v>
      </c>
      <c r="G134" s="330">
        <v>16.073276</v>
      </c>
      <c r="H134" s="330">
        <f t="shared" ref="H134" si="164">F134-G134</f>
        <v>5.400000000221894E-5</v>
      </c>
    </row>
    <row r="135" spans="1:8" ht="15.75" thickBot="1" x14ac:dyDescent="0.3">
      <c r="A135" s="318"/>
      <c r="B135" s="308"/>
      <c r="C135" s="358"/>
      <c r="D135" s="358"/>
      <c r="E135" s="358"/>
      <c r="F135" s="358"/>
      <c r="G135" s="310"/>
      <c r="H135" s="310"/>
    </row>
    <row r="136" spans="1:8" x14ac:dyDescent="0.25">
      <c r="A136" s="318"/>
      <c r="B136" s="308" t="s">
        <v>49</v>
      </c>
      <c r="C136" s="358">
        <f>0.00001</f>
        <v>1.0000000000000001E-5</v>
      </c>
      <c r="D136" s="358"/>
      <c r="E136" s="366">
        <f t="shared" ref="E136" si="165">C136+D136</f>
        <v>1.0000000000000001E-5</v>
      </c>
      <c r="F136" s="366">
        <f t="shared" ref="F136" si="166">E136*$G$109</f>
        <v>8.8400000000000006E-3</v>
      </c>
      <c r="G136" s="330">
        <v>8.8400000000000006E-3</v>
      </c>
      <c r="H136" s="330">
        <f t="shared" ref="H136" si="167">F136-G136</f>
        <v>0</v>
      </c>
    </row>
    <row r="137" spans="1:8" ht="15.75" thickBot="1" x14ac:dyDescent="0.3">
      <c r="A137" s="318"/>
      <c r="B137" s="308"/>
      <c r="C137" s="358"/>
      <c r="D137" s="358"/>
      <c r="E137" s="358"/>
      <c r="F137" s="358"/>
      <c r="G137" s="310"/>
      <c r="H137" s="310"/>
    </row>
    <row r="138" spans="1:8" x14ac:dyDescent="0.25">
      <c r="A138" s="318"/>
      <c r="B138" s="308" t="s">
        <v>50</v>
      </c>
      <c r="C138" s="358">
        <f>0.00027</f>
        <v>2.7E-4</v>
      </c>
      <c r="D138" s="358"/>
      <c r="E138" s="366">
        <f t="shared" ref="E138" si="168">C138+D138</f>
        <v>2.7E-4</v>
      </c>
      <c r="F138" s="366">
        <f t="shared" ref="F138" si="169">E138*$G$109</f>
        <v>0.23868</v>
      </c>
      <c r="G138" s="330">
        <v>0.23868</v>
      </c>
      <c r="H138" s="330">
        <f t="shared" ref="H138" si="170">F138-G138</f>
        <v>0</v>
      </c>
    </row>
    <row r="139" spans="1:8" ht="15.75" thickBot="1" x14ac:dyDescent="0.3">
      <c r="A139" s="318"/>
      <c r="B139" s="308"/>
      <c r="C139" s="358"/>
      <c r="D139" s="358"/>
      <c r="E139" s="358"/>
      <c r="F139" s="358"/>
      <c r="G139" s="310"/>
      <c r="H139" s="310"/>
    </row>
    <row r="140" spans="1:8" x14ac:dyDescent="0.25">
      <c r="A140" s="318"/>
      <c r="B140" s="308" t="s">
        <v>51</v>
      </c>
      <c r="C140" s="358">
        <f>0.00001</f>
        <v>1.0000000000000001E-5</v>
      </c>
      <c r="D140" s="358">
        <v>1.2700000000000001E-3</v>
      </c>
      <c r="E140" s="366">
        <f t="shared" ref="E140" si="171">C140+D140</f>
        <v>1.2800000000000001E-3</v>
      </c>
      <c r="F140" s="366">
        <f t="shared" ref="F140" si="172">E140*$G$109</f>
        <v>1.1315200000000001</v>
      </c>
      <c r="G140" s="330">
        <v>1.1315399999999998</v>
      </c>
      <c r="H140" s="330">
        <f t="shared" ref="H140" si="173">F140-G140</f>
        <v>-1.9999999999686935E-5</v>
      </c>
    </row>
    <row r="141" spans="1:8" ht="15.75" thickBot="1" x14ac:dyDescent="0.3">
      <c r="A141" s="319"/>
      <c r="B141" s="323"/>
      <c r="C141" s="359"/>
      <c r="D141" s="359"/>
      <c r="E141" s="358"/>
      <c r="F141" s="358"/>
      <c r="G141" s="310"/>
      <c r="H141" s="310"/>
    </row>
    <row r="142" spans="1:8" x14ac:dyDescent="0.25">
      <c r="C142">
        <f>SUM(C110:C141)</f>
        <v>0.84999969999999969</v>
      </c>
      <c r="D142">
        <f t="shared" ref="D142" si="174">SUM(D110:D141)</f>
        <v>0.15</v>
      </c>
      <c r="E142">
        <f t="shared" ref="E142" si="175">SUM(E110:E141)</f>
        <v>0.99999969999999971</v>
      </c>
      <c r="F142">
        <f t="shared" ref="F142" si="176">SUM(F110:F141)</f>
        <v>883.99973480000006</v>
      </c>
      <c r="G142">
        <f t="shared" ref="G142" si="177">SUM(G110:G141)</f>
        <v>883.99966599999982</v>
      </c>
      <c r="H142" s="136">
        <f t="shared" ref="H142" si="178">SUM(H110:H141)</f>
        <v>6.8800000032398501E-5</v>
      </c>
    </row>
    <row r="144" spans="1:8" ht="15.75" thickBot="1" x14ac:dyDescent="0.3"/>
    <row r="145" spans="1:8" ht="15.75" thickBot="1" x14ac:dyDescent="0.3">
      <c r="C145" s="106" t="s">
        <v>129</v>
      </c>
      <c r="D145" s="106" t="s">
        <v>130</v>
      </c>
      <c r="E145" s="106" t="s">
        <v>131</v>
      </c>
      <c r="F145" s="133" t="s">
        <v>132</v>
      </c>
      <c r="G145" s="134">
        <v>1635</v>
      </c>
      <c r="H145" s="135" t="s">
        <v>136</v>
      </c>
    </row>
    <row r="146" spans="1:8" x14ac:dyDescent="0.25">
      <c r="A146" s="317" t="s">
        <v>53</v>
      </c>
      <c r="B146" s="320" t="s">
        <v>36</v>
      </c>
      <c r="C146" s="366">
        <f>0.1485321</f>
        <v>0.1485321</v>
      </c>
      <c r="D146" s="366">
        <f>0.0039+0.012</f>
        <v>1.5900000000000001E-2</v>
      </c>
      <c r="E146" s="366">
        <f>C146+D146</f>
        <v>0.1644321</v>
      </c>
      <c r="F146" s="366">
        <f>E146*$G$145</f>
        <v>268.84648349999998</v>
      </c>
      <c r="G146" s="383">
        <v>268.84673000000004</v>
      </c>
      <c r="H146" s="330">
        <f>F146-G146</f>
        <v>-2.4650000005976835E-4</v>
      </c>
    </row>
    <row r="147" spans="1:8" ht="15.75" thickBot="1" x14ac:dyDescent="0.3">
      <c r="A147" s="318"/>
      <c r="B147" s="308"/>
      <c r="C147" s="358"/>
      <c r="D147" s="358"/>
      <c r="E147" s="358"/>
      <c r="F147" s="358"/>
      <c r="G147" s="384"/>
      <c r="H147" s="310"/>
    </row>
    <row r="148" spans="1:8" x14ac:dyDescent="0.25">
      <c r="A148" s="318"/>
      <c r="B148" s="308" t="s">
        <v>37</v>
      </c>
      <c r="C148" s="358">
        <f>0.0566081+0.0732369+0.0175203+0.1275318</f>
        <v>0.27489710000000001</v>
      </c>
      <c r="D148" s="358">
        <f>0.0006+0.006+0.0135+0.00825+0.0048</f>
        <v>3.3149999999999999E-2</v>
      </c>
      <c r="E148" s="366">
        <f t="shared" ref="E148" si="179">C148+D148</f>
        <v>0.30804710000000002</v>
      </c>
      <c r="F148" s="366">
        <f t="shared" ref="F148" si="180">E148*$G$145</f>
        <v>503.65700850000002</v>
      </c>
      <c r="G148" s="383">
        <v>503.65705000000008</v>
      </c>
      <c r="H148" s="330">
        <f t="shared" ref="H148" si="181">F148-G148</f>
        <v>-4.1500000065752829E-5</v>
      </c>
    </row>
    <row r="149" spans="1:8" ht="15.75" thickBot="1" x14ac:dyDescent="0.3">
      <c r="A149" s="318"/>
      <c r="B149" s="308"/>
      <c r="C149" s="358"/>
      <c r="D149" s="358"/>
      <c r="E149" s="358"/>
      <c r="F149" s="358"/>
      <c r="G149" s="384"/>
      <c r="H149" s="310"/>
    </row>
    <row r="150" spans="1:8" x14ac:dyDescent="0.25">
      <c r="A150" s="318"/>
      <c r="B150" s="308" t="s">
        <v>38</v>
      </c>
      <c r="C150" s="358">
        <f>0.00003</f>
        <v>3.0000000000000001E-5</v>
      </c>
      <c r="D150" s="358"/>
      <c r="E150" s="366">
        <f t="shared" ref="E150" si="182">C150+D150</f>
        <v>3.0000000000000001E-5</v>
      </c>
      <c r="F150" s="366">
        <f t="shared" ref="F150" si="183">E150*$G$145</f>
        <v>4.9050000000000003E-2</v>
      </c>
      <c r="G150" s="383">
        <v>4.9049999999999996E-2</v>
      </c>
      <c r="H150" s="330">
        <f t="shared" ref="H150" si="184">F150-G150</f>
        <v>0</v>
      </c>
    </row>
    <row r="151" spans="1:8" ht="15.75" thickBot="1" x14ac:dyDescent="0.3">
      <c r="A151" s="318"/>
      <c r="B151" s="308"/>
      <c r="C151" s="358"/>
      <c r="D151" s="358"/>
      <c r="E151" s="358"/>
      <c r="F151" s="358"/>
      <c r="G151" s="384"/>
      <c r="H151" s="310"/>
    </row>
    <row r="152" spans="1:8" x14ac:dyDescent="0.25">
      <c r="A152" s="318"/>
      <c r="B152" s="308" t="s">
        <v>39</v>
      </c>
      <c r="C152" s="358">
        <f>0.1458534</f>
        <v>0.14585339999999999</v>
      </c>
      <c r="D152" s="358">
        <f>0.0045+0.0045+0.00675</f>
        <v>1.575E-2</v>
      </c>
      <c r="E152" s="366">
        <f t="shared" ref="E152" si="185">C152+D152</f>
        <v>0.16160340000000001</v>
      </c>
      <c r="F152" s="366">
        <f t="shared" ref="F152" si="186">E152*$G$145</f>
        <v>264.22155900000001</v>
      </c>
      <c r="G152" s="383">
        <v>264.22160000000002</v>
      </c>
      <c r="H152" s="330">
        <f t="shared" ref="H152" si="187">F152-G152</f>
        <v>-4.1000000010171789E-5</v>
      </c>
    </row>
    <row r="153" spans="1:8" ht="15.75" thickBot="1" x14ac:dyDescent="0.3">
      <c r="A153" s="318"/>
      <c r="B153" s="308"/>
      <c r="C153" s="358"/>
      <c r="D153" s="358"/>
      <c r="E153" s="358"/>
      <c r="F153" s="358"/>
      <c r="G153" s="384"/>
      <c r="H153" s="310"/>
    </row>
    <row r="154" spans="1:8" x14ac:dyDescent="0.25">
      <c r="A154" s="318"/>
      <c r="B154" s="308" t="s">
        <v>40</v>
      </c>
      <c r="C154" s="358">
        <f>0.0007568</f>
        <v>7.5679999999999996E-4</v>
      </c>
      <c r="D154" s="358">
        <v>4.4999999999999997E-3</v>
      </c>
      <c r="E154" s="366">
        <f t="shared" ref="E154" si="188">C154+D154</f>
        <v>5.2567999999999998E-3</v>
      </c>
      <c r="F154" s="366">
        <f t="shared" ref="F154" si="189">E154*$G$145</f>
        <v>8.594868</v>
      </c>
      <c r="G154" s="383">
        <v>8.5948999999999991</v>
      </c>
      <c r="H154" s="330">
        <f t="shared" ref="H154" si="190">F154-G154</f>
        <v>-3.1999999999143824E-5</v>
      </c>
    </row>
    <row r="155" spans="1:8" ht="15.75" thickBot="1" x14ac:dyDescent="0.3">
      <c r="A155" s="318"/>
      <c r="B155" s="308"/>
      <c r="C155" s="358"/>
      <c r="D155" s="358"/>
      <c r="E155" s="358"/>
      <c r="F155" s="358"/>
      <c r="G155" s="384"/>
      <c r="H155" s="310"/>
    </row>
    <row r="156" spans="1:8" x14ac:dyDescent="0.25">
      <c r="A156" s="318"/>
      <c r="B156" s="308" t="s">
        <v>41</v>
      </c>
      <c r="C156" s="358">
        <f>0.004693</f>
        <v>4.6930000000000001E-3</v>
      </c>
      <c r="D156" s="358"/>
      <c r="E156" s="366">
        <f t="shared" ref="E156" si="191">C156+D156</f>
        <v>4.6930000000000001E-3</v>
      </c>
      <c r="F156" s="366">
        <f t="shared" ref="F156" si="192">E156*$G$145</f>
        <v>7.6730550000000006</v>
      </c>
      <c r="G156" s="383">
        <v>7.6730600000000004</v>
      </c>
      <c r="H156" s="330">
        <f t="shared" ref="H156" si="193">F156-G156</f>
        <v>-4.9999999998107114E-6</v>
      </c>
    </row>
    <row r="157" spans="1:8" ht="15.75" thickBot="1" x14ac:dyDescent="0.3">
      <c r="A157" s="318"/>
      <c r="B157" s="308"/>
      <c r="C157" s="358"/>
      <c r="D157" s="358"/>
      <c r="E157" s="358"/>
      <c r="F157" s="358"/>
      <c r="G157" s="384"/>
      <c r="H157" s="310"/>
    </row>
    <row r="158" spans="1:8" x14ac:dyDescent="0.25">
      <c r="A158" s="318"/>
      <c r="B158" s="308" t="s">
        <v>42</v>
      </c>
      <c r="C158" s="358">
        <f>0.002839</f>
        <v>2.8389999999999999E-3</v>
      </c>
      <c r="D158" s="358"/>
      <c r="E158" s="366">
        <f t="shared" ref="E158" si="194">C158+D158</f>
        <v>2.8389999999999999E-3</v>
      </c>
      <c r="F158" s="366">
        <f t="shared" ref="F158" si="195">E158*$G$145</f>
        <v>4.6417649999999995</v>
      </c>
      <c r="G158" s="383">
        <v>4.6417700000000002</v>
      </c>
      <c r="H158" s="330">
        <f t="shared" ref="H158" si="196">F158-G158</f>
        <v>-5.0000000006988898E-6</v>
      </c>
    </row>
    <row r="159" spans="1:8" ht="15.75" thickBot="1" x14ac:dyDescent="0.3">
      <c r="A159" s="318"/>
      <c r="B159" s="308"/>
      <c r="C159" s="358"/>
      <c r="D159" s="358"/>
      <c r="E159" s="358"/>
      <c r="F159" s="358"/>
      <c r="G159" s="384"/>
      <c r="H159" s="310"/>
    </row>
    <row r="160" spans="1:8" x14ac:dyDescent="0.25">
      <c r="A160" s="318"/>
      <c r="B160" s="308" t="s">
        <v>43</v>
      </c>
      <c r="C160" s="379">
        <f>0.151771+0.0369113+0.0311581</f>
        <v>0.21984039999999999</v>
      </c>
      <c r="D160" s="379">
        <f>0.0015+0.0015+0.0015+0.003+0.003+0.003+0.003+0.003+0.003+0.00235+0.00215+0.0045+0.0045+0.0045+0.0045+0.00255+0.00218+0.0075+0.012+0.0102</f>
        <v>7.9430000000000001E-2</v>
      </c>
      <c r="E160" s="380">
        <f t="shared" ref="E160" si="197">C160+D160</f>
        <v>0.29927039999999999</v>
      </c>
      <c r="F160" s="366">
        <f t="shared" ref="F160" si="198">E160*$G$145</f>
        <v>489.30710399999998</v>
      </c>
      <c r="G160" s="330">
        <v>489.30724000000021</v>
      </c>
      <c r="H160" s="330">
        <f t="shared" ref="H160" si="199">F160-G160</f>
        <v>-1.360000002250672E-4</v>
      </c>
    </row>
    <row r="161" spans="1:8" ht="15.75" thickBot="1" x14ac:dyDescent="0.3">
      <c r="A161" s="318"/>
      <c r="B161" s="308"/>
      <c r="C161" s="379"/>
      <c r="D161" s="379"/>
      <c r="E161" s="379"/>
      <c r="F161" s="358"/>
      <c r="G161" s="310"/>
      <c r="H161" s="310"/>
    </row>
    <row r="162" spans="1:8" x14ac:dyDescent="0.25">
      <c r="A162" s="318"/>
      <c r="B162" s="308" t="s">
        <v>44</v>
      </c>
      <c r="C162" s="358">
        <f>0.0015497</f>
        <v>1.5497E-3</v>
      </c>
      <c r="D162" s="358"/>
      <c r="E162" s="366">
        <f t="shared" ref="E162" si="200">C162+D162</f>
        <v>1.5497E-3</v>
      </c>
      <c r="F162" s="366">
        <f t="shared" ref="F162" si="201">E162*$G$145</f>
        <v>2.5337594999999999</v>
      </c>
      <c r="G162" s="330">
        <v>2.53376</v>
      </c>
      <c r="H162" s="330">
        <f t="shared" ref="H162" si="202">F162-G162</f>
        <v>-5.0000000006988898E-7</v>
      </c>
    </row>
    <row r="163" spans="1:8" ht="15.75" thickBot="1" x14ac:dyDescent="0.3">
      <c r="A163" s="318"/>
      <c r="B163" s="308"/>
      <c r="C163" s="358"/>
      <c r="D163" s="358"/>
      <c r="E163" s="358"/>
      <c r="F163" s="358"/>
      <c r="G163" s="310"/>
      <c r="H163" s="310"/>
    </row>
    <row r="164" spans="1:8" x14ac:dyDescent="0.25">
      <c r="A164" s="318"/>
      <c r="B164" s="308" t="s">
        <v>45</v>
      </c>
      <c r="C164" s="358">
        <f>0.0324857</f>
        <v>3.2485699999999999E-2</v>
      </c>
      <c r="D164" s="358"/>
      <c r="E164" s="366">
        <f t="shared" ref="E164" si="203">C164+D164</f>
        <v>3.2485699999999999E-2</v>
      </c>
      <c r="F164" s="366">
        <f t="shared" ref="F164" si="204">E164*$G$145</f>
        <v>53.114119500000001</v>
      </c>
      <c r="G164" s="330">
        <v>53.11412</v>
      </c>
      <c r="H164" s="330">
        <f t="shared" ref="H164" si="205">F164-G164</f>
        <v>-4.9999999873762135E-7</v>
      </c>
    </row>
    <row r="165" spans="1:8" ht="15.75" thickBot="1" x14ac:dyDescent="0.3">
      <c r="A165" s="318"/>
      <c r="B165" s="308"/>
      <c r="C165" s="358"/>
      <c r="D165" s="358"/>
      <c r="E165" s="358"/>
      <c r="F165" s="358"/>
      <c r="G165" s="310"/>
      <c r="H165" s="310"/>
    </row>
    <row r="166" spans="1:8" x14ac:dyDescent="0.25">
      <c r="A166" s="318"/>
      <c r="B166" s="379" t="s">
        <v>46</v>
      </c>
      <c r="C166" s="379">
        <f>0.00003</f>
        <v>3.0000000000000001E-5</v>
      </c>
      <c r="D166" s="379"/>
      <c r="E166" s="380">
        <f t="shared" ref="E166" si="206">C166+D166</f>
        <v>3.0000000000000001E-5</v>
      </c>
      <c r="F166" s="366">
        <f t="shared" ref="F166" si="207">E166*$G$145</f>
        <v>4.9050000000000003E-2</v>
      </c>
      <c r="G166" s="381">
        <v>4.9049999999999996E-2</v>
      </c>
      <c r="H166" s="330">
        <f t="shared" ref="H166" si="208">F166-G166</f>
        <v>0</v>
      </c>
    </row>
    <row r="167" spans="1:8" ht="15.75" thickBot="1" x14ac:dyDescent="0.3">
      <c r="A167" s="318"/>
      <c r="B167" s="379"/>
      <c r="C167" s="379"/>
      <c r="D167" s="379"/>
      <c r="E167" s="379"/>
      <c r="F167" s="358"/>
      <c r="G167" s="382"/>
      <c r="H167" s="310"/>
    </row>
    <row r="168" spans="1:8" x14ac:dyDescent="0.25">
      <c r="A168" s="318"/>
      <c r="B168" s="308" t="s">
        <v>47</v>
      </c>
      <c r="C168" s="358">
        <f>0.00002</f>
        <v>2.0000000000000002E-5</v>
      </c>
      <c r="D168" s="358"/>
      <c r="E168" s="366">
        <f t="shared" ref="E168" si="209">C168+D168</f>
        <v>2.0000000000000002E-5</v>
      </c>
      <c r="F168" s="366">
        <f t="shared" ref="F168" si="210">E168*$G$145</f>
        <v>3.27E-2</v>
      </c>
      <c r="G168" s="330">
        <v>3.27E-2</v>
      </c>
      <c r="H168" s="330">
        <f t="shared" ref="H168" si="211">F168-G168</f>
        <v>0</v>
      </c>
    </row>
    <row r="169" spans="1:8" ht="15.75" thickBot="1" x14ac:dyDescent="0.3">
      <c r="A169" s="318"/>
      <c r="B169" s="308"/>
      <c r="C169" s="358"/>
      <c r="D169" s="358"/>
      <c r="E169" s="358"/>
      <c r="F169" s="358"/>
      <c r="G169" s="310"/>
      <c r="H169" s="310"/>
    </row>
    <row r="170" spans="1:8" x14ac:dyDescent="0.25">
      <c r="A170" s="318"/>
      <c r="B170" s="308" t="s">
        <v>48</v>
      </c>
      <c r="C170" s="358">
        <f>0.0181825</f>
        <v>1.8182500000000001E-2</v>
      </c>
      <c r="D170" s="358"/>
      <c r="E170" s="366">
        <f t="shared" ref="E170" si="212">C170+D170</f>
        <v>1.8182500000000001E-2</v>
      </c>
      <c r="F170" s="366">
        <f t="shared" ref="F170" si="213">E170*$G$145</f>
        <v>29.7283875</v>
      </c>
      <c r="G170" s="330">
        <v>29.728390000000001</v>
      </c>
      <c r="H170" s="330">
        <f t="shared" ref="H170" si="214">F170-G170</f>
        <v>-2.5000000007935341E-6</v>
      </c>
    </row>
    <row r="171" spans="1:8" ht="15.75" thickBot="1" x14ac:dyDescent="0.3">
      <c r="A171" s="318"/>
      <c r="B171" s="308"/>
      <c r="C171" s="358"/>
      <c r="D171" s="358"/>
      <c r="E171" s="358"/>
      <c r="F171" s="358"/>
      <c r="G171" s="310"/>
      <c r="H171" s="310"/>
    </row>
    <row r="172" spans="1:8" x14ac:dyDescent="0.25">
      <c r="A172" s="318"/>
      <c r="B172" s="308" t="s">
        <v>49</v>
      </c>
      <c r="C172" s="358">
        <f>0.00001</f>
        <v>1.0000000000000001E-5</v>
      </c>
      <c r="D172" s="358"/>
      <c r="E172" s="366">
        <f t="shared" ref="E172" si="215">C172+D172</f>
        <v>1.0000000000000001E-5</v>
      </c>
      <c r="F172" s="366">
        <f t="shared" ref="F172" si="216">E172*$G$145</f>
        <v>1.635E-2</v>
      </c>
      <c r="G172" s="330">
        <v>1.635E-2</v>
      </c>
      <c r="H172" s="330">
        <f t="shared" ref="H172" si="217">F172-G172</f>
        <v>0</v>
      </c>
    </row>
    <row r="173" spans="1:8" ht="15.75" thickBot="1" x14ac:dyDescent="0.3">
      <c r="A173" s="318"/>
      <c r="B173" s="308"/>
      <c r="C173" s="358"/>
      <c r="D173" s="358"/>
      <c r="E173" s="358"/>
      <c r="F173" s="358"/>
      <c r="G173" s="310"/>
      <c r="H173" s="310"/>
    </row>
    <row r="174" spans="1:8" x14ac:dyDescent="0.25">
      <c r="A174" s="318"/>
      <c r="B174" s="308" t="s">
        <v>50</v>
      </c>
      <c r="C174" s="358">
        <f>0.00027</f>
        <v>2.7E-4</v>
      </c>
      <c r="D174" s="358"/>
      <c r="E174" s="366">
        <f t="shared" ref="E174" si="218">C174+D174</f>
        <v>2.7E-4</v>
      </c>
      <c r="F174" s="366">
        <f t="shared" ref="F174" si="219">E174*$G$145</f>
        <v>0.44145000000000001</v>
      </c>
      <c r="G174" s="330">
        <v>0.44145000000000001</v>
      </c>
      <c r="H174" s="330">
        <f t="shared" ref="H174" si="220">F174-G174</f>
        <v>0</v>
      </c>
    </row>
    <row r="175" spans="1:8" ht="15.75" thickBot="1" x14ac:dyDescent="0.3">
      <c r="A175" s="318"/>
      <c r="B175" s="308"/>
      <c r="C175" s="358"/>
      <c r="D175" s="358"/>
      <c r="E175" s="358"/>
      <c r="F175" s="358"/>
      <c r="G175" s="310"/>
      <c r="H175" s="310"/>
    </row>
    <row r="176" spans="1:8" x14ac:dyDescent="0.25">
      <c r="A176" s="318"/>
      <c r="B176" s="308" t="s">
        <v>51</v>
      </c>
      <c r="C176" s="358">
        <f>0.00001</f>
        <v>1.0000000000000001E-5</v>
      </c>
      <c r="D176" s="358">
        <v>1.2700000000000001E-3</v>
      </c>
      <c r="E176" s="366">
        <f t="shared" ref="E176" si="221">C176+D176</f>
        <v>1.2800000000000001E-3</v>
      </c>
      <c r="F176" s="366">
        <f t="shared" ref="F176" si="222">E176*$G$145</f>
        <v>2.0928</v>
      </c>
      <c r="G176" s="330">
        <v>2.0927500000000001</v>
      </c>
      <c r="H176" s="330">
        <f t="shared" ref="H176" si="223">F176-G176</f>
        <v>4.9999999999883471E-5</v>
      </c>
    </row>
    <row r="177" spans="1:8" ht="15.75" thickBot="1" x14ac:dyDescent="0.3">
      <c r="A177" s="319"/>
      <c r="B177" s="323"/>
      <c r="C177" s="359"/>
      <c r="D177" s="359"/>
      <c r="E177" s="358"/>
      <c r="F177" s="358"/>
      <c r="G177" s="310"/>
      <c r="H177" s="310"/>
    </row>
    <row r="178" spans="1:8" x14ac:dyDescent="0.25">
      <c r="C178">
        <f>SUM(C146:C177)</f>
        <v>0.84999969999999969</v>
      </c>
      <c r="D178">
        <f t="shared" ref="D178" si="224">SUM(D146:D177)</f>
        <v>0.15</v>
      </c>
      <c r="E178">
        <f t="shared" ref="E178" si="225">SUM(E146:E177)</f>
        <v>0.99999969999999971</v>
      </c>
      <c r="F178">
        <f t="shared" ref="F178" si="226">SUM(F146:F177)</f>
        <v>1634.9995095000002</v>
      </c>
      <c r="G178">
        <f t="shared" ref="G178" si="227">SUM(G146:G177)</f>
        <v>1634.9999700000005</v>
      </c>
      <c r="H178" s="136">
        <f t="shared" ref="H178" si="228">SUM(H146:H177)</f>
        <v>-4.6050000036013117E-4</v>
      </c>
    </row>
    <row r="180" spans="1:8" ht="15.75" thickBot="1" x14ac:dyDescent="0.3"/>
    <row r="181" spans="1:8" ht="15.75" thickBot="1" x14ac:dyDescent="0.3">
      <c r="C181" s="106" t="s">
        <v>129</v>
      </c>
      <c r="D181" s="106" t="s">
        <v>130</v>
      </c>
      <c r="E181" s="106" t="s">
        <v>131</v>
      </c>
      <c r="F181" s="133" t="s">
        <v>132</v>
      </c>
      <c r="G181" s="134">
        <v>632</v>
      </c>
      <c r="H181" s="135" t="s">
        <v>136</v>
      </c>
    </row>
    <row r="182" spans="1:8" x14ac:dyDescent="0.25">
      <c r="A182" s="317" t="s">
        <v>53</v>
      </c>
      <c r="B182" s="320" t="s">
        <v>36</v>
      </c>
      <c r="C182" s="366">
        <f>0.1485321</f>
        <v>0.1485321</v>
      </c>
      <c r="D182" s="366">
        <f>0.0039+0.012</f>
        <v>1.5900000000000001E-2</v>
      </c>
      <c r="E182" s="366">
        <f>C182+D182</f>
        <v>0.1644321</v>
      </c>
      <c r="F182" s="366">
        <f>E182*$G$181</f>
        <v>103.9210872</v>
      </c>
      <c r="G182" s="383">
        <v>103.92107999999999</v>
      </c>
      <c r="H182" s="330">
        <f>F182-G182</f>
        <v>7.2000000130856279E-6</v>
      </c>
    </row>
    <row r="183" spans="1:8" ht="15.75" thickBot="1" x14ac:dyDescent="0.3">
      <c r="A183" s="318"/>
      <c r="B183" s="308"/>
      <c r="C183" s="358"/>
      <c r="D183" s="358"/>
      <c r="E183" s="358"/>
      <c r="F183" s="358"/>
      <c r="G183" s="384"/>
      <c r="H183" s="310"/>
    </row>
    <row r="184" spans="1:8" x14ac:dyDescent="0.25">
      <c r="A184" s="318"/>
      <c r="B184" s="308" t="s">
        <v>37</v>
      </c>
      <c r="C184" s="358">
        <f>0.0566081+0.0732369+0.0175203+0.1275318</f>
        <v>0.27489710000000001</v>
      </c>
      <c r="D184" s="358">
        <f>0.0006+0.006+0.0135+0.00825+0.0048</f>
        <v>3.3149999999999999E-2</v>
      </c>
      <c r="E184" s="366">
        <f t="shared" ref="E184" si="229">C184+D184</f>
        <v>0.30804710000000002</v>
      </c>
      <c r="F184" s="366">
        <f t="shared" ref="F184" si="230">E184*$G$181</f>
        <v>194.68576720000002</v>
      </c>
      <c r="G184" s="383">
        <v>194.68585999999999</v>
      </c>
      <c r="H184" s="330">
        <f t="shared" ref="H184" si="231">F184-G184</f>
        <v>-9.2799999976023173E-5</v>
      </c>
    </row>
    <row r="185" spans="1:8" ht="15.75" thickBot="1" x14ac:dyDescent="0.3">
      <c r="A185" s="318"/>
      <c r="B185" s="308"/>
      <c r="C185" s="358"/>
      <c r="D185" s="358"/>
      <c r="E185" s="358"/>
      <c r="F185" s="358"/>
      <c r="G185" s="384"/>
      <c r="H185" s="310"/>
    </row>
    <row r="186" spans="1:8" x14ac:dyDescent="0.25">
      <c r="A186" s="318"/>
      <c r="B186" s="308" t="s">
        <v>38</v>
      </c>
      <c r="C186" s="358">
        <f>0.00003</f>
        <v>3.0000000000000001E-5</v>
      </c>
      <c r="D186" s="358"/>
      <c r="E186" s="366">
        <f t="shared" ref="E186" si="232">C186+D186</f>
        <v>3.0000000000000001E-5</v>
      </c>
      <c r="F186" s="366">
        <f t="shared" ref="F186" si="233">E186*$G$181</f>
        <v>1.8960000000000001E-2</v>
      </c>
      <c r="G186" s="383">
        <v>1.8959999999999998E-2</v>
      </c>
      <c r="H186" s="330">
        <f t="shared" ref="H186" si="234">F186-G186</f>
        <v>0</v>
      </c>
    </row>
    <row r="187" spans="1:8" ht="15.75" thickBot="1" x14ac:dyDescent="0.3">
      <c r="A187" s="318"/>
      <c r="B187" s="308"/>
      <c r="C187" s="358"/>
      <c r="D187" s="358"/>
      <c r="E187" s="358"/>
      <c r="F187" s="358"/>
      <c r="G187" s="384"/>
      <c r="H187" s="310"/>
    </row>
    <row r="188" spans="1:8" x14ac:dyDescent="0.25">
      <c r="A188" s="318"/>
      <c r="B188" s="308" t="s">
        <v>39</v>
      </c>
      <c r="C188" s="358">
        <f>0.1458534</f>
        <v>0.14585339999999999</v>
      </c>
      <c r="D188" s="358">
        <f>0.0045+0.0045+0.00675</f>
        <v>1.575E-2</v>
      </c>
      <c r="E188" s="366">
        <f t="shared" ref="E188" si="235">C188+D188</f>
        <v>0.16160340000000001</v>
      </c>
      <c r="F188" s="366">
        <f t="shared" ref="F188" si="236">E188*$G$181</f>
        <v>102.13334880000001</v>
      </c>
      <c r="G188" s="383">
        <v>102.13344000000001</v>
      </c>
      <c r="H188" s="330">
        <f t="shared" ref="H188" si="237">F188-G188</f>
        <v>-9.1199999999957981E-5</v>
      </c>
    </row>
    <row r="189" spans="1:8" ht="15.75" thickBot="1" x14ac:dyDescent="0.3">
      <c r="A189" s="318"/>
      <c r="B189" s="308"/>
      <c r="C189" s="358"/>
      <c r="D189" s="358"/>
      <c r="E189" s="358"/>
      <c r="F189" s="358"/>
      <c r="G189" s="384"/>
      <c r="H189" s="310"/>
    </row>
    <row r="190" spans="1:8" x14ac:dyDescent="0.25">
      <c r="A190" s="318"/>
      <c r="B190" s="308" t="s">
        <v>40</v>
      </c>
      <c r="C190" s="358">
        <f>0.0007568</f>
        <v>7.5679999999999996E-4</v>
      </c>
      <c r="D190" s="358">
        <v>4.4999999999999997E-3</v>
      </c>
      <c r="E190" s="366">
        <f t="shared" ref="E190" si="238">C190+D190</f>
        <v>5.2567999999999998E-3</v>
      </c>
      <c r="F190" s="366">
        <f t="shared" ref="F190" si="239">E190*$G$181</f>
        <v>3.3222975999999997</v>
      </c>
      <c r="G190" s="383">
        <v>3.3223000000000003</v>
      </c>
      <c r="H190" s="330">
        <f t="shared" ref="H190" si="240">F190-G190</f>
        <v>-2.4000000005131028E-6</v>
      </c>
    </row>
    <row r="191" spans="1:8" ht="15.75" thickBot="1" x14ac:dyDescent="0.3">
      <c r="A191" s="318"/>
      <c r="B191" s="308"/>
      <c r="C191" s="358"/>
      <c r="D191" s="358"/>
      <c r="E191" s="358"/>
      <c r="F191" s="358"/>
      <c r="G191" s="384"/>
      <c r="H191" s="310"/>
    </row>
    <row r="192" spans="1:8" x14ac:dyDescent="0.25">
      <c r="A192" s="318"/>
      <c r="B192" s="308" t="s">
        <v>41</v>
      </c>
      <c r="C192" s="358">
        <f>0.004693</f>
        <v>4.6930000000000001E-3</v>
      </c>
      <c r="D192" s="358"/>
      <c r="E192" s="366">
        <f t="shared" ref="E192" si="241">C192+D192</f>
        <v>4.6930000000000001E-3</v>
      </c>
      <c r="F192" s="366">
        <f t="shared" ref="F192" si="242">E192*$G$181</f>
        <v>2.9659759999999999</v>
      </c>
      <c r="G192" s="383">
        <v>2.9659799999999996</v>
      </c>
      <c r="H192" s="330">
        <f t="shared" ref="H192" si="243">F192-G192</f>
        <v>-3.9999999996709334E-6</v>
      </c>
    </row>
    <row r="193" spans="1:8" ht="15.75" thickBot="1" x14ac:dyDescent="0.3">
      <c r="A193" s="318"/>
      <c r="B193" s="308"/>
      <c r="C193" s="358"/>
      <c r="D193" s="358"/>
      <c r="E193" s="358"/>
      <c r="F193" s="358"/>
      <c r="G193" s="384"/>
      <c r="H193" s="310"/>
    </row>
    <row r="194" spans="1:8" x14ac:dyDescent="0.25">
      <c r="A194" s="318"/>
      <c r="B194" s="308" t="s">
        <v>42</v>
      </c>
      <c r="C194" s="358">
        <f>0.002839</f>
        <v>2.8389999999999999E-3</v>
      </c>
      <c r="D194" s="358"/>
      <c r="E194" s="366">
        <f t="shared" ref="E194" si="244">C194+D194</f>
        <v>2.8389999999999999E-3</v>
      </c>
      <c r="F194" s="366">
        <f t="shared" ref="F194" si="245">E194*$G$181</f>
        <v>1.7942480000000001</v>
      </c>
      <c r="G194" s="383">
        <v>1.7942500000000001</v>
      </c>
      <c r="H194" s="330">
        <f t="shared" ref="H194" si="246">F194-G194</f>
        <v>-2.0000000000575113E-6</v>
      </c>
    </row>
    <row r="195" spans="1:8" ht="15.75" thickBot="1" x14ac:dyDescent="0.3">
      <c r="A195" s="318"/>
      <c r="B195" s="308"/>
      <c r="C195" s="358"/>
      <c r="D195" s="358"/>
      <c r="E195" s="358"/>
      <c r="F195" s="358"/>
      <c r="G195" s="384"/>
      <c r="H195" s="310"/>
    </row>
    <row r="196" spans="1:8" x14ac:dyDescent="0.25">
      <c r="A196" s="318"/>
      <c r="B196" s="308" t="s">
        <v>43</v>
      </c>
      <c r="C196" s="379">
        <f>0.151771+0.0369113+0.0311581</f>
        <v>0.21984039999999999</v>
      </c>
      <c r="D196" s="379">
        <f>0.0015+0.0015+0.0015+0.003+0.003+0.003+0.003+0.003+0.003+0.00235+0.00215+0.0045+0.0045+0.0045+0.0045+0.00255+0.00218+0.0075+0.012+0.0102</f>
        <v>7.9430000000000001E-2</v>
      </c>
      <c r="E196" s="380">
        <f t="shared" ref="E196" si="247">C196+D196</f>
        <v>0.29927039999999999</v>
      </c>
      <c r="F196" s="366">
        <f t="shared" ref="F196" si="248">E196*$G$181</f>
        <v>189.13889280000001</v>
      </c>
      <c r="G196" s="330">
        <v>189.13912999999991</v>
      </c>
      <c r="H196" s="330">
        <f t="shared" ref="H196" si="249">F196-G196</f>
        <v>-2.3719999990134966E-4</v>
      </c>
    </row>
    <row r="197" spans="1:8" ht="15.75" thickBot="1" x14ac:dyDescent="0.3">
      <c r="A197" s="318"/>
      <c r="B197" s="308"/>
      <c r="C197" s="379"/>
      <c r="D197" s="379"/>
      <c r="E197" s="379"/>
      <c r="F197" s="358"/>
      <c r="G197" s="310"/>
      <c r="H197" s="310"/>
    </row>
    <row r="198" spans="1:8" x14ac:dyDescent="0.25">
      <c r="A198" s="318"/>
      <c r="B198" s="308" t="s">
        <v>44</v>
      </c>
      <c r="C198" s="358">
        <f>0.0015497</f>
        <v>1.5497E-3</v>
      </c>
      <c r="D198" s="358"/>
      <c r="E198" s="366">
        <f t="shared" ref="E198" si="250">C198+D198</f>
        <v>1.5497E-3</v>
      </c>
      <c r="F198" s="366">
        <f t="shared" ref="F198" si="251">E198*$G$181</f>
        <v>0.97941040000000001</v>
      </c>
      <c r="G198" s="330">
        <v>0.97941</v>
      </c>
      <c r="H198" s="330">
        <f t="shared" ref="H198" si="252">F198-G198</f>
        <v>4.0000000001150227E-7</v>
      </c>
    </row>
    <row r="199" spans="1:8" ht="15.75" thickBot="1" x14ac:dyDescent="0.3">
      <c r="A199" s="318"/>
      <c r="B199" s="308"/>
      <c r="C199" s="358"/>
      <c r="D199" s="358"/>
      <c r="E199" s="358"/>
      <c r="F199" s="358"/>
      <c r="G199" s="310"/>
      <c r="H199" s="310"/>
    </row>
    <row r="200" spans="1:8" x14ac:dyDescent="0.25">
      <c r="A200" s="318"/>
      <c r="B200" s="308" t="s">
        <v>45</v>
      </c>
      <c r="C200" s="358">
        <f>0.0324857</f>
        <v>3.2485699999999999E-2</v>
      </c>
      <c r="D200" s="358"/>
      <c r="E200" s="366">
        <f t="shared" ref="E200" si="253">C200+D200</f>
        <v>3.2485699999999999E-2</v>
      </c>
      <c r="F200" s="366">
        <f t="shared" ref="F200" si="254">E200*$G$181</f>
        <v>20.5309624</v>
      </c>
      <c r="G200" s="330">
        <v>20.53096</v>
      </c>
      <c r="H200" s="330">
        <f t="shared" ref="H200" si="255">F200-G200</f>
        <v>2.3999999996249244E-6</v>
      </c>
    </row>
    <row r="201" spans="1:8" ht="15.75" thickBot="1" x14ac:dyDescent="0.3">
      <c r="A201" s="318"/>
      <c r="B201" s="308"/>
      <c r="C201" s="358"/>
      <c r="D201" s="358"/>
      <c r="E201" s="358"/>
      <c r="F201" s="358"/>
      <c r="G201" s="310"/>
      <c r="H201" s="310"/>
    </row>
    <row r="202" spans="1:8" x14ac:dyDescent="0.25">
      <c r="A202" s="318"/>
      <c r="B202" s="379" t="s">
        <v>46</v>
      </c>
      <c r="C202" s="379">
        <f>0.00003</f>
        <v>3.0000000000000001E-5</v>
      </c>
      <c r="D202" s="379"/>
      <c r="E202" s="380">
        <f t="shared" ref="E202" si="256">C202+D202</f>
        <v>3.0000000000000001E-5</v>
      </c>
      <c r="F202" s="366">
        <f t="shared" ref="F202" si="257">E202*$G$181</f>
        <v>1.8960000000000001E-2</v>
      </c>
      <c r="G202" s="381">
        <v>1.8959999999999998E-2</v>
      </c>
      <c r="H202" s="330">
        <f t="shared" ref="H202" si="258">F202-G202</f>
        <v>0</v>
      </c>
    </row>
    <row r="203" spans="1:8" ht="15.75" thickBot="1" x14ac:dyDescent="0.3">
      <c r="A203" s="318"/>
      <c r="B203" s="379"/>
      <c r="C203" s="379"/>
      <c r="D203" s="379"/>
      <c r="E203" s="379"/>
      <c r="F203" s="358"/>
      <c r="G203" s="382"/>
      <c r="H203" s="310"/>
    </row>
    <row r="204" spans="1:8" x14ac:dyDescent="0.25">
      <c r="A204" s="318"/>
      <c r="B204" s="308" t="s">
        <v>47</v>
      </c>
      <c r="C204" s="358">
        <f>0.00002</f>
        <v>2.0000000000000002E-5</v>
      </c>
      <c r="D204" s="358"/>
      <c r="E204" s="366">
        <f t="shared" ref="E204" si="259">C204+D204</f>
        <v>2.0000000000000002E-5</v>
      </c>
      <c r="F204" s="366">
        <f t="shared" ref="F204" si="260">E204*$G$181</f>
        <v>1.264E-2</v>
      </c>
      <c r="G204" s="330">
        <v>1.264E-2</v>
      </c>
      <c r="H204" s="330">
        <f t="shared" ref="H204" si="261">F204-G204</f>
        <v>0</v>
      </c>
    </row>
    <row r="205" spans="1:8" ht="15.75" thickBot="1" x14ac:dyDescent="0.3">
      <c r="A205" s="318"/>
      <c r="B205" s="308"/>
      <c r="C205" s="358"/>
      <c r="D205" s="358"/>
      <c r="E205" s="358"/>
      <c r="F205" s="358"/>
      <c r="G205" s="310"/>
      <c r="H205" s="310"/>
    </row>
    <row r="206" spans="1:8" x14ac:dyDescent="0.25">
      <c r="A206" s="318"/>
      <c r="B206" s="308" t="s">
        <v>48</v>
      </c>
      <c r="C206" s="358">
        <f>0.0181825</f>
        <v>1.8182500000000001E-2</v>
      </c>
      <c r="D206" s="358"/>
      <c r="E206" s="366">
        <f t="shared" ref="E206" si="262">C206+D206</f>
        <v>1.8182500000000001E-2</v>
      </c>
      <c r="F206" s="366">
        <f t="shared" ref="F206" si="263">E206*$G$181</f>
        <v>11.491340000000001</v>
      </c>
      <c r="G206" s="330">
        <v>11.491340000000001</v>
      </c>
      <c r="H206" s="330">
        <f t="shared" ref="H206" si="264">F206-G206</f>
        <v>0</v>
      </c>
    </row>
    <row r="207" spans="1:8" ht="15.75" thickBot="1" x14ac:dyDescent="0.3">
      <c r="A207" s="318"/>
      <c r="B207" s="308"/>
      <c r="C207" s="358"/>
      <c r="D207" s="358"/>
      <c r="E207" s="358"/>
      <c r="F207" s="358"/>
      <c r="G207" s="310"/>
      <c r="H207" s="310"/>
    </row>
    <row r="208" spans="1:8" x14ac:dyDescent="0.25">
      <c r="A208" s="318"/>
      <c r="B208" s="308" t="s">
        <v>49</v>
      </c>
      <c r="C208" s="358">
        <f>0.00001</f>
        <v>1.0000000000000001E-5</v>
      </c>
      <c r="D208" s="358"/>
      <c r="E208" s="366">
        <f t="shared" ref="E208" si="265">C208+D208</f>
        <v>1.0000000000000001E-5</v>
      </c>
      <c r="F208" s="366">
        <f t="shared" ref="F208" si="266">E208*$G$181</f>
        <v>6.3200000000000001E-3</v>
      </c>
      <c r="G208" s="330">
        <v>6.3200000000000001E-3</v>
      </c>
      <c r="H208" s="330">
        <f t="shared" ref="H208" si="267">F208-G208</f>
        <v>0</v>
      </c>
    </row>
    <row r="209" spans="1:8" ht="15.75" thickBot="1" x14ac:dyDescent="0.3">
      <c r="A209" s="318"/>
      <c r="B209" s="308"/>
      <c r="C209" s="358"/>
      <c r="D209" s="358"/>
      <c r="E209" s="358"/>
      <c r="F209" s="358"/>
      <c r="G209" s="310"/>
      <c r="H209" s="310"/>
    </row>
    <row r="210" spans="1:8" x14ac:dyDescent="0.25">
      <c r="A210" s="318"/>
      <c r="B210" s="308" t="s">
        <v>50</v>
      </c>
      <c r="C210" s="358">
        <f>0.00027</f>
        <v>2.7E-4</v>
      </c>
      <c r="D210" s="358"/>
      <c r="E210" s="366">
        <f t="shared" ref="E210" si="268">C210+D210</f>
        <v>2.7E-4</v>
      </c>
      <c r="F210" s="366">
        <f t="shared" ref="F210" si="269">E210*$G$181</f>
        <v>0.17064000000000001</v>
      </c>
      <c r="G210" s="330">
        <v>0.17063999999999999</v>
      </c>
      <c r="H210" s="330">
        <f t="shared" ref="H210" si="270">F210-G210</f>
        <v>0</v>
      </c>
    </row>
    <row r="211" spans="1:8" ht="15.75" thickBot="1" x14ac:dyDescent="0.3">
      <c r="A211" s="318"/>
      <c r="B211" s="308"/>
      <c r="C211" s="358"/>
      <c r="D211" s="358"/>
      <c r="E211" s="358"/>
      <c r="F211" s="358"/>
      <c r="G211" s="310"/>
      <c r="H211" s="310"/>
    </row>
    <row r="212" spans="1:8" x14ac:dyDescent="0.25">
      <c r="A212" s="318"/>
      <c r="B212" s="308" t="s">
        <v>51</v>
      </c>
      <c r="C212" s="358">
        <f>0.00001</f>
        <v>1.0000000000000001E-5</v>
      </c>
      <c r="D212" s="358">
        <v>1.2700000000000001E-3</v>
      </c>
      <c r="E212" s="366">
        <f t="shared" ref="E212" si="271">C212+D212</f>
        <v>1.2800000000000001E-3</v>
      </c>
      <c r="F212" s="366">
        <f t="shared" ref="F212" si="272">E212*$G$181</f>
        <v>0.80896000000000001</v>
      </c>
      <c r="G212" s="330">
        <v>0.80891999999999997</v>
      </c>
      <c r="H212" s="330">
        <f t="shared" ref="H212" si="273">F212-G212</f>
        <v>4.0000000000040004E-5</v>
      </c>
    </row>
    <row r="213" spans="1:8" ht="15.75" thickBot="1" x14ac:dyDescent="0.3">
      <c r="A213" s="319"/>
      <c r="B213" s="323"/>
      <c r="C213" s="359"/>
      <c r="D213" s="359"/>
      <c r="E213" s="358"/>
      <c r="F213" s="358"/>
      <c r="G213" s="310"/>
      <c r="H213" s="310"/>
    </row>
    <row r="214" spans="1:8" x14ac:dyDescent="0.25">
      <c r="C214">
        <f>SUM(C182:C213)</f>
        <v>0.84999969999999969</v>
      </c>
      <c r="D214">
        <f t="shared" ref="D214" si="274">SUM(D182:D213)</f>
        <v>0.15</v>
      </c>
      <c r="E214">
        <f t="shared" ref="E214" si="275">SUM(E182:E213)</f>
        <v>0.99999969999999971</v>
      </c>
      <c r="F214">
        <f t="shared" ref="F214" si="276">SUM(F182:F213)</f>
        <v>631.99981040000011</v>
      </c>
      <c r="G214">
        <f t="shared" ref="G214" si="277">SUM(G182:G213)</f>
        <v>632.00018999999998</v>
      </c>
      <c r="H214" s="136">
        <f t="shared" ref="H214" si="278">SUM(H182:H213)</f>
        <v>-3.795999998648103E-4</v>
      </c>
    </row>
  </sheetData>
  <mergeCells count="647">
    <mergeCell ref="C10:C11"/>
    <mergeCell ref="C12:C13"/>
    <mergeCell ref="C14:C15"/>
    <mergeCell ref="C16:C17"/>
    <mergeCell ref="C18:C19"/>
    <mergeCell ref="C20:C21"/>
    <mergeCell ref="A4:A35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34:B35"/>
    <mergeCell ref="B22:B23"/>
    <mergeCell ref="B24:B25"/>
    <mergeCell ref="B26:B27"/>
    <mergeCell ref="B28:B29"/>
    <mergeCell ref="B30:B31"/>
    <mergeCell ref="B32:B33"/>
    <mergeCell ref="D18:D19"/>
    <mergeCell ref="E18:E19"/>
    <mergeCell ref="C34:C35"/>
    <mergeCell ref="D4:D5"/>
    <mergeCell ref="E4:E5"/>
    <mergeCell ref="D6:D7"/>
    <mergeCell ref="E6:E7"/>
    <mergeCell ref="D8:D9"/>
    <mergeCell ref="E8:E9"/>
    <mergeCell ref="D10:D11"/>
    <mergeCell ref="E10:E11"/>
    <mergeCell ref="D12:D13"/>
    <mergeCell ref="C22:C23"/>
    <mergeCell ref="C24:C25"/>
    <mergeCell ref="C26:C27"/>
    <mergeCell ref="C28:C29"/>
    <mergeCell ref="C30:C31"/>
    <mergeCell ref="C32:C33"/>
    <mergeCell ref="D32:D33"/>
    <mergeCell ref="E32:E33"/>
    <mergeCell ref="D34:D35"/>
    <mergeCell ref="C4:C5"/>
    <mergeCell ref="C6:C7"/>
    <mergeCell ref="C8:C9"/>
    <mergeCell ref="E34:E35"/>
    <mergeCell ref="F4:F5"/>
    <mergeCell ref="F6:F7"/>
    <mergeCell ref="F8:F9"/>
    <mergeCell ref="F10:F11"/>
    <mergeCell ref="F12:F13"/>
    <mergeCell ref="F14:F15"/>
    <mergeCell ref="D26:D27"/>
    <mergeCell ref="E26:E27"/>
    <mergeCell ref="D28:D29"/>
    <mergeCell ref="E28:E29"/>
    <mergeCell ref="D30:D31"/>
    <mergeCell ref="E30:E31"/>
    <mergeCell ref="D20:D21"/>
    <mergeCell ref="E20:E21"/>
    <mergeCell ref="D22:D23"/>
    <mergeCell ref="E22:E23"/>
    <mergeCell ref="D24:D25"/>
    <mergeCell ref="E24:E25"/>
    <mergeCell ref="E12:E13"/>
    <mergeCell ref="D14:D15"/>
    <mergeCell ref="E14:E15"/>
    <mergeCell ref="D16:D17"/>
    <mergeCell ref="E16:E17"/>
    <mergeCell ref="G50:G51"/>
    <mergeCell ref="G38:G39"/>
    <mergeCell ref="F28:F29"/>
    <mergeCell ref="F30:F31"/>
    <mergeCell ref="F32:F33"/>
    <mergeCell ref="F34:F35"/>
    <mergeCell ref="F16:F17"/>
    <mergeCell ref="F18:F19"/>
    <mergeCell ref="F20:F21"/>
    <mergeCell ref="F22:F23"/>
    <mergeCell ref="F24:F25"/>
    <mergeCell ref="F26:F27"/>
    <mergeCell ref="F38:F39"/>
    <mergeCell ref="F44:F45"/>
    <mergeCell ref="G84:G85"/>
    <mergeCell ref="H38:H39"/>
    <mergeCell ref="H40:H41"/>
    <mergeCell ref="H42:H43"/>
    <mergeCell ref="H44:H45"/>
    <mergeCell ref="G68:G69"/>
    <mergeCell ref="G74:G75"/>
    <mergeCell ref="H46:H47"/>
    <mergeCell ref="H48:H49"/>
    <mergeCell ref="H50:H51"/>
    <mergeCell ref="H52:H53"/>
    <mergeCell ref="G64:G65"/>
    <mergeCell ref="G66:G67"/>
    <mergeCell ref="G52:G53"/>
    <mergeCell ref="G54:G55"/>
    <mergeCell ref="G56:G57"/>
    <mergeCell ref="G58:G59"/>
    <mergeCell ref="G60:G61"/>
    <mergeCell ref="G62:G63"/>
    <mergeCell ref="G40:G41"/>
    <mergeCell ref="G42:G43"/>
    <mergeCell ref="G44:G45"/>
    <mergeCell ref="G46:G47"/>
    <mergeCell ref="G48:G49"/>
    <mergeCell ref="H78:H79"/>
    <mergeCell ref="H80:H81"/>
    <mergeCell ref="H82:H83"/>
    <mergeCell ref="H84:H85"/>
    <mergeCell ref="A38:A69"/>
    <mergeCell ref="B38:B39"/>
    <mergeCell ref="B40:B41"/>
    <mergeCell ref="B42:B43"/>
    <mergeCell ref="B44:B45"/>
    <mergeCell ref="B46:B47"/>
    <mergeCell ref="H66:H67"/>
    <mergeCell ref="H68:H69"/>
    <mergeCell ref="H74:H75"/>
    <mergeCell ref="H76:H77"/>
    <mergeCell ref="H54:H55"/>
    <mergeCell ref="H56:H57"/>
    <mergeCell ref="H58:H59"/>
    <mergeCell ref="H60:H61"/>
    <mergeCell ref="H62:H63"/>
    <mergeCell ref="H64:H65"/>
    <mergeCell ref="G76:G77"/>
    <mergeCell ref="G78:G79"/>
    <mergeCell ref="G80:G81"/>
    <mergeCell ref="G82:G83"/>
    <mergeCell ref="B60:B61"/>
    <mergeCell ref="B62:B63"/>
    <mergeCell ref="B64:B65"/>
    <mergeCell ref="B66:B67"/>
    <mergeCell ref="B68:B69"/>
    <mergeCell ref="B48:B49"/>
    <mergeCell ref="B50:B51"/>
    <mergeCell ref="B52:B53"/>
    <mergeCell ref="B54:B55"/>
    <mergeCell ref="B56:B57"/>
    <mergeCell ref="B58:B59"/>
    <mergeCell ref="C62:C63"/>
    <mergeCell ref="D62:D63"/>
    <mergeCell ref="E62:E63"/>
    <mergeCell ref="F62:F63"/>
    <mergeCell ref="C56:C57"/>
    <mergeCell ref="D56:D57"/>
    <mergeCell ref="E56:E57"/>
    <mergeCell ref="C50:C51"/>
    <mergeCell ref="D50:D51"/>
    <mergeCell ref="E50:E51"/>
    <mergeCell ref="F50:F51"/>
    <mergeCell ref="C52:C53"/>
    <mergeCell ref="D52:D53"/>
    <mergeCell ref="E52:E53"/>
    <mergeCell ref="F52:F53"/>
    <mergeCell ref="C54:C55"/>
    <mergeCell ref="D54:D55"/>
    <mergeCell ref="E54:E55"/>
    <mergeCell ref="F54:F55"/>
    <mergeCell ref="F56:F57"/>
    <mergeCell ref="C58:C59"/>
    <mergeCell ref="D58:D59"/>
    <mergeCell ref="E58:E59"/>
    <mergeCell ref="F58:F59"/>
    <mergeCell ref="C40:C41"/>
    <mergeCell ref="D40:D41"/>
    <mergeCell ref="E40:E41"/>
    <mergeCell ref="F40:F41"/>
    <mergeCell ref="C42:C43"/>
    <mergeCell ref="D42:D43"/>
    <mergeCell ref="E42:E43"/>
    <mergeCell ref="F42:F43"/>
    <mergeCell ref="C38:C39"/>
    <mergeCell ref="D38:D39"/>
    <mergeCell ref="E38:E39"/>
    <mergeCell ref="C46:C47"/>
    <mergeCell ref="D46:D47"/>
    <mergeCell ref="E46:E47"/>
    <mergeCell ref="F46:F47"/>
    <mergeCell ref="C48:C49"/>
    <mergeCell ref="D48:D49"/>
    <mergeCell ref="E48:E49"/>
    <mergeCell ref="F48:F49"/>
    <mergeCell ref="C44:C45"/>
    <mergeCell ref="D44:D45"/>
    <mergeCell ref="E44:E45"/>
    <mergeCell ref="C60:C61"/>
    <mergeCell ref="D60:D61"/>
    <mergeCell ref="E60:E61"/>
    <mergeCell ref="F60:F61"/>
    <mergeCell ref="A74:A105"/>
    <mergeCell ref="B74:B75"/>
    <mergeCell ref="C74:C75"/>
    <mergeCell ref="D74:D75"/>
    <mergeCell ref="E74:E75"/>
    <mergeCell ref="F74:F75"/>
    <mergeCell ref="B76:B77"/>
    <mergeCell ref="C76:C77"/>
    <mergeCell ref="C64:C65"/>
    <mergeCell ref="D64:D65"/>
    <mergeCell ref="E64:E65"/>
    <mergeCell ref="F64:F65"/>
    <mergeCell ref="C66:C67"/>
    <mergeCell ref="D66:D67"/>
    <mergeCell ref="E66:E67"/>
    <mergeCell ref="F66:F67"/>
    <mergeCell ref="C68:C69"/>
    <mergeCell ref="D68:D69"/>
    <mergeCell ref="D76:D77"/>
    <mergeCell ref="E76:E77"/>
    <mergeCell ref="F76:F77"/>
    <mergeCell ref="B78:B79"/>
    <mergeCell ref="C78:C79"/>
    <mergeCell ref="D78:D79"/>
    <mergeCell ref="E78:E79"/>
    <mergeCell ref="F78:F79"/>
    <mergeCell ref="E68:E69"/>
    <mergeCell ref="F68:F69"/>
    <mergeCell ref="B80:B81"/>
    <mergeCell ref="C80:C81"/>
    <mergeCell ref="D80:D81"/>
    <mergeCell ref="E80:E81"/>
    <mergeCell ref="F80:F81"/>
    <mergeCell ref="B82:B83"/>
    <mergeCell ref="C82:C83"/>
    <mergeCell ref="D82:D83"/>
    <mergeCell ref="E82:E83"/>
    <mergeCell ref="F82:F83"/>
    <mergeCell ref="B84:B85"/>
    <mergeCell ref="C84:C85"/>
    <mergeCell ref="D84:D85"/>
    <mergeCell ref="E84:E85"/>
    <mergeCell ref="F84:F85"/>
    <mergeCell ref="B86:B87"/>
    <mergeCell ref="C86:C87"/>
    <mergeCell ref="D86:D87"/>
    <mergeCell ref="E86:E87"/>
    <mergeCell ref="F86:F87"/>
    <mergeCell ref="G86:G87"/>
    <mergeCell ref="H86:H87"/>
    <mergeCell ref="B88:B89"/>
    <mergeCell ref="C88:C89"/>
    <mergeCell ref="D88:D89"/>
    <mergeCell ref="E88:E89"/>
    <mergeCell ref="F88:F89"/>
    <mergeCell ref="G88:G89"/>
    <mergeCell ref="H88:H89"/>
    <mergeCell ref="H90:H91"/>
    <mergeCell ref="B92:B93"/>
    <mergeCell ref="C92:C93"/>
    <mergeCell ref="D92:D93"/>
    <mergeCell ref="E92:E93"/>
    <mergeCell ref="F92:F93"/>
    <mergeCell ref="G92:G93"/>
    <mergeCell ref="H92:H93"/>
    <mergeCell ref="B90:B91"/>
    <mergeCell ref="C90:C91"/>
    <mergeCell ref="D90:D91"/>
    <mergeCell ref="E90:E91"/>
    <mergeCell ref="F90:F91"/>
    <mergeCell ref="G90:G91"/>
    <mergeCell ref="H94:H95"/>
    <mergeCell ref="B96:B97"/>
    <mergeCell ref="C96:C97"/>
    <mergeCell ref="D96:D97"/>
    <mergeCell ref="E96:E97"/>
    <mergeCell ref="F96:F97"/>
    <mergeCell ref="G96:G97"/>
    <mergeCell ref="H96:H97"/>
    <mergeCell ref="B94:B95"/>
    <mergeCell ref="C94:C95"/>
    <mergeCell ref="D94:D95"/>
    <mergeCell ref="E94:E95"/>
    <mergeCell ref="F94:F95"/>
    <mergeCell ref="G94:G95"/>
    <mergeCell ref="H98:H99"/>
    <mergeCell ref="B100:B101"/>
    <mergeCell ref="C100:C101"/>
    <mergeCell ref="D100:D101"/>
    <mergeCell ref="E100:E101"/>
    <mergeCell ref="F100:F101"/>
    <mergeCell ref="G100:G101"/>
    <mergeCell ref="H100:H101"/>
    <mergeCell ref="B98:B99"/>
    <mergeCell ref="C98:C99"/>
    <mergeCell ref="D98:D99"/>
    <mergeCell ref="E98:E99"/>
    <mergeCell ref="F98:F99"/>
    <mergeCell ref="G98:G99"/>
    <mergeCell ref="H102:H103"/>
    <mergeCell ref="B104:B105"/>
    <mergeCell ref="C104:C105"/>
    <mergeCell ref="D104:D105"/>
    <mergeCell ref="E104:E105"/>
    <mergeCell ref="F104:F105"/>
    <mergeCell ref="G104:G105"/>
    <mergeCell ref="H104:H105"/>
    <mergeCell ref="B102:B103"/>
    <mergeCell ref="C102:C103"/>
    <mergeCell ref="D102:D103"/>
    <mergeCell ref="E102:E103"/>
    <mergeCell ref="F102:F103"/>
    <mergeCell ref="G102:G103"/>
    <mergeCell ref="A110:A141"/>
    <mergeCell ref="B110:B111"/>
    <mergeCell ref="C110:C111"/>
    <mergeCell ref="D110:D111"/>
    <mergeCell ref="E110:E111"/>
    <mergeCell ref="F110:F111"/>
    <mergeCell ref="B114:B115"/>
    <mergeCell ref="C114:C115"/>
    <mergeCell ref="D114:D115"/>
    <mergeCell ref="E114:E115"/>
    <mergeCell ref="F114:F115"/>
    <mergeCell ref="B138:B139"/>
    <mergeCell ref="C138:C139"/>
    <mergeCell ref="D138:D139"/>
    <mergeCell ref="E138:E139"/>
    <mergeCell ref="F138:F139"/>
    <mergeCell ref="G110:G111"/>
    <mergeCell ref="H110:H111"/>
    <mergeCell ref="B112:B113"/>
    <mergeCell ref="C112:C113"/>
    <mergeCell ref="D112:D113"/>
    <mergeCell ref="E112:E113"/>
    <mergeCell ref="F112:F113"/>
    <mergeCell ref="G112:G113"/>
    <mergeCell ref="H112:H113"/>
    <mergeCell ref="G114:G115"/>
    <mergeCell ref="H114:H115"/>
    <mergeCell ref="B116:B117"/>
    <mergeCell ref="C116:C117"/>
    <mergeCell ref="D116:D117"/>
    <mergeCell ref="E116:E117"/>
    <mergeCell ref="F116:F117"/>
    <mergeCell ref="G116:G117"/>
    <mergeCell ref="H116:H117"/>
    <mergeCell ref="H118:H119"/>
    <mergeCell ref="B120:B121"/>
    <mergeCell ref="C120:C121"/>
    <mergeCell ref="D120:D121"/>
    <mergeCell ref="E120:E121"/>
    <mergeCell ref="F120:F121"/>
    <mergeCell ref="G120:G121"/>
    <mergeCell ref="H120:H121"/>
    <mergeCell ref="B118:B119"/>
    <mergeCell ref="C118:C119"/>
    <mergeCell ref="D118:D119"/>
    <mergeCell ref="E118:E119"/>
    <mergeCell ref="F118:F119"/>
    <mergeCell ref="G118:G119"/>
    <mergeCell ref="H122:H123"/>
    <mergeCell ref="B124:B125"/>
    <mergeCell ref="C124:C125"/>
    <mergeCell ref="D124:D125"/>
    <mergeCell ref="E124:E125"/>
    <mergeCell ref="F124:F125"/>
    <mergeCell ref="G124:G125"/>
    <mergeCell ref="H124:H125"/>
    <mergeCell ref="B122:B123"/>
    <mergeCell ref="C122:C123"/>
    <mergeCell ref="D122:D123"/>
    <mergeCell ref="E122:E123"/>
    <mergeCell ref="F122:F123"/>
    <mergeCell ref="G122:G123"/>
    <mergeCell ref="H126:H127"/>
    <mergeCell ref="B128:B129"/>
    <mergeCell ref="C128:C129"/>
    <mergeCell ref="D128:D129"/>
    <mergeCell ref="E128:E129"/>
    <mergeCell ref="F128:F129"/>
    <mergeCell ref="G128:G129"/>
    <mergeCell ref="H128:H129"/>
    <mergeCell ref="B126:B127"/>
    <mergeCell ref="C126:C127"/>
    <mergeCell ref="D126:D127"/>
    <mergeCell ref="E126:E127"/>
    <mergeCell ref="F126:F127"/>
    <mergeCell ref="G126:G127"/>
    <mergeCell ref="H130:H131"/>
    <mergeCell ref="B132:B133"/>
    <mergeCell ref="C132:C133"/>
    <mergeCell ref="D132:D133"/>
    <mergeCell ref="E132:E133"/>
    <mergeCell ref="F132:F133"/>
    <mergeCell ref="G132:G133"/>
    <mergeCell ref="H132:H133"/>
    <mergeCell ref="B130:B131"/>
    <mergeCell ref="C130:C131"/>
    <mergeCell ref="D130:D131"/>
    <mergeCell ref="E130:E131"/>
    <mergeCell ref="F130:F131"/>
    <mergeCell ref="G130:G131"/>
    <mergeCell ref="G138:G139"/>
    <mergeCell ref="H134:H135"/>
    <mergeCell ref="B136:B137"/>
    <mergeCell ref="C136:C137"/>
    <mergeCell ref="D136:D137"/>
    <mergeCell ref="E136:E137"/>
    <mergeCell ref="F136:F137"/>
    <mergeCell ref="G136:G137"/>
    <mergeCell ref="H136:H137"/>
    <mergeCell ref="B134:B135"/>
    <mergeCell ref="C134:C135"/>
    <mergeCell ref="D134:D135"/>
    <mergeCell ref="E134:E135"/>
    <mergeCell ref="F134:F135"/>
    <mergeCell ref="G134:G135"/>
    <mergeCell ref="C148:C149"/>
    <mergeCell ref="D148:D149"/>
    <mergeCell ref="E148:E149"/>
    <mergeCell ref="F148:F149"/>
    <mergeCell ref="G148:G149"/>
    <mergeCell ref="H148:H149"/>
    <mergeCell ref="K115:K116"/>
    <mergeCell ref="A146:A177"/>
    <mergeCell ref="B146:B147"/>
    <mergeCell ref="C146:C147"/>
    <mergeCell ref="D146:D147"/>
    <mergeCell ref="E146:E147"/>
    <mergeCell ref="F146:F147"/>
    <mergeCell ref="G146:G147"/>
    <mergeCell ref="H146:H147"/>
    <mergeCell ref="B148:B149"/>
    <mergeCell ref="H138:H139"/>
    <mergeCell ref="B140:B141"/>
    <mergeCell ref="C140:C141"/>
    <mergeCell ref="D140:D141"/>
    <mergeCell ref="E140:E141"/>
    <mergeCell ref="F140:F141"/>
    <mergeCell ref="G140:G141"/>
    <mergeCell ref="H140:H141"/>
    <mergeCell ref="H150:H151"/>
    <mergeCell ref="B152:B153"/>
    <mergeCell ref="C152:C153"/>
    <mergeCell ref="D152:D153"/>
    <mergeCell ref="E152:E153"/>
    <mergeCell ref="F152:F153"/>
    <mergeCell ref="G152:G153"/>
    <mergeCell ref="H152:H153"/>
    <mergeCell ref="B150:B151"/>
    <mergeCell ref="C150:C151"/>
    <mergeCell ref="D150:D151"/>
    <mergeCell ref="E150:E151"/>
    <mergeCell ref="F150:F151"/>
    <mergeCell ref="G150:G151"/>
    <mergeCell ref="H154:H155"/>
    <mergeCell ref="B156:B157"/>
    <mergeCell ref="C156:C157"/>
    <mergeCell ref="D156:D157"/>
    <mergeCell ref="E156:E157"/>
    <mergeCell ref="F156:F157"/>
    <mergeCell ref="G156:G157"/>
    <mergeCell ref="H156:H157"/>
    <mergeCell ref="B154:B155"/>
    <mergeCell ref="C154:C155"/>
    <mergeCell ref="D154:D155"/>
    <mergeCell ref="E154:E155"/>
    <mergeCell ref="F154:F155"/>
    <mergeCell ref="G154:G155"/>
    <mergeCell ref="H158:H159"/>
    <mergeCell ref="B160:B161"/>
    <mergeCell ref="C160:C161"/>
    <mergeCell ref="D160:D161"/>
    <mergeCell ref="E160:E161"/>
    <mergeCell ref="F160:F161"/>
    <mergeCell ref="G160:G161"/>
    <mergeCell ref="H160:H161"/>
    <mergeCell ref="B158:B159"/>
    <mergeCell ref="C158:C159"/>
    <mergeCell ref="D158:D159"/>
    <mergeCell ref="E158:E159"/>
    <mergeCell ref="F158:F159"/>
    <mergeCell ref="G158:G159"/>
    <mergeCell ref="H162:H163"/>
    <mergeCell ref="B164:B165"/>
    <mergeCell ref="C164:C165"/>
    <mergeCell ref="D164:D165"/>
    <mergeCell ref="E164:E165"/>
    <mergeCell ref="F164:F165"/>
    <mergeCell ref="G164:G165"/>
    <mergeCell ref="H164:H165"/>
    <mergeCell ref="B162:B163"/>
    <mergeCell ref="C162:C163"/>
    <mergeCell ref="D162:D163"/>
    <mergeCell ref="E162:E163"/>
    <mergeCell ref="F162:F163"/>
    <mergeCell ref="G162:G163"/>
    <mergeCell ref="H166:H167"/>
    <mergeCell ref="B168:B169"/>
    <mergeCell ref="C168:C169"/>
    <mergeCell ref="D168:D169"/>
    <mergeCell ref="E168:E169"/>
    <mergeCell ref="F168:F169"/>
    <mergeCell ref="G168:G169"/>
    <mergeCell ref="H168:H169"/>
    <mergeCell ref="B166:B167"/>
    <mergeCell ref="C166:C167"/>
    <mergeCell ref="D166:D167"/>
    <mergeCell ref="E166:E167"/>
    <mergeCell ref="F166:F167"/>
    <mergeCell ref="G166:G167"/>
    <mergeCell ref="H170:H171"/>
    <mergeCell ref="B172:B173"/>
    <mergeCell ref="C172:C173"/>
    <mergeCell ref="D172:D173"/>
    <mergeCell ref="E172:E173"/>
    <mergeCell ref="F172:F173"/>
    <mergeCell ref="G172:G173"/>
    <mergeCell ref="H172:H173"/>
    <mergeCell ref="B170:B171"/>
    <mergeCell ref="C170:C171"/>
    <mergeCell ref="D170:D171"/>
    <mergeCell ref="E170:E171"/>
    <mergeCell ref="F170:F171"/>
    <mergeCell ref="G170:G171"/>
    <mergeCell ref="H174:H175"/>
    <mergeCell ref="B176:B177"/>
    <mergeCell ref="C176:C177"/>
    <mergeCell ref="D176:D177"/>
    <mergeCell ref="E176:E177"/>
    <mergeCell ref="F176:F177"/>
    <mergeCell ref="G176:G177"/>
    <mergeCell ref="H176:H177"/>
    <mergeCell ref="B174:B175"/>
    <mergeCell ref="C174:C175"/>
    <mergeCell ref="D174:D175"/>
    <mergeCell ref="E174:E175"/>
    <mergeCell ref="F174:F175"/>
    <mergeCell ref="G174:G175"/>
    <mergeCell ref="A182:A213"/>
    <mergeCell ref="B182:B183"/>
    <mergeCell ref="C182:C183"/>
    <mergeCell ref="D182:D183"/>
    <mergeCell ref="E182:E183"/>
    <mergeCell ref="F182:F183"/>
    <mergeCell ref="B186:B187"/>
    <mergeCell ref="C186:C187"/>
    <mergeCell ref="D186:D187"/>
    <mergeCell ref="E186:E187"/>
    <mergeCell ref="F186:F187"/>
    <mergeCell ref="G182:G183"/>
    <mergeCell ref="H182:H183"/>
    <mergeCell ref="B184:B185"/>
    <mergeCell ref="C184:C185"/>
    <mergeCell ref="D184:D185"/>
    <mergeCell ref="E184:E185"/>
    <mergeCell ref="F184:F185"/>
    <mergeCell ref="G184:G185"/>
    <mergeCell ref="H184:H185"/>
    <mergeCell ref="G186:G187"/>
    <mergeCell ref="H186:H187"/>
    <mergeCell ref="B188:B189"/>
    <mergeCell ref="C188:C189"/>
    <mergeCell ref="D188:D189"/>
    <mergeCell ref="E188:E189"/>
    <mergeCell ref="F188:F189"/>
    <mergeCell ref="G188:G189"/>
    <mergeCell ref="H188:H189"/>
    <mergeCell ref="H190:H191"/>
    <mergeCell ref="B192:B193"/>
    <mergeCell ref="C192:C193"/>
    <mergeCell ref="D192:D193"/>
    <mergeCell ref="E192:E193"/>
    <mergeCell ref="F192:F193"/>
    <mergeCell ref="G192:G193"/>
    <mergeCell ref="H192:H193"/>
    <mergeCell ref="B190:B191"/>
    <mergeCell ref="C190:C191"/>
    <mergeCell ref="D190:D191"/>
    <mergeCell ref="E190:E191"/>
    <mergeCell ref="F190:F191"/>
    <mergeCell ref="G190:G191"/>
    <mergeCell ref="H194:H195"/>
    <mergeCell ref="B196:B197"/>
    <mergeCell ref="C196:C197"/>
    <mergeCell ref="D196:D197"/>
    <mergeCell ref="E196:E197"/>
    <mergeCell ref="F196:F197"/>
    <mergeCell ref="G196:G197"/>
    <mergeCell ref="H196:H197"/>
    <mergeCell ref="B194:B195"/>
    <mergeCell ref="C194:C195"/>
    <mergeCell ref="D194:D195"/>
    <mergeCell ref="E194:E195"/>
    <mergeCell ref="F194:F195"/>
    <mergeCell ref="G194:G195"/>
    <mergeCell ref="H198:H199"/>
    <mergeCell ref="B200:B201"/>
    <mergeCell ref="C200:C201"/>
    <mergeCell ref="D200:D201"/>
    <mergeCell ref="E200:E201"/>
    <mergeCell ref="F200:F201"/>
    <mergeCell ref="G200:G201"/>
    <mergeCell ref="H200:H201"/>
    <mergeCell ref="B198:B199"/>
    <mergeCell ref="C198:C199"/>
    <mergeCell ref="D198:D199"/>
    <mergeCell ref="E198:E199"/>
    <mergeCell ref="F198:F199"/>
    <mergeCell ref="G198:G199"/>
    <mergeCell ref="H202:H203"/>
    <mergeCell ref="B204:B205"/>
    <mergeCell ref="C204:C205"/>
    <mergeCell ref="D204:D205"/>
    <mergeCell ref="E204:E205"/>
    <mergeCell ref="F204:F205"/>
    <mergeCell ref="G204:G205"/>
    <mergeCell ref="H204:H205"/>
    <mergeCell ref="B202:B203"/>
    <mergeCell ref="C202:C203"/>
    <mergeCell ref="D202:D203"/>
    <mergeCell ref="E202:E203"/>
    <mergeCell ref="F202:F203"/>
    <mergeCell ref="G202:G203"/>
    <mergeCell ref="H206:H207"/>
    <mergeCell ref="B208:B209"/>
    <mergeCell ref="C208:C209"/>
    <mergeCell ref="D208:D209"/>
    <mergeCell ref="E208:E209"/>
    <mergeCell ref="F208:F209"/>
    <mergeCell ref="G208:G209"/>
    <mergeCell ref="H208:H209"/>
    <mergeCell ref="B206:B207"/>
    <mergeCell ref="C206:C207"/>
    <mergeCell ref="D206:D207"/>
    <mergeCell ref="E206:E207"/>
    <mergeCell ref="F206:F207"/>
    <mergeCell ref="G206:G207"/>
    <mergeCell ref="H210:H211"/>
    <mergeCell ref="B212:B213"/>
    <mergeCell ref="C212:C213"/>
    <mergeCell ref="D212:D213"/>
    <mergeCell ref="E212:E213"/>
    <mergeCell ref="F212:F213"/>
    <mergeCell ref="G212:G213"/>
    <mergeCell ref="H212:H213"/>
    <mergeCell ref="B210:B211"/>
    <mergeCell ref="C210:C211"/>
    <mergeCell ref="D210:D211"/>
    <mergeCell ref="E210:E211"/>
    <mergeCell ref="F210:F211"/>
    <mergeCell ref="G210:G2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RESUMEN </vt:lpstr>
      <vt:lpstr>CUOTA ARTESANAL</vt:lpstr>
      <vt:lpstr>REMANENTE</vt:lpstr>
      <vt:lpstr>CESIONES INDIVIDUALES</vt:lpstr>
      <vt:lpstr>CUOTA LTP (2)</vt:lpstr>
      <vt:lpstr>CUOTA LTP</vt:lpstr>
      <vt:lpstr>PESCA INVESTIGACION</vt:lpstr>
      <vt:lpstr>PAG. WEB</vt:lpstr>
      <vt:lpstr>Hoja2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CEA TELLO, MARIO ANDRES</dc:creator>
  <cp:lastModifiedBy>ZULETA ESPINOZA, GERALDINE</cp:lastModifiedBy>
  <dcterms:created xsi:type="dcterms:W3CDTF">2020-01-22T15:25:15Z</dcterms:created>
  <dcterms:modified xsi:type="dcterms:W3CDTF">2022-03-02T16:11:44Z</dcterms:modified>
</cp:coreProperties>
</file>