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PLANILLAS 2020\Langostino Amarillo 2020\"/>
    </mc:Choice>
  </mc:AlternateContent>
  <xr:revisionPtr revIDLastSave="0" documentId="13_ncr:1_{98BA9E70-386D-49BE-B0F9-DEFA5EF3BECB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RESUMEN " sheetId="1" r:id="rId1"/>
    <sheet name="CUOTA ARTESANAL" sheetId="2" r:id="rId2"/>
    <sheet name="PESCA DE INVESTIGACION" sheetId="7" r:id="rId3"/>
    <sheet name="CUOTA LTP" sheetId="3" r:id="rId4"/>
    <sheet name="CUOTA LICITADA" sheetId="5" r:id="rId5"/>
    <sheet name="PAG. WEB" sheetId="6" r:id="rId6"/>
  </sheets>
  <definedNames>
    <definedName name="_xlnm._FilterDatabase" localSheetId="5" hidden="1">'PAG. WEB'!$A$1:$Q$167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7" i="1"/>
  <c r="J8" i="1"/>
  <c r="J9" i="1"/>
  <c r="J10" i="1"/>
  <c r="J11" i="1"/>
  <c r="J12" i="1"/>
  <c r="J13" i="1"/>
  <c r="J6" i="1"/>
  <c r="J6" i="2"/>
  <c r="G58" i="5" l="1"/>
  <c r="G46" i="5"/>
  <c r="B5" i="7" l="1"/>
  <c r="G15" i="7"/>
  <c r="H15" i="7"/>
  <c r="H14" i="7"/>
  <c r="G14" i="7"/>
  <c r="G68" i="5" l="1"/>
  <c r="G31" i="5" l="1"/>
  <c r="G32" i="5"/>
  <c r="G19" i="5"/>
  <c r="G25" i="5" l="1"/>
  <c r="I11" i="7" l="1"/>
  <c r="H26" i="1" s="1"/>
  <c r="H11" i="7" l="1"/>
  <c r="H13" i="1" s="1"/>
  <c r="F11" i="7"/>
  <c r="L8" i="7" s="1"/>
  <c r="L11" i="7" s="1"/>
  <c r="E11" i="7"/>
  <c r="G8" i="7"/>
  <c r="G11" i="7" s="1"/>
  <c r="K8" i="7" l="1"/>
  <c r="K11" i="7" s="1"/>
  <c r="J8" i="7"/>
  <c r="J11" i="7" s="1"/>
  <c r="N8" i="7" s="1"/>
  <c r="F10" i="2"/>
  <c r="F46" i="3"/>
  <c r="N11" i="7" l="1"/>
  <c r="M8" i="7"/>
  <c r="M11" i="7" s="1"/>
  <c r="G45" i="5"/>
  <c r="G39" i="5"/>
  <c r="G17" i="5" l="1"/>
  <c r="G43" i="5"/>
  <c r="G13" i="5" l="1"/>
  <c r="I69" i="5" l="1"/>
  <c r="G67" i="5" l="1"/>
  <c r="L65" i="5"/>
  <c r="O65" i="5"/>
  <c r="L67" i="5"/>
  <c r="M67" i="5"/>
  <c r="O67" i="5"/>
  <c r="G65" i="5"/>
  <c r="H65" i="5" s="1"/>
  <c r="K65" i="5" s="1"/>
  <c r="M65" i="5" l="1"/>
  <c r="N65" i="5" s="1"/>
  <c r="Q65" i="5" s="1"/>
  <c r="J65" i="5"/>
  <c r="H66" i="5" s="1"/>
  <c r="H67" i="5"/>
  <c r="K67" i="5" s="1"/>
  <c r="N67" i="5"/>
  <c r="P67" i="5" s="1"/>
  <c r="J67" i="5"/>
  <c r="H68" i="5" s="1"/>
  <c r="P65" i="5"/>
  <c r="Q67" i="5" l="1"/>
  <c r="J66" i="5"/>
  <c r="K66" i="5"/>
  <c r="J68" i="5"/>
  <c r="K68" i="5"/>
  <c r="E69" i="5" l="1"/>
  <c r="F34" i="3" l="1"/>
  <c r="F8" i="2"/>
  <c r="F28" i="3" l="1"/>
  <c r="F14" i="2"/>
  <c r="F14" i="5" l="1"/>
  <c r="G57" i="5" l="1"/>
  <c r="G69" i="5"/>
  <c r="F13" i="5" l="1"/>
  <c r="F19" i="5" l="1"/>
  <c r="O88" i="6" l="1"/>
  <c r="G13" i="1" l="1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2" i="6"/>
  <c r="B10" i="5"/>
  <c r="B3" i="3"/>
  <c r="B3" i="2"/>
  <c r="B20" i="1"/>
  <c r="K167" i="6"/>
  <c r="I167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E133" i="6"/>
  <c r="E132" i="6"/>
  <c r="E130" i="6"/>
  <c r="E129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E131" i="6"/>
  <c r="E134" i="6"/>
  <c r="E137" i="6"/>
  <c r="E140" i="6"/>
  <c r="E143" i="6"/>
  <c r="E146" i="6"/>
  <c r="E149" i="6"/>
  <c r="E152" i="6"/>
  <c r="E155" i="6"/>
  <c r="E158" i="6"/>
  <c r="E161" i="6"/>
  <c r="E164" i="6"/>
  <c r="E128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E125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7" i="6"/>
  <c r="E86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I85" i="6"/>
  <c r="K85" i="6"/>
  <c r="I86" i="6"/>
  <c r="K86" i="6"/>
  <c r="E58" i="6"/>
  <c r="E61" i="6"/>
  <c r="E64" i="6"/>
  <c r="E70" i="6"/>
  <c r="E73" i="6"/>
  <c r="E76" i="6"/>
  <c r="E79" i="6"/>
  <c r="E82" i="6"/>
  <c r="E85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I13" i="1" l="1"/>
  <c r="G26" i="1"/>
  <c r="I26" i="1" s="1"/>
  <c r="G25" i="1"/>
  <c r="J25" i="1" s="1"/>
  <c r="I25" i="1" l="1"/>
  <c r="J26" i="1"/>
  <c r="M39" i="5"/>
  <c r="M15" i="5"/>
  <c r="I94" i="6" s="1"/>
  <c r="O15" i="5"/>
  <c r="M17" i="5"/>
  <c r="I97" i="6" s="1"/>
  <c r="O17" i="5"/>
  <c r="K97" i="6" s="1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37" i="5"/>
  <c r="I127" i="6" s="1"/>
  <c r="O37" i="5"/>
  <c r="K127" i="6" s="1"/>
  <c r="O39" i="5"/>
  <c r="M41" i="5"/>
  <c r="I133" i="6" s="1"/>
  <c r="O41" i="5"/>
  <c r="K133" i="6" s="1"/>
  <c r="M43" i="5"/>
  <c r="I136" i="6" s="1"/>
  <c r="O43" i="5"/>
  <c r="M45" i="5"/>
  <c r="I139" i="6" s="1"/>
  <c r="O45" i="5"/>
  <c r="M47" i="5"/>
  <c r="I142" i="6" s="1"/>
  <c r="O47" i="5"/>
  <c r="M49" i="5"/>
  <c r="I145" i="6" s="1"/>
  <c r="O49" i="5"/>
  <c r="K145" i="6" s="1"/>
  <c r="M51" i="5"/>
  <c r="I148" i="6" s="1"/>
  <c r="O51" i="5"/>
  <c r="M53" i="5"/>
  <c r="I151" i="6" s="1"/>
  <c r="O53" i="5"/>
  <c r="K151" i="6" s="1"/>
  <c r="M55" i="5"/>
  <c r="I154" i="6" s="1"/>
  <c r="O55" i="5"/>
  <c r="M57" i="5"/>
  <c r="I157" i="6" s="1"/>
  <c r="O57" i="5"/>
  <c r="K157" i="6" s="1"/>
  <c r="M59" i="5"/>
  <c r="I160" i="6" s="1"/>
  <c r="O59" i="5"/>
  <c r="M61" i="5"/>
  <c r="I163" i="6" s="1"/>
  <c r="O61" i="5"/>
  <c r="K163" i="6" s="1"/>
  <c r="M63" i="5"/>
  <c r="I166" i="6" s="1"/>
  <c r="O63" i="5"/>
  <c r="O13" i="5"/>
  <c r="M13" i="5"/>
  <c r="H13" i="5"/>
  <c r="J89" i="6" s="1"/>
  <c r="I130" i="6" l="1"/>
  <c r="F24" i="1"/>
  <c r="K139" i="6"/>
  <c r="H24" i="1"/>
  <c r="O69" i="5"/>
  <c r="I100" i="6"/>
  <c r="M69" i="5"/>
  <c r="H23" i="1"/>
  <c r="K148" i="6"/>
  <c r="K94" i="6"/>
  <c r="J13" i="5"/>
  <c r="L89" i="6" s="1"/>
  <c r="K130" i="6"/>
  <c r="K100" i="6"/>
  <c r="K13" i="5"/>
  <c r="M89" i="6" s="1"/>
  <c r="I91" i="6"/>
  <c r="K160" i="6"/>
  <c r="K136" i="6"/>
  <c r="K106" i="6"/>
  <c r="K91" i="6"/>
  <c r="K118" i="6"/>
  <c r="K154" i="6"/>
  <c r="K124" i="6"/>
  <c r="F23" i="1"/>
  <c r="H89" i="6"/>
  <c r="K166" i="6"/>
  <c r="K142" i="6"/>
  <c r="K112" i="6"/>
  <c r="F41" i="5"/>
  <c r="F42" i="5"/>
  <c r="H132" i="6" s="1"/>
  <c r="F43" i="5"/>
  <c r="F44" i="5"/>
  <c r="H135" i="6" s="1"/>
  <c r="F45" i="5"/>
  <c r="F46" i="5"/>
  <c r="H138" i="6" s="1"/>
  <c r="F47" i="5"/>
  <c r="F48" i="5"/>
  <c r="H141" i="6" s="1"/>
  <c r="F49" i="5"/>
  <c r="F50" i="5"/>
  <c r="H144" i="6" s="1"/>
  <c r="F51" i="5"/>
  <c r="F52" i="5"/>
  <c r="H147" i="6" s="1"/>
  <c r="F53" i="5"/>
  <c r="F54" i="5"/>
  <c r="H150" i="6" s="1"/>
  <c r="F55" i="5"/>
  <c r="F56" i="5"/>
  <c r="H153" i="6" s="1"/>
  <c r="F57" i="5"/>
  <c r="F58" i="5"/>
  <c r="H156" i="6" s="1"/>
  <c r="F59" i="5"/>
  <c r="F60" i="5"/>
  <c r="H159" i="6" s="1"/>
  <c r="F61" i="5"/>
  <c r="F62" i="5"/>
  <c r="H162" i="6" s="1"/>
  <c r="F63" i="5"/>
  <c r="F64" i="5"/>
  <c r="H165" i="6" s="1"/>
  <c r="F40" i="5"/>
  <c r="H129" i="6" s="1"/>
  <c r="F39" i="5"/>
  <c r="H27" i="1" l="1"/>
  <c r="H158" i="6"/>
  <c r="H59" i="5"/>
  <c r="L59" i="5"/>
  <c r="H146" i="6"/>
  <c r="L51" i="5"/>
  <c r="H51" i="5"/>
  <c r="H140" i="6"/>
  <c r="L47" i="5"/>
  <c r="H47" i="5"/>
  <c r="H134" i="6"/>
  <c r="L43" i="5"/>
  <c r="H43" i="5"/>
  <c r="H164" i="6"/>
  <c r="L63" i="5"/>
  <c r="H63" i="5"/>
  <c r="H152" i="6"/>
  <c r="H55" i="5"/>
  <c r="L55" i="5"/>
  <c r="H128" i="6"/>
  <c r="L39" i="5"/>
  <c r="H39" i="5"/>
  <c r="F27" i="1"/>
  <c r="H161" i="6"/>
  <c r="L61" i="5"/>
  <c r="H61" i="5"/>
  <c r="H155" i="6"/>
  <c r="H57" i="5"/>
  <c r="L57" i="5"/>
  <c r="H149" i="6"/>
  <c r="L53" i="5"/>
  <c r="H53" i="5"/>
  <c r="H143" i="6"/>
  <c r="L49" i="5"/>
  <c r="H49" i="5"/>
  <c r="H137" i="6"/>
  <c r="L45" i="5"/>
  <c r="H45" i="5"/>
  <c r="H131" i="6"/>
  <c r="L41" i="5"/>
  <c r="H41" i="5"/>
  <c r="F38" i="5"/>
  <c r="H126" i="6" s="1"/>
  <c r="F37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F26" i="5"/>
  <c r="H108" i="6" s="1"/>
  <c r="F27" i="5"/>
  <c r="F28" i="5"/>
  <c r="H111" i="6" s="1"/>
  <c r="F29" i="5"/>
  <c r="F30" i="5"/>
  <c r="H114" i="6" s="1"/>
  <c r="F31" i="5"/>
  <c r="F32" i="5"/>
  <c r="H117" i="6" s="1"/>
  <c r="F33" i="5"/>
  <c r="F34" i="5"/>
  <c r="H120" i="6" s="1"/>
  <c r="F35" i="5"/>
  <c r="F36" i="5"/>
  <c r="H123" i="6" s="1"/>
  <c r="E5" i="5"/>
  <c r="E4" i="5"/>
  <c r="D6" i="5"/>
  <c r="C6" i="5"/>
  <c r="E6" i="5" s="1"/>
  <c r="E24" i="1" l="1"/>
  <c r="F69" i="5"/>
  <c r="H69" i="5" s="1"/>
  <c r="H99" i="6"/>
  <c r="L19" i="5"/>
  <c r="H90" i="6"/>
  <c r="H14" i="5"/>
  <c r="L13" i="5"/>
  <c r="H113" i="6"/>
  <c r="H29" i="5"/>
  <c r="L29" i="5"/>
  <c r="H95" i="6"/>
  <c r="L17" i="5"/>
  <c r="H17" i="5"/>
  <c r="J43" i="5"/>
  <c r="J134" i="6"/>
  <c r="K43" i="5"/>
  <c r="M134" i="6" s="1"/>
  <c r="H142" i="6"/>
  <c r="N47" i="5"/>
  <c r="J137" i="6"/>
  <c r="K45" i="5"/>
  <c r="M137" i="6" s="1"/>
  <c r="J45" i="5"/>
  <c r="N49" i="5"/>
  <c r="H145" i="6"/>
  <c r="J161" i="6"/>
  <c r="K61" i="5"/>
  <c r="M161" i="6" s="1"/>
  <c r="J61" i="5"/>
  <c r="J63" i="5"/>
  <c r="J164" i="6"/>
  <c r="K63" i="5"/>
  <c r="M164" i="6" s="1"/>
  <c r="H136" i="6"/>
  <c r="N43" i="5"/>
  <c r="H160" i="6"/>
  <c r="N59" i="5"/>
  <c r="H119" i="6"/>
  <c r="L33" i="5"/>
  <c r="H33" i="5"/>
  <c r="H101" i="6"/>
  <c r="L21" i="5"/>
  <c r="H21" i="5"/>
  <c r="J143" i="6"/>
  <c r="K49" i="5"/>
  <c r="M143" i="6" s="1"/>
  <c r="J49" i="5"/>
  <c r="H122" i="6"/>
  <c r="L35" i="5"/>
  <c r="H35" i="5"/>
  <c r="H110" i="6"/>
  <c r="L27" i="5"/>
  <c r="H27" i="5"/>
  <c r="H98" i="6"/>
  <c r="H19" i="5"/>
  <c r="H92" i="6"/>
  <c r="L15" i="5"/>
  <c r="H15" i="5"/>
  <c r="J131" i="6"/>
  <c r="K41" i="5"/>
  <c r="M131" i="6" s="1"/>
  <c r="J41" i="5"/>
  <c r="N45" i="5"/>
  <c r="H139" i="6"/>
  <c r="N57" i="5"/>
  <c r="H157" i="6"/>
  <c r="N61" i="5"/>
  <c r="H163" i="6"/>
  <c r="J39" i="5"/>
  <c r="J128" i="6"/>
  <c r="K39" i="5"/>
  <c r="M128" i="6" s="1"/>
  <c r="H154" i="6"/>
  <c r="N55" i="5"/>
  <c r="H166" i="6"/>
  <c r="N63" i="5"/>
  <c r="J51" i="5"/>
  <c r="J146" i="6"/>
  <c r="K51" i="5"/>
  <c r="M146" i="6" s="1"/>
  <c r="J59" i="5"/>
  <c r="J158" i="6"/>
  <c r="K59" i="5"/>
  <c r="M158" i="6" s="1"/>
  <c r="H107" i="6"/>
  <c r="L25" i="5"/>
  <c r="H25" i="5"/>
  <c r="N53" i="5"/>
  <c r="H151" i="6"/>
  <c r="H116" i="6"/>
  <c r="L31" i="5"/>
  <c r="H31" i="5"/>
  <c r="H104" i="6"/>
  <c r="H23" i="5"/>
  <c r="L23" i="5"/>
  <c r="H125" i="6"/>
  <c r="H37" i="5"/>
  <c r="K37" i="5" s="1"/>
  <c r="L37" i="5"/>
  <c r="N41" i="5"/>
  <c r="H133" i="6"/>
  <c r="J149" i="6"/>
  <c r="K53" i="5"/>
  <c r="M149" i="6" s="1"/>
  <c r="J53" i="5"/>
  <c r="J155" i="6"/>
  <c r="K57" i="5"/>
  <c r="M155" i="6" s="1"/>
  <c r="J57" i="5"/>
  <c r="H130" i="6"/>
  <c r="G24" i="1"/>
  <c r="N39" i="5"/>
  <c r="J55" i="5"/>
  <c r="J152" i="6"/>
  <c r="K55" i="5"/>
  <c r="M152" i="6" s="1"/>
  <c r="J47" i="5"/>
  <c r="J140" i="6"/>
  <c r="K47" i="5"/>
  <c r="M140" i="6" s="1"/>
  <c r="H148" i="6"/>
  <c r="N51" i="5"/>
  <c r="L69" i="5" l="1"/>
  <c r="N69" i="5" s="1"/>
  <c r="J69" i="5"/>
  <c r="K69" i="5"/>
  <c r="J133" i="6"/>
  <c r="P41" i="5"/>
  <c r="L133" i="6" s="1"/>
  <c r="Q41" i="5"/>
  <c r="M133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43" i="5"/>
  <c r="L136" i="6" s="1"/>
  <c r="J136" i="6"/>
  <c r="Q43" i="5"/>
  <c r="M136" i="6" s="1"/>
  <c r="H167" i="6"/>
  <c r="H56" i="5"/>
  <c r="L152" i="6"/>
  <c r="H58" i="5"/>
  <c r="L155" i="6"/>
  <c r="N37" i="5"/>
  <c r="H127" i="6"/>
  <c r="J23" i="5"/>
  <c r="J104" i="6"/>
  <c r="K23" i="5"/>
  <c r="M104" i="6" s="1"/>
  <c r="N25" i="5"/>
  <c r="H109" i="6"/>
  <c r="H60" i="5"/>
  <c r="L158" i="6"/>
  <c r="P63" i="5"/>
  <c r="L166" i="6" s="1"/>
  <c r="J166" i="6"/>
  <c r="M166" i="6"/>
  <c r="J163" i="6"/>
  <c r="Q61" i="5"/>
  <c r="M163" i="6" s="1"/>
  <c r="P61" i="5"/>
  <c r="L163" i="6" s="1"/>
  <c r="J139" i="6"/>
  <c r="P45" i="5"/>
  <c r="L139" i="6" s="1"/>
  <c r="Q45" i="5"/>
  <c r="M139" i="6" s="1"/>
  <c r="J15" i="5"/>
  <c r="J92" i="6"/>
  <c r="K15" i="5"/>
  <c r="M92" i="6" s="1"/>
  <c r="H100" i="6"/>
  <c r="N19" i="5"/>
  <c r="H50" i="5"/>
  <c r="L143" i="6"/>
  <c r="N21" i="5"/>
  <c r="H103" i="6"/>
  <c r="H62" i="5"/>
  <c r="L161" i="6"/>
  <c r="J145" i="6"/>
  <c r="Q49" i="5"/>
  <c r="M145" i="6" s="1"/>
  <c r="P49" i="5"/>
  <c r="L145" i="6" s="1"/>
  <c r="P47" i="5"/>
  <c r="L142" i="6" s="1"/>
  <c r="J142" i="6"/>
  <c r="Q47" i="5"/>
  <c r="M142" i="6" s="1"/>
  <c r="H44" i="5"/>
  <c r="L134" i="6"/>
  <c r="N29" i="5"/>
  <c r="H115" i="6"/>
  <c r="H91" i="6"/>
  <c r="N13" i="5"/>
  <c r="E23" i="1"/>
  <c r="H54" i="5"/>
  <c r="L149" i="6"/>
  <c r="H118" i="6"/>
  <c r="N31" i="5"/>
  <c r="H64" i="5"/>
  <c r="L164" i="6"/>
  <c r="H42" i="5"/>
  <c r="L131" i="6"/>
  <c r="H94" i="6"/>
  <c r="N15" i="5"/>
  <c r="J35" i="5"/>
  <c r="J122" i="6"/>
  <c r="K35" i="5"/>
  <c r="M122" i="6" s="1"/>
  <c r="P59" i="5"/>
  <c r="L160" i="6" s="1"/>
  <c r="J160" i="6"/>
  <c r="Q59" i="5"/>
  <c r="M160" i="6" s="1"/>
  <c r="H46" i="5"/>
  <c r="L137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52" i="5"/>
  <c r="L146" i="6"/>
  <c r="H112" i="6"/>
  <c r="N27" i="5"/>
  <c r="N33" i="5"/>
  <c r="H121" i="6"/>
  <c r="P51" i="5"/>
  <c r="L148" i="6" s="1"/>
  <c r="J148" i="6"/>
  <c r="Q51" i="5"/>
  <c r="M148" i="6" s="1"/>
  <c r="H48" i="5"/>
  <c r="L140" i="6"/>
  <c r="J130" i="6"/>
  <c r="P39" i="5"/>
  <c r="L130" i="6" s="1"/>
  <c r="Q39" i="5"/>
  <c r="M130" i="6" s="1"/>
  <c r="J125" i="6"/>
  <c r="M125" i="6"/>
  <c r="J37" i="5"/>
  <c r="I24" i="1"/>
  <c r="J24" i="1"/>
  <c r="J31" i="5"/>
  <c r="J116" i="6"/>
  <c r="K31" i="5"/>
  <c r="M116" i="6" s="1"/>
  <c r="J151" i="6"/>
  <c r="Q53" i="5"/>
  <c r="M151" i="6" s="1"/>
  <c r="P53" i="5"/>
  <c r="L151" i="6" s="1"/>
  <c r="P55" i="5"/>
  <c r="L154" i="6" s="1"/>
  <c r="J154" i="6"/>
  <c r="Q55" i="5"/>
  <c r="M154" i="6" s="1"/>
  <c r="H40" i="5"/>
  <c r="L128" i="6"/>
  <c r="J157" i="6"/>
  <c r="Q57" i="5"/>
  <c r="M157" i="6" s="1"/>
  <c r="P57" i="5"/>
  <c r="L157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Q69" i="5" l="1"/>
  <c r="P69" i="5"/>
  <c r="E27" i="1"/>
  <c r="G27" i="1" s="1"/>
  <c r="G23" i="1"/>
  <c r="H24" i="5"/>
  <c r="L104" i="6"/>
  <c r="J156" i="6"/>
  <c r="K58" i="5"/>
  <c r="M156" i="6" s="1"/>
  <c r="J58" i="5"/>
  <c r="L156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41" i="6"/>
  <c r="K48" i="5"/>
  <c r="M141" i="6" s="1"/>
  <c r="J48" i="5"/>
  <c r="L141" i="6" s="1"/>
  <c r="H36" i="5"/>
  <c r="L122" i="6"/>
  <c r="J132" i="6"/>
  <c r="K42" i="5"/>
  <c r="M132" i="6" s="1"/>
  <c r="J42" i="5"/>
  <c r="L132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29" i="6"/>
  <c r="K40" i="5"/>
  <c r="M129" i="6" s="1"/>
  <c r="J40" i="5"/>
  <c r="L129" i="6" s="1"/>
  <c r="J121" i="6"/>
  <c r="Q33" i="5"/>
  <c r="M121" i="6" s="1"/>
  <c r="P33" i="5"/>
  <c r="L121" i="6" s="1"/>
  <c r="J147" i="6"/>
  <c r="J52" i="5"/>
  <c r="L147" i="6" s="1"/>
  <c r="K52" i="5"/>
  <c r="M147" i="6" s="1"/>
  <c r="P15" i="5"/>
  <c r="L94" i="6" s="1"/>
  <c r="J94" i="6"/>
  <c r="Q15" i="5"/>
  <c r="M94" i="6" s="1"/>
  <c r="J127" i="6"/>
  <c r="P37" i="5"/>
  <c r="L127" i="6" s="1"/>
  <c r="M127" i="6"/>
  <c r="J153" i="6"/>
  <c r="K56" i="5"/>
  <c r="M153" i="6" s="1"/>
  <c r="J56" i="5"/>
  <c r="L153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38" i="5"/>
  <c r="K38" i="5" s="1"/>
  <c r="L125" i="6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38" i="6"/>
  <c r="K46" i="5"/>
  <c r="M138" i="6" s="1"/>
  <c r="J46" i="5"/>
  <c r="L138" i="6" s="1"/>
  <c r="J165" i="6"/>
  <c r="J64" i="5"/>
  <c r="L165" i="6" s="1"/>
  <c r="K64" i="5"/>
  <c r="M165" i="6" s="1"/>
  <c r="J150" i="6"/>
  <c r="J54" i="5"/>
  <c r="L150" i="6" s="1"/>
  <c r="K54" i="5"/>
  <c r="M150" i="6" s="1"/>
  <c r="J135" i="6"/>
  <c r="J44" i="5"/>
  <c r="L135" i="6" s="1"/>
  <c r="K44" i="5"/>
  <c r="M135" i="6" s="1"/>
  <c r="J162" i="6"/>
  <c r="K62" i="5"/>
  <c r="M162" i="6" s="1"/>
  <c r="J62" i="5"/>
  <c r="L162" i="6" s="1"/>
  <c r="J144" i="6"/>
  <c r="K50" i="5"/>
  <c r="M144" i="6" s="1"/>
  <c r="J50" i="5"/>
  <c r="L144" i="6" s="1"/>
  <c r="J159" i="6"/>
  <c r="J60" i="5"/>
  <c r="L159" i="6" s="1"/>
  <c r="K60" i="5"/>
  <c r="M159" i="6" s="1"/>
  <c r="J167" i="6"/>
  <c r="L167" i="6"/>
  <c r="M167" i="6"/>
  <c r="H50" i="3"/>
  <c r="K88" i="6" s="1"/>
  <c r="F50" i="3"/>
  <c r="I88" i="6" s="1"/>
  <c r="H19" i="2"/>
  <c r="K21" i="6" s="1"/>
  <c r="F19" i="2"/>
  <c r="I21" i="6" s="1"/>
  <c r="M18" i="2"/>
  <c r="F8" i="1" s="1"/>
  <c r="O18" i="2"/>
  <c r="H8" i="1" s="1"/>
  <c r="L18" i="2"/>
  <c r="E8" i="1" s="1"/>
  <c r="G18" i="2"/>
  <c r="J20" i="6" s="1"/>
  <c r="I18" i="2" l="1"/>
  <c r="L20" i="6" s="1"/>
  <c r="J18" i="2"/>
  <c r="N18" i="2"/>
  <c r="G8" i="1" s="1"/>
  <c r="P18" i="2"/>
  <c r="I8" i="1" s="1"/>
  <c r="J126" i="6"/>
  <c r="M126" i="6"/>
  <c r="J38" i="5"/>
  <c r="L126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I23" i="1"/>
  <c r="J23" i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I27" i="1"/>
  <c r="J27" i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G6" i="2"/>
  <c r="J2" i="6" s="1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26" i="3"/>
  <c r="I54" i="6" s="1"/>
  <c r="N26" i="3"/>
  <c r="K54" i="6" s="1"/>
  <c r="L28" i="3"/>
  <c r="N28" i="3"/>
  <c r="K57" i="6" s="1"/>
  <c r="L30" i="3"/>
  <c r="I60" i="6" s="1"/>
  <c r="N30" i="3"/>
  <c r="K60" i="6" s="1"/>
  <c r="L32" i="3"/>
  <c r="N32" i="3"/>
  <c r="K63" i="6" s="1"/>
  <c r="L34" i="3"/>
  <c r="I66" i="6" s="1"/>
  <c r="N34" i="3"/>
  <c r="L36" i="3"/>
  <c r="N36" i="3"/>
  <c r="K69" i="6" s="1"/>
  <c r="L38" i="3"/>
  <c r="I72" i="6" s="1"/>
  <c r="N38" i="3"/>
  <c r="K72" i="6" s="1"/>
  <c r="L40" i="3"/>
  <c r="I75" i="6" s="1"/>
  <c r="N40" i="3"/>
  <c r="K75" i="6" s="1"/>
  <c r="L42" i="3"/>
  <c r="I78" i="6" s="1"/>
  <c r="N42" i="3"/>
  <c r="K78" i="6" s="1"/>
  <c r="L44" i="3"/>
  <c r="N44" i="3"/>
  <c r="K81" i="6" s="1"/>
  <c r="L46" i="3"/>
  <c r="I84" i="6" s="1"/>
  <c r="N46" i="3"/>
  <c r="K84" i="6" s="1"/>
  <c r="L48" i="3"/>
  <c r="I87" i="6" s="1"/>
  <c r="N48" i="3"/>
  <c r="K87" i="6" s="1"/>
  <c r="N6" i="3"/>
  <c r="L6" i="3"/>
  <c r="J14" i="2" l="1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L50" i="3"/>
  <c r="I81" i="6"/>
  <c r="I63" i="6"/>
  <c r="M2" i="6"/>
  <c r="I14" i="2"/>
  <c r="J12" i="2"/>
  <c r="M11" i="6" s="1"/>
  <c r="J11" i="6"/>
  <c r="N6" i="2"/>
  <c r="K7" i="6"/>
  <c r="M20" i="6"/>
  <c r="Q18" i="2"/>
  <c r="I69" i="6"/>
  <c r="I51" i="6"/>
  <c r="G7" i="2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N50" i="3"/>
  <c r="K19" i="6"/>
  <c r="H7" i="1"/>
  <c r="H9" i="1" s="1"/>
  <c r="O19" i="2"/>
  <c r="Q10" i="2"/>
  <c r="M10" i="6" s="1"/>
  <c r="E19" i="2"/>
  <c r="Q16" i="2" l="1"/>
  <c r="P16" i="2"/>
  <c r="L19" i="6" s="1"/>
  <c r="P10" i="2"/>
  <c r="L10" i="6" s="1"/>
  <c r="F9" i="1"/>
  <c r="N19" i="2"/>
  <c r="Q19" i="2" s="1"/>
  <c r="F12" i="1"/>
  <c r="F14" i="1" s="1"/>
  <c r="P14" i="2"/>
  <c r="L16" i="6" s="1"/>
  <c r="Q14" i="2"/>
  <c r="M16" i="6" s="1"/>
  <c r="G11" i="2"/>
  <c r="H12" i="1"/>
  <c r="H14" i="1" s="1"/>
  <c r="E9" i="1"/>
  <c r="P8" i="2"/>
  <c r="L7" i="6" s="1"/>
  <c r="J7" i="6"/>
  <c r="G7" i="1"/>
  <c r="Q8" i="2"/>
  <c r="M7" i="6" s="1"/>
  <c r="G15" i="2"/>
  <c r="L14" i="6"/>
  <c r="H21" i="6"/>
  <c r="G19" i="2"/>
  <c r="J4" i="6"/>
  <c r="G6" i="1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J3" i="6"/>
  <c r="I7" i="2"/>
  <c r="L3" i="6" s="1"/>
  <c r="J7" i="2"/>
  <c r="M3" i="6" s="1"/>
  <c r="M19" i="6"/>
  <c r="E29" i="3"/>
  <c r="E28" i="3"/>
  <c r="E35" i="3"/>
  <c r="E34" i="3"/>
  <c r="E47" i="3"/>
  <c r="H83" i="6" s="1"/>
  <c r="E46" i="3"/>
  <c r="E39" i="3"/>
  <c r="H71" i="6" s="1"/>
  <c r="E38" i="3"/>
  <c r="E31" i="3"/>
  <c r="H59" i="6" s="1"/>
  <c r="E30" i="3"/>
  <c r="E49" i="3"/>
  <c r="E48" i="3"/>
  <c r="E45" i="3"/>
  <c r="E44" i="3"/>
  <c r="E43" i="3"/>
  <c r="H77" i="6" s="1"/>
  <c r="E42" i="3"/>
  <c r="E41" i="3"/>
  <c r="E40" i="3"/>
  <c r="E37" i="3"/>
  <c r="E36" i="3"/>
  <c r="E33" i="3"/>
  <c r="E32" i="3"/>
  <c r="E7" i="3"/>
  <c r="E6" i="3"/>
  <c r="E13" i="3"/>
  <c r="E12" i="3"/>
  <c r="E25" i="3"/>
  <c r="E24" i="3"/>
  <c r="E17" i="3"/>
  <c r="E16" i="3"/>
  <c r="E9" i="3"/>
  <c r="H26" i="6" s="1"/>
  <c r="E8" i="3"/>
  <c r="E27" i="3"/>
  <c r="H53" i="6" s="1"/>
  <c r="E26" i="3"/>
  <c r="E23" i="3"/>
  <c r="H47" i="6" s="1"/>
  <c r="E22" i="3"/>
  <c r="E21" i="3"/>
  <c r="E20" i="3"/>
  <c r="E19" i="3"/>
  <c r="H41" i="6" s="1"/>
  <c r="E18" i="3"/>
  <c r="E15" i="3"/>
  <c r="H35" i="6" s="1"/>
  <c r="E14" i="3"/>
  <c r="E11" i="3"/>
  <c r="H29" i="6" s="1"/>
  <c r="E10" i="3"/>
  <c r="J9" i="6" l="1"/>
  <c r="J11" i="2"/>
  <c r="G9" i="1"/>
  <c r="I11" i="2"/>
  <c r="L9" i="6" s="1"/>
  <c r="M9" i="6"/>
  <c r="P19" i="2"/>
  <c r="I7" i="1"/>
  <c r="H50" i="6"/>
  <c r="H23" i="6"/>
  <c r="H68" i="6"/>
  <c r="H86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2" i="3"/>
  <c r="G32" i="3"/>
  <c r="H73" i="6"/>
  <c r="K40" i="3"/>
  <c r="G40" i="3"/>
  <c r="H79" i="6"/>
  <c r="K44" i="3"/>
  <c r="G44" i="3"/>
  <c r="H58" i="6"/>
  <c r="K30" i="3"/>
  <c r="G30" i="3"/>
  <c r="H82" i="6"/>
  <c r="K46" i="3"/>
  <c r="G46" i="3"/>
  <c r="H55" i="6"/>
  <c r="K28" i="3"/>
  <c r="G28" i="3"/>
  <c r="H38" i="6"/>
  <c r="H74" i="6"/>
  <c r="H56" i="6"/>
  <c r="L4" i="6"/>
  <c r="I6" i="1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E50" i="3"/>
  <c r="H67" i="6"/>
  <c r="K36" i="3"/>
  <c r="G36" i="3"/>
  <c r="H76" i="6"/>
  <c r="K42" i="3"/>
  <c r="G42" i="3"/>
  <c r="H85" i="6"/>
  <c r="K48" i="3"/>
  <c r="G48" i="3"/>
  <c r="H70" i="6"/>
  <c r="K38" i="3"/>
  <c r="G38" i="3"/>
  <c r="H64" i="6"/>
  <c r="G34" i="3"/>
  <c r="K34" i="3"/>
  <c r="M4" i="6"/>
  <c r="J21" i="6"/>
  <c r="J19" i="2"/>
  <c r="M21" i="6" s="1"/>
  <c r="I19" i="2"/>
  <c r="L21" i="6" s="1"/>
  <c r="J15" i="6"/>
  <c r="J15" i="2"/>
  <c r="M15" i="6" s="1"/>
  <c r="I15" i="2"/>
  <c r="L15" i="6" s="1"/>
  <c r="I9" i="1" l="1"/>
  <c r="H66" i="6"/>
  <c r="M34" i="3"/>
  <c r="M38" i="3"/>
  <c r="H72" i="6"/>
  <c r="J67" i="6"/>
  <c r="I36" i="3"/>
  <c r="J36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46" i="3"/>
  <c r="M82" i="6" s="1"/>
  <c r="J82" i="6"/>
  <c r="I46" i="3"/>
  <c r="M30" i="3"/>
  <c r="H60" i="6"/>
  <c r="J61" i="6"/>
  <c r="I32" i="3"/>
  <c r="J32" i="3"/>
  <c r="M61" i="6" s="1"/>
  <c r="M12" i="3"/>
  <c r="H33" i="6"/>
  <c r="J14" i="3"/>
  <c r="M34" i="6" s="1"/>
  <c r="J34" i="6"/>
  <c r="I14" i="3"/>
  <c r="J42" i="3"/>
  <c r="M76" i="6" s="1"/>
  <c r="J76" i="6"/>
  <c r="I42" i="3"/>
  <c r="H69" i="6"/>
  <c r="M36" i="3"/>
  <c r="H24" i="6"/>
  <c r="E10" i="1"/>
  <c r="K50" i="3"/>
  <c r="M50" i="3" s="1"/>
  <c r="M6" i="3"/>
  <c r="J22" i="3"/>
  <c r="M46" i="6" s="1"/>
  <c r="J46" i="6"/>
  <c r="I22" i="3"/>
  <c r="H42" i="6"/>
  <c r="M18" i="3"/>
  <c r="J55" i="6"/>
  <c r="I28" i="3"/>
  <c r="J28" i="3"/>
  <c r="M55" i="6" s="1"/>
  <c r="M46" i="3"/>
  <c r="H84" i="6"/>
  <c r="J73" i="6"/>
  <c r="I40" i="3"/>
  <c r="J40" i="3"/>
  <c r="M73" i="6" s="1"/>
  <c r="H63" i="6"/>
  <c r="M32" i="3"/>
  <c r="H54" i="6"/>
  <c r="M26" i="3"/>
  <c r="M14" i="3"/>
  <c r="H36" i="6"/>
  <c r="J34" i="3"/>
  <c r="M64" i="6" s="1"/>
  <c r="J64" i="6"/>
  <c r="I34" i="3"/>
  <c r="J85" i="6"/>
  <c r="I48" i="3"/>
  <c r="J48" i="3"/>
  <c r="M85" i="6" s="1"/>
  <c r="H78" i="6"/>
  <c r="M42" i="3"/>
  <c r="I8" i="3"/>
  <c r="J25" i="6"/>
  <c r="J8" i="3"/>
  <c r="M25" i="6" s="1"/>
  <c r="M22" i="3"/>
  <c r="H48" i="6"/>
  <c r="J43" i="6"/>
  <c r="I20" i="3"/>
  <c r="J20" i="3"/>
  <c r="M43" i="6" s="1"/>
  <c r="M28" i="3"/>
  <c r="H57" i="6"/>
  <c r="E11" i="1"/>
  <c r="J79" i="6"/>
  <c r="I44" i="3"/>
  <c r="J44" i="3"/>
  <c r="M79" i="6" s="1"/>
  <c r="M40" i="3"/>
  <c r="H75" i="6"/>
  <c r="M16" i="3"/>
  <c r="H39" i="6"/>
  <c r="J26" i="3"/>
  <c r="M52" i="6" s="1"/>
  <c r="J52" i="6"/>
  <c r="I26" i="3"/>
  <c r="J38" i="3"/>
  <c r="M70" i="6" s="1"/>
  <c r="J70" i="6"/>
  <c r="I38" i="3"/>
  <c r="H87" i="6"/>
  <c r="M48" i="3"/>
  <c r="H88" i="6"/>
  <c r="G50" i="3"/>
  <c r="H51" i="6"/>
  <c r="M24" i="3"/>
  <c r="M8" i="3"/>
  <c r="H27" i="6"/>
  <c r="J10" i="3"/>
  <c r="M28" i="6" s="1"/>
  <c r="J28" i="6"/>
  <c r="I10" i="3"/>
  <c r="M20" i="3"/>
  <c r="H45" i="6"/>
  <c r="J30" i="3"/>
  <c r="M58" i="6" s="1"/>
  <c r="J58" i="6"/>
  <c r="I30" i="3"/>
  <c r="H81" i="6"/>
  <c r="M44" i="3"/>
  <c r="J31" i="6"/>
  <c r="I12" i="3"/>
  <c r="J12" i="3"/>
  <c r="M31" i="6" s="1"/>
  <c r="J37" i="6"/>
  <c r="I16" i="3"/>
  <c r="J16" i="3"/>
  <c r="M37" i="6" s="1"/>
  <c r="L31" i="6" l="1"/>
  <c r="G13" i="3"/>
  <c r="G27" i="3"/>
  <c r="L52" i="6"/>
  <c r="O16" i="3"/>
  <c r="L39" i="6" s="1"/>
  <c r="J39" i="6"/>
  <c r="P16" i="3"/>
  <c r="M39" i="6" s="1"/>
  <c r="L79" i="6"/>
  <c r="G45" i="3"/>
  <c r="O28" i="3"/>
  <c r="J57" i="6"/>
  <c r="G11" i="1"/>
  <c r="P28" i="3"/>
  <c r="G9" i="3"/>
  <c r="L25" i="6"/>
  <c r="L85" i="6"/>
  <c r="G49" i="3"/>
  <c r="L73" i="6"/>
  <c r="G41" i="3"/>
  <c r="J24" i="6"/>
  <c r="G10" i="1"/>
  <c r="O6" i="3"/>
  <c r="P6" i="3"/>
  <c r="O36" i="3"/>
  <c r="L69" i="6" s="1"/>
  <c r="J69" i="6"/>
  <c r="P36" i="3"/>
  <c r="M69" i="6" s="1"/>
  <c r="G19" i="3"/>
  <c r="L40" i="6"/>
  <c r="L49" i="6"/>
  <c r="G25" i="3"/>
  <c r="G31" i="3"/>
  <c r="L58" i="6"/>
  <c r="O20" i="3"/>
  <c r="L45" i="6" s="1"/>
  <c r="J45" i="6"/>
  <c r="P20" i="3"/>
  <c r="M45" i="6" s="1"/>
  <c r="J88" i="6"/>
  <c r="I50" i="3"/>
  <c r="L88" i="6" s="1"/>
  <c r="J50" i="3"/>
  <c r="M88" i="6" s="1"/>
  <c r="G39" i="3"/>
  <c r="L70" i="6"/>
  <c r="O22" i="3"/>
  <c r="L48" i="6" s="1"/>
  <c r="J48" i="6"/>
  <c r="P22" i="3"/>
  <c r="M48" i="6" s="1"/>
  <c r="O42" i="3"/>
  <c r="L78" i="6" s="1"/>
  <c r="J78" i="6"/>
  <c r="P42" i="3"/>
  <c r="M78" i="6" s="1"/>
  <c r="O32" i="3"/>
  <c r="L63" i="6" s="1"/>
  <c r="J63" i="6"/>
  <c r="P32" i="3"/>
  <c r="M63" i="6" s="1"/>
  <c r="L55" i="6"/>
  <c r="G29" i="3"/>
  <c r="G23" i="3"/>
  <c r="L46" i="6"/>
  <c r="O50" i="3"/>
  <c r="P50" i="3"/>
  <c r="G15" i="3"/>
  <c r="L34" i="6"/>
  <c r="O12" i="3"/>
  <c r="L33" i="6" s="1"/>
  <c r="J33" i="6"/>
  <c r="P12" i="3"/>
  <c r="M33" i="6" s="1"/>
  <c r="O38" i="3"/>
  <c r="L72" i="6" s="1"/>
  <c r="J72" i="6"/>
  <c r="P38" i="3"/>
  <c r="M72" i="6" s="1"/>
  <c r="O8" i="3"/>
  <c r="L27" i="6" s="1"/>
  <c r="J27" i="6"/>
  <c r="P8" i="3"/>
  <c r="M27" i="6" s="1"/>
  <c r="O40" i="3"/>
  <c r="L75" i="6" s="1"/>
  <c r="J75" i="6"/>
  <c r="P40" i="3"/>
  <c r="M75" i="6" s="1"/>
  <c r="L43" i="6"/>
  <c r="G21" i="3"/>
  <c r="L64" i="6"/>
  <c r="G35" i="3"/>
  <c r="O14" i="3"/>
  <c r="L36" i="6" s="1"/>
  <c r="J36" i="6"/>
  <c r="P14" i="3"/>
  <c r="M36" i="6" s="1"/>
  <c r="E12" i="1"/>
  <c r="G43" i="3"/>
  <c r="L76" i="6"/>
  <c r="O30" i="3"/>
  <c r="L60" i="6" s="1"/>
  <c r="J60" i="6"/>
  <c r="P30" i="3"/>
  <c r="M60" i="6" s="1"/>
  <c r="O10" i="3"/>
  <c r="L30" i="6" s="1"/>
  <c r="J30" i="6"/>
  <c r="P10" i="3"/>
  <c r="M30" i="6" s="1"/>
  <c r="L22" i="6"/>
  <c r="G7" i="3"/>
  <c r="L67" i="6"/>
  <c r="G37" i="3"/>
  <c r="J66" i="6"/>
  <c r="O34" i="3"/>
  <c r="L66" i="6" s="1"/>
  <c r="P34" i="3"/>
  <c r="M66" i="6" s="1"/>
  <c r="L37" i="6"/>
  <c r="G17" i="3"/>
  <c r="G11" i="3"/>
  <c r="L28" i="6"/>
  <c r="O44" i="3"/>
  <c r="L81" i="6" s="1"/>
  <c r="J81" i="6"/>
  <c r="P44" i="3"/>
  <c r="M81" i="6" s="1"/>
  <c r="O24" i="3"/>
  <c r="L51" i="6" s="1"/>
  <c r="J51" i="6"/>
  <c r="P24" i="3"/>
  <c r="M51" i="6" s="1"/>
  <c r="O48" i="3"/>
  <c r="L87" i="6" s="1"/>
  <c r="J87" i="6"/>
  <c r="P48" i="3"/>
  <c r="M87" i="6" s="1"/>
  <c r="O26" i="3"/>
  <c r="L54" i="6" s="1"/>
  <c r="J54" i="6"/>
  <c r="P26" i="3"/>
  <c r="M54" i="6" s="1"/>
  <c r="O46" i="3"/>
  <c r="L84" i="6" s="1"/>
  <c r="J84" i="6"/>
  <c r="P46" i="3"/>
  <c r="M84" i="6" s="1"/>
  <c r="O18" i="3"/>
  <c r="L42" i="6" s="1"/>
  <c r="J42" i="6"/>
  <c r="P18" i="3"/>
  <c r="M42" i="6" s="1"/>
  <c r="L61" i="6"/>
  <c r="G33" i="3"/>
  <c r="G47" i="3"/>
  <c r="L82" i="6"/>
  <c r="I33" i="3" l="1"/>
  <c r="L62" i="6" s="1"/>
  <c r="J62" i="6"/>
  <c r="J33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29" i="3"/>
  <c r="L56" i="6" s="1"/>
  <c r="J56" i="6"/>
  <c r="J29" i="3"/>
  <c r="M56" i="6" s="1"/>
  <c r="J71" i="6"/>
  <c r="J39" i="3"/>
  <c r="M71" i="6" s="1"/>
  <c r="I39" i="3"/>
  <c r="L71" i="6" s="1"/>
  <c r="J59" i="6"/>
  <c r="I31" i="3"/>
  <c r="L59" i="6" s="1"/>
  <c r="J31" i="3"/>
  <c r="M59" i="6" s="1"/>
  <c r="J41" i="6"/>
  <c r="I19" i="3"/>
  <c r="L41" i="6" s="1"/>
  <c r="J19" i="3"/>
  <c r="M41" i="6" s="1"/>
  <c r="M24" i="6"/>
  <c r="I41" i="3"/>
  <c r="L74" i="6" s="1"/>
  <c r="J74" i="6"/>
  <c r="J41" i="3"/>
  <c r="M74" i="6" s="1"/>
  <c r="J53" i="6"/>
  <c r="I27" i="3"/>
  <c r="L53" i="6" s="1"/>
  <c r="J27" i="3"/>
  <c r="M53" i="6" s="1"/>
  <c r="I17" i="3"/>
  <c r="L38" i="6" s="1"/>
  <c r="J38" i="6"/>
  <c r="J17" i="3"/>
  <c r="M38" i="6" s="1"/>
  <c r="J77" i="6"/>
  <c r="I43" i="3"/>
  <c r="L77" i="6" s="1"/>
  <c r="J43" i="3"/>
  <c r="M77" i="6" s="1"/>
  <c r="I25" i="3"/>
  <c r="L50" i="6" s="1"/>
  <c r="J50" i="6"/>
  <c r="J25" i="3"/>
  <c r="M50" i="6" s="1"/>
  <c r="L24" i="6"/>
  <c r="I10" i="1"/>
  <c r="J26" i="6"/>
  <c r="I9" i="3"/>
  <c r="L26" i="6" s="1"/>
  <c r="J9" i="3"/>
  <c r="M26" i="6" s="1"/>
  <c r="L57" i="6"/>
  <c r="I11" i="1"/>
  <c r="I13" i="3"/>
  <c r="L32" i="6" s="1"/>
  <c r="J32" i="6"/>
  <c r="J13" i="3"/>
  <c r="M32" i="6" s="1"/>
  <c r="J83" i="6"/>
  <c r="I47" i="3"/>
  <c r="L83" i="6" s="1"/>
  <c r="J47" i="3"/>
  <c r="M83" i="6" s="1"/>
  <c r="I37" i="3"/>
  <c r="L68" i="6" s="1"/>
  <c r="J68" i="6"/>
  <c r="J37" i="3"/>
  <c r="M68" i="6" s="1"/>
  <c r="G12" i="1"/>
  <c r="E14" i="1"/>
  <c r="G14" i="1" s="1"/>
  <c r="J65" i="6"/>
  <c r="I35" i="3"/>
  <c r="L65" i="6" s="1"/>
  <c r="J35" i="3"/>
  <c r="M65" i="6" s="1"/>
  <c r="I49" i="3"/>
  <c r="L86" i="6" s="1"/>
  <c r="J86" i="6"/>
  <c r="J49" i="3"/>
  <c r="M86" i="6" s="1"/>
  <c r="M57" i="6"/>
  <c r="I45" i="3"/>
  <c r="L80" i="6" s="1"/>
  <c r="J80" i="6"/>
  <c r="J45" i="3"/>
  <c r="M80" i="6" s="1"/>
  <c r="I12" i="1" l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Cea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68,667 Ton a Bracpesca S.A. IV (Res. Ex. N° 000002)</t>
        </r>
      </text>
    </comment>
    <comment ref="F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69,8 Ton desde Rubio y Mauad Ltda. IV (Res. Ex. N° 1808-20)</t>
        </r>
      </text>
    </comment>
    <comment ref="F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31 Ton a Antartic Seafood S.A. IV (Res. Ex. N°000001)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Cea</author>
  </authors>
  <commentList>
    <comment ref="F2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31 Ton desde Emb Isla Tabon IV Región (Res. Ex. N°000001)
 </t>
        </r>
      </text>
    </comment>
    <comment ref="F3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68,667 Ton desde Emb. Punta Talca IV Región (Res. Ex. N° 000002)</t>
        </r>
      </text>
    </comment>
    <comment ref="F4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69,8 Ton a Emb. Trauwun I IV Región (Res. Ex. N° 1808-20)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Cea</author>
    <author>CEA TELLO, MARIO ANDRES</author>
  </authors>
  <commentList>
    <comment ref="G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168247-2020: 46,357 Ton desde Camanchaca Pesca Sur S.A. V-VI</t>
        </r>
      </text>
    </comment>
    <comment ref="G1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168246-2020: 160 Ton desde Camanchaca Pesca Sur S.A. V-VI</t>
        </r>
      </text>
    </comment>
    <comment ref="G19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 163597-2020: 94,286 Ton desde Pacificblu SPA V-VI
Certificado N° 165722-2020: 49,980 Ton a Isladamas S.A. Pesq. V-VI
Certificado N° 168247-2020: 46,357 Ton a Antartic Seafood S.A. V-VI
Certificado N° 168246-2020: 160 Ton a Bracpesca S.A. V-VI
Certificado N° 00073-2020: 94,2858 Ton a Isladamas S.A. Pesq. V-VI
</t>
        </r>
      </text>
    </comment>
    <comment ref="G2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00077-2020: 25,899 Ton desde Pacificblu SPA V-VIII</t>
        </r>
      </text>
    </comment>
    <comment ref="G2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165722-2020: 49,980 Ton desde Camanchaca Pesca Sur S.A. V-VI
Certificado N° 00073-2020: 94,2858 Ton desde Camanchaca Pesca Sur S.A. V-VI</t>
        </r>
      </text>
    </comment>
    <comment ref="G31" authorId="1" shapeId="0" xr:uid="{00000000-0006-0000-0400-000006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 163597-2020: 94,286 Ton a Camanchaca Pesca Sur S.A. V-VI
</t>
        </r>
      </text>
    </comment>
    <comment ref="G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00077-2020: 25,899 Ton a Camanchaca Pesca Sur S.A. V-VI</t>
        </r>
      </text>
    </comment>
    <comment ref="G39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168269-2020: 86,357  Ton a Camanchaca Pesca Sur S.A. VII-VIII</t>
        </r>
      </text>
    </comment>
    <comment ref="G43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168250-2020: 180 Ton a Camanchaca Pesca Sur S.A. VII-VIII</t>
        </r>
      </text>
    </comment>
    <comment ref="G45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 163597-2020: 115,238 Ton desde Pacificblu SPA VII-VIII
Certificado N° 165081-2020: 60,956 Ton a  Jorge Cofre Toledo VII-VIII
Certificado N° 166181-2020: 27,440 Ton a Pesquera CMK Ltda. VII-VIII
Certificado N° 168250-2020: 180 Ton desde Bracpesca S.A. VII-VIII
Certificado N° 168269-2020: 86,357 Ton desde Antartic Seafood S.A. VII-VIII</t>
        </r>
      </text>
    </comment>
    <comment ref="G46" authorId="0" shapeId="0" xr:uid="{00000000-0006-0000-0400-00000B000000}">
      <text>
        <r>
          <rPr>
            <b/>
            <sz val="9"/>
            <color indexed="81"/>
            <rFont val="Tahoma"/>
            <charset val="1"/>
          </rPr>
          <t>Mario Cea:</t>
        </r>
        <r>
          <rPr>
            <sz val="9"/>
            <color indexed="81"/>
            <rFont val="Tahoma"/>
            <charset val="1"/>
          </rPr>
          <t xml:space="preserve">
Certificado N° 00077-2020: 31,654 Ton desde Pacificblu SPA V-VIII
Certificado N° 00075-2020: 10 Ton desde Pesquera CMK Ltda. VII-VIII
Certificado N° 00016-2020: 3 Ton a Pacificblu SPA V-VIII</t>
        </r>
      </text>
    </comment>
    <comment ref="G57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 163597-2020: 115,238 Ton a Camanchaca Pesca Sur S.A. VII-VIII</t>
        </r>
      </text>
    </comment>
    <comment ref="G5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00077-2020: 31,654 Ton a Camanchaca Pesca Sur S.A. V-VI
Certificado N° 00016-2020: 3 Ton desde Camanchaca Pesca Sur S.A. V-VI</t>
        </r>
      </text>
    </comment>
    <comment ref="G65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165081-2020: 60,956 Ton desde Camanchaca Pesca Sur S.A. VII-VIII</t>
        </r>
      </text>
    </comment>
    <comment ref="G67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Certificado N° 166181-2020: 27,440 Ton desde Camanchaca Pesca Sur S.A. VII-VIII</t>
        </r>
      </text>
    </comment>
    <comment ref="G68" authorId="0" shapeId="0" xr:uid="{00000000-0006-0000-0400-000010000000}">
      <text>
        <r>
          <rPr>
            <b/>
            <sz val="9"/>
            <color indexed="81"/>
            <rFont val="Tahoma"/>
            <charset val="1"/>
          </rPr>
          <t>Mario Cea:</t>
        </r>
        <r>
          <rPr>
            <sz val="9"/>
            <color indexed="81"/>
            <rFont val="Tahoma"/>
            <charset val="1"/>
          </rPr>
          <t xml:space="preserve">
Certificado N° 00075-2020: 10 Ton a Camanchaca Pesca Sur S.A. VII-VIII</t>
        </r>
      </text>
    </comment>
  </commentList>
</comments>
</file>

<file path=xl/sharedStrings.xml><?xml version="1.0" encoding="utf-8"?>
<sst xmlns="http://schemas.openxmlformats.org/spreadsheetml/2006/main" count="1497" uniqueCount="136">
  <si>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</si>
  <si>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</si>
  <si>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</si>
  <si>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</si>
  <si>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</si>
  <si>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</si>
  <si>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</si>
  <si>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</si>
  <si>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</si>
  <si>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</si>
  <si>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</si>
  <si>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</si>
  <si>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</si>
  <si>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</si>
  <si>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</si>
  <si>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</si>
  <si>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</si>
  <si>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</si>
  <si>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</si>
  <si>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</si>
  <si>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</si>
  <si>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</si>
  <si>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</si>
  <si>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</si>
  <si>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</si>
  <si>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</si>
  <si>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</si>
  <si>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</si>
  <si>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</si>
  <si>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</si>
  <si>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</si>
  <si>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</si>
  <si>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</si>
  <si>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</si>
  <si>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</si>
  <si>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</si>
  <si>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</si>
  <si>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</si>
  <si>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</si>
  <si>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</si>
  <si>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</si>
  <si>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</si>
  <si>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</si>
  <si>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</si>
  <si>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</si>
  <si>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</si>
  <si>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</si>
  <si>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</si>
  <si>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</si>
  <si>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</si>
  <si>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</si>
  <si>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</si>
  <si>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</si>
  <si>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</si>
  <si>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</si>
  <si>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</si>
  <si>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</si>
  <si>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</si>
  <si>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</si>
  <si>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</si>
  <si>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</si>
  <si>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</si>
  <si>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</si>
  <si>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% LICITADO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</si>
  <si>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</si>
  <si>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</si>
  <si>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</si>
  <si>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</si>
  <si>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</si>
  <si>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</si>
  <si>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</si>
  <si>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</si>
  <si>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</si>
  <si>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</si>
  <si>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</si>
  <si>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</si>
  <si>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</si>
  <si>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</si>
  <si>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</si>
  <si>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</si>
  <si>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</si>
  <si>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</si>
  <si>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</si>
  <si>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</si>
  <si>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</si>
  <si>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 xml:space="preserve">MARZO </t>
  </si>
  <si>
    <t>AGOSTO</t>
  </si>
  <si>
    <t>OCTUBRE</t>
  </si>
  <si>
    <t>DICIEMBRE</t>
  </si>
  <si>
    <t>ENERO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</si>
  <si>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</si>
  <si>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</si>
  <si>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</si>
  <si>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</si>
  <si>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</si>
  <si>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</si>
  <si>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</si>
  <si>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</si>
  <si>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</si>
  <si>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</si>
  <si>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</si>
  <si>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CONTROL CUOTA GLOBAL LANGOSTINO AMARILLO III-IV AÑO 2020</t>
  </si>
  <si>
    <t>CONTROL CUOTA LANGOSTINO AMARILLO FRACCION ARTESANAL AÑO 2020</t>
  </si>
  <si>
    <t>CONTROL CUOTA LANGOSTINO AMARILLO FRACCION INDUSTRIAL AÑO 2020</t>
  </si>
  <si>
    <t>CONTROL CUOTA LANGOSTINO AMARILLO PEP AÑO 2020</t>
  </si>
  <si>
    <t>TOTAL LTP</t>
  </si>
  <si>
    <t>TOTAL ASIGNATARIOS LTP</t>
  </si>
  <si>
    <t xml:space="preserve"> LANGOSTINO AMARILLO PEP V-VI</t>
  </si>
  <si>
    <t>LANGOSTINO AMARILLO PEP VII-VIII</t>
  </si>
  <si>
    <t>CONTROL CUOTA GLOBAL LANGOSTINO AMARILLO PEP V-VIII AÑO 2020</t>
  </si>
  <si>
    <t>LANGOSTINO AMARILLO PEP  V-VIII</t>
  </si>
  <si>
    <t>REGIONES III-IV</t>
  </si>
  <si>
    <t>Decreto Ex.  N°311-2020</t>
  </si>
  <si>
    <t>1567 Ton.</t>
  </si>
  <si>
    <t>JORGE ANDRES COFRE TOLEDO</t>
  </si>
  <si>
    <t>PESQUERA CMK LTDA.</t>
  </si>
  <si>
    <t>CONTROL PESCA DE INVESTIGACION</t>
  </si>
  <si>
    <t>N° RESOLUCION</t>
  </si>
  <si>
    <t>EMBARCACION TITULAR</t>
  </si>
  <si>
    <t>EMBARCACION SUPLENTE</t>
  </si>
  <si>
    <t>CAPTURA TOTAL</t>
  </si>
  <si>
    <t>CONSUMO</t>
  </si>
  <si>
    <t>E-2020-414</t>
  </si>
  <si>
    <t>RAUTEN</t>
  </si>
  <si>
    <t>ELBE</t>
  </si>
  <si>
    <t>ALTAIR</t>
  </si>
  <si>
    <t>NTRA. SRA. DE LA TIRANA II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</si>
  <si>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</si>
  <si>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</si>
  <si>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</si>
  <si>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</si>
  <si>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</si>
  <si>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</si>
  <si>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</si>
  <si>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</si>
  <si>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E-2020-381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</si>
</sst>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164" fontId="3" fillId="9" borderId="1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0" fontId="3" fillId="12" borderId="1" xfId="1" applyNumberFormat="1" applyFont="1" applyFill="1" applyBorder="1" applyAlignment="1">
      <alignment horizontal="center" vertical="center"/>
    </xf>
    <xf numFmtId="165" fontId="3" fillId="12" borderId="1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8" fontId="2" fillId="2" borderId="7" xfId="0" applyNumberFormat="1" applyFont="1" applyFill="1" applyBorder="1" applyAlignment="1">
      <alignment horizontal="center" vertical="center"/>
    </xf>
    <xf numFmtId="168" fontId="2" fillId="2" borderId="12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/>
    </xf>
    <xf numFmtId="14" fontId="2" fillId="8" borderId="12" xfId="0" applyNumberFormat="1" applyFont="1" applyFill="1" applyBorder="1" applyAlignment="1">
      <alignment horizontal="center" vertical="center"/>
    </xf>
    <xf numFmtId="14" fontId="2" fillId="8" borderId="8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7" fontId="3" fillId="13" borderId="2" xfId="0" applyNumberFormat="1" applyFont="1" applyFill="1" applyBorder="1" applyAlignment="1">
      <alignment horizontal="center" vertical="center"/>
    </xf>
    <xf numFmtId="167" fontId="3" fillId="1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170" fontId="3" fillId="1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4" fontId="2" fillId="5" borderId="7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33"/>
      <color rgb="FF339966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showGridLines="0" workbookViewId="0">
      <selection activeCell="E26" sqref="E26:J26"/>
    </sheetView>
  </sheetViews>
  <sheetFormatPr baseColWidth="10" defaultColWidth="11.44140625" defaultRowHeight="12" x14ac:dyDescent="0.3"/>
  <cols>
    <col min="1" max="1" width="11.44140625" style="3"/>
    <col min="2" max="2" width="27.33203125" style="3" bestFit="1" customWidth="1"/>
    <col min="3" max="3" width="19.109375" style="3" bestFit="1" customWidth="1"/>
    <col min="4" max="4" width="22.8867187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6384" width="11.44140625" style="3"/>
  </cols>
  <sheetData>
    <row r="2" spans="2:10" ht="15" customHeight="1" x14ac:dyDescent="0.3">
      <c r="B2" s="69" t="s">
        <v>101</v>
      </c>
      <c r="C2" s="70"/>
      <c r="D2" s="70"/>
      <c r="E2" s="70"/>
      <c r="F2" s="70"/>
      <c r="G2" s="70"/>
      <c r="H2" s="70"/>
      <c r="I2" s="70"/>
      <c r="J2" s="71"/>
    </row>
    <row r="3" spans="2:10" ht="15.75" customHeight="1" x14ac:dyDescent="0.3">
      <c r="B3" s="72">
        <v>44200</v>
      </c>
      <c r="C3" s="73"/>
      <c r="D3" s="73"/>
      <c r="E3" s="73"/>
      <c r="F3" s="73"/>
      <c r="G3" s="73"/>
      <c r="H3" s="73"/>
      <c r="I3" s="73"/>
      <c r="J3" s="74"/>
    </row>
    <row r="5" spans="2:10" x14ac:dyDescent="0.3">
      <c r="B5" s="27" t="s">
        <v>0</v>
      </c>
      <c r="C5" s="27" t="s">
        <v>8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5</v>
      </c>
      <c r="I5" s="27" t="s">
        <v>6</v>
      </c>
      <c r="J5" s="27" t="s">
        <v>7</v>
      </c>
    </row>
    <row r="6" spans="2:10" x14ac:dyDescent="0.3">
      <c r="B6" s="75" t="s">
        <v>47</v>
      </c>
      <c r="C6" s="76" t="s">
        <v>14</v>
      </c>
      <c r="D6" s="6" t="s">
        <v>9</v>
      </c>
      <c r="E6" s="62">
        <f>'CUOTA ARTESANAL'!L6</f>
        <v>10</v>
      </c>
      <c r="F6" s="62">
        <f>'CUOTA ARTESANAL'!M6</f>
        <v>0</v>
      </c>
      <c r="G6" s="62">
        <f>'CUOTA ARTESANAL'!N6</f>
        <v>10</v>
      </c>
      <c r="H6" s="62">
        <f>'CUOTA ARTESANAL'!O6</f>
        <v>0</v>
      </c>
      <c r="I6" s="62">
        <f>'CUOTA ARTESANAL'!P6</f>
        <v>10</v>
      </c>
      <c r="J6" s="67">
        <f>H6/G6</f>
        <v>0</v>
      </c>
    </row>
    <row r="7" spans="2:10" x14ac:dyDescent="0.3">
      <c r="B7" s="76"/>
      <c r="C7" s="76"/>
      <c r="D7" s="6" t="s">
        <v>39</v>
      </c>
      <c r="E7" s="62">
        <f>SUM('CUOTA ARTESANAL'!L8:L17)</f>
        <v>487.00000000000006</v>
      </c>
      <c r="F7" s="62">
        <f>SUM('CUOTA ARTESANAL'!M8:M17)</f>
        <v>-29.867000000000004</v>
      </c>
      <c r="G7" s="62">
        <f>SUM('CUOTA ARTESANAL'!N8:N17)</f>
        <v>457.13300000000004</v>
      </c>
      <c r="H7" s="62">
        <f>SUM('CUOTA ARTESANAL'!O8:O17)</f>
        <v>445.73899999999998</v>
      </c>
      <c r="I7" s="62">
        <f>SUM('CUOTA ARTESANAL'!P8:P17)</f>
        <v>11.394000000000045</v>
      </c>
      <c r="J7" s="67">
        <f t="shared" ref="J7:J13" si="0">H7/G7</f>
        <v>0.97507508755657535</v>
      </c>
    </row>
    <row r="8" spans="2:10" x14ac:dyDescent="0.3">
      <c r="B8" s="76"/>
      <c r="C8" s="76"/>
      <c r="D8" s="6" t="s">
        <v>10</v>
      </c>
      <c r="E8" s="62">
        <f>'CUOTA ARTESANAL'!L18</f>
        <v>10</v>
      </c>
      <c r="F8" s="62">
        <f>'CUOTA ARTESANAL'!M18</f>
        <v>0</v>
      </c>
      <c r="G8" s="62">
        <f>'CUOTA ARTESANAL'!N18</f>
        <v>10</v>
      </c>
      <c r="H8" s="62">
        <f>'CUOTA ARTESANAL'!O18</f>
        <v>0</v>
      </c>
      <c r="I8" s="62">
        <f>'CUOTA ARTESANAL'!P18</f>
        <v>10</v>
      </c>
      <c r="J8" s="67">
        <f t="shared" si="0"/>
        <v>0</v>
      </c>
    </row>
    <row r="9" spans="2:10" x14ac:dyDescent="0.3">
      <c r="B9" s="76"/>
      <c r="C9" s="77"/>
      <c r="D9" s="53" t="s">
        <v>11</v>
      </c>
      <c r="E9" s="54">
        <f>SUM(E6:E8)</f>
        <v>507.00000000000006</v>
      </c>
      <c r="F9" s="54">
        <f>SUM(F6:F8)</f>
        <v>-29.867000000000004</v>
      </c>
      <c r="G9" s="54">
        <f>E9+F9</f>
        <v>477.13300000000004</v>
      </c>
      <c r="H9" s="54">
        <f>SUM(H6:H8)</f>
        <v>445.73899999999998</v>
      </c>
      <c r="I9" s="54">
        <f>G9-H9</f>
        <v>31.394000000000062</v>
      </c>
      <c r="J9" s="64">
        <f t="shared" si="0"/>
        <v>0.93420283233396129</v>
      </c>
    </row>
    <row r="10" spans="2:10" x14ac:dyDescent="0.3">
      <c r="B10" s="76"/>
      <c r="C10" s="75" t="s">
        <v>15</v>
      </c>
      <c r="D10" s="6" t="s">
        <v>40</v>
      </c>
      <c r="E10" s="62">
        <f>SUM('CUOTA LTP'!K6:K27)</f>
        <v>99.999990000000011</v>
      </c>
      <c r="F10" s="62">
        <f>SUM('CUOTA LTP'!L6:L27)</f>
        <v>0</v>
      </c>
      <c r="G10" s="62">
        <f>SUM('CUOTA LTP'!M6:M27)</f>
        <v>99.999990000000011</v>
      </c>
      <c r="H10" s="62">
        <f>SUM('CUOTA LTP'!N6:N27)</f>
        <v>35.712000000000003</v>
      </c>
      <c r="I10" s="62">
        <f>SUM('CUOTA LTP'!O6:O27)</f>
        <v>64.287990000000008</v>
      </c>
      <c r="J10" s="67">
        <f t="shared" si="0"/>
        <v>0.35712003571200357</v>
      </c>
    </row>
    <row r="11" spans="2:10" x14ac:dyDescent="0.3">
      <c r="B11" s="76"/>
      <c r="C11" s="76"/>
      <c r="D11" s="6" t="s">
        <v>41</v>
      </c>
      <c r="E11" s="62">
        <f>SUM('CUOTA LTP'!K28:K49)</f>
        <v>928.99991</v>
      </c>
      <c r="F11" s="62">
        <f>SUM('CUOTA LTP'!L28:L49)</f>
        <v>29.867000000000004</v>
      </c>
      <c r="G11" s="62">
        <f>SUM('CUOTA LTP'!M28:M49)</f>
        <v>958.86691000000008</v>
      </c>
      <c r="H11" s="62">
        <f>SUM('CUOTA LTP'!N28:N49)</f>
        <v>928.48500000000001</v>
      </c>
      <c r="I11" s="62">
        <f>SUM('CUOTA LTP'!O28:O49)</f>
        <v>30.381910000000055</v>
      </c>
      <c r="J11" s="67">
        <f t="shared" si="0"/>
        <v>0.96831477895091811</v>
      </c>
    </row>
    <row r="12" spans="2:10" x14ac:dyDescent="0.3">
      <c r="B12" s="76"/>
      <c r="C12" s="76"/>
      <c r="D12" s="55" t="s">
        <v>12</v>
      </c>
      <c r="E12" s="54">
        <f>SUM(E10:E11)</f>
        <v>1028.9999</v>
      </c>
      <c r="F12" s="54">
        <f>SUM(F10:F11)</f>
        <v>29.867000000000004</v>
      </c>
      <c r="G12" s="54">
        <f>E12+F12</f>
        <v>1058.8669</v>
      </c>
      <c r="H12" s="54">
        <f>SUM(H10:H11)</f>
        <v>964.197</v>
      </c>
      <c r="I12" s="54">
        <f>G12-H12</f>
        <v>94.669899999999984</v>
      </c>
      <c r="J12" s="64">
        <f t="shared" si="0"/>
        <v>0.91059320109071307</v>
      </c>
    </row>
    <row r="13" spans="2:10" ht="14.4" customHeight="1" x14ac:dyDescent="0.3">
      <c r="B13" s="76"/>
      <c r="C13" s="80" t="s">
        <v>42</v>
      </c>
      <c r="D13" s="80"/>
      <c r="E13" s="18">
        <v>31</v>
      </c>
      <c r="F13" s="18">
        <v>0</v>
      </c>
      <c r="G13" s="18">
        <f>E13+F13</f>
        <v>31</v>
      </c>
      <c r="H13" s="18">
        <f>'PESCA DE INVESTIGACION'!H11+'PESCA DE INVESTIGACION'!F15</f>
        <v>31.001999999999999</v>
      </c>
      <c r="I13" s="18">
        <f>G13-H13</f>
        <v>-1.9999999999988916E-3</v>
      </c>
      <c r="J13" s="63">
        <f t="shared" si="0"/>
        <v>1.0000645161290322</v>
      </c>
    </row>
    <row r="14" spans="2:10" x14ac:dyDescent="0.3">
      <c r="B14" s="77"/>
      <c r="C14" s="78" t="s">
        <v>13</v>
      </c>
      <c r="D14" s="79"/>
      <c r="E14" s="28">
        <f>SUM(E9+E12+E13)</f>
        <v>1566.9999</v>
      </c>
      <c r="F14" s="29">
        <f>SUM(F9+F12+F13)</f>
        <v>0</v>
      </c>
      <c r="G14" s="29">
        <f>E14+F14</f>
        <v>1566.9999</v>
      </c>
      <c r="H14" s="29">
        <f>SUM(H9+H12+H13)</f>
        <v>1440.9379999999999</v>
      </c>
      <c r="I14" s="29">
        <f>G14-H14</f>
        <v>126.06190000000015</v>
      </c>
      <c r="J14" s="63">
        <f>H14/G14</f>
        <v>0.91955206889292074</v>
      </c>
    </row>
    <row r="15" spans="2:10" ht="12.6" thickBot="1" x14ac:dyDescent="0.35"/>
    <row r="16" spans="2:10" s="14" customFormat="1" ht="12.6" thickBot="1" x14ac:dyDescent="0.35">
      <c r="B16" s="45" t="s">
        <v>112</v>
      </c>
      <c r="C16" s="44" t="s">
        <v>113</v>
      </c>
    </row>
    <row r="19" spans="2:10" ht="15" customHeight="1" x14ac:dyDescent="0.3">
      <c r="B19" s="69" t="s">
        <v>109</v>
      </c>
      <c r="C19" s="70"/>
      <c r="D19" s="70"/>
      <c r="E19" s="70"/>
      <c r="F19" s="70"/>
      <c r="G19" s="70"/>
      <c r="H19" s="70"/>
      <c r="I19" s="70"/>
      <c r="J19" s="71"/>
    </row>
    <row r="20" spans="2:10" ht="15.75" customHeight="1" x14ac:dyDescent="0.3">
      <c r="B20" s="72">
        <f>B3</f>
        <v>44200</v>
      </c>
      <c r="C20" s="73"/>
      <c r="D20" s="73"/>
      <c r="E20" s="73"/>
      <c r="F20" s="73"/>
      <c r="G20" s="73"/>
      <c r="H20" s="73"/>
      <c r="I20" s="73"/>
      <c r="J20" s="74"/>
    </row>
    <row r="22" spans="2:10" x14ac:dyDescent="0.3">
      <c r="B22" s="27" t="s">
        <v>0</v>
      </c>
      <c r="C22" s="27" t="s">
        <v>8</v>
      </c>
      <c r="D22" s="27" t="s">
        <v>1</v>
      </c>
      <c r="E22" s="27" t="s">
        <v>2</v>
      </c>
      <c r="F22" s="27" t="s">
        <v>3</v>
      </c>
      <c r="G22" s="27" t="s">
        <v>4</v>
      </c>
      <c r="H22" s="27" t="s">
        <v>5</v>
      </c>
      <c r="I22" s="27" t="s">
        <v>6</v>
      </c>
      <c r="J22" s="27" t="s">
        <v>7</v>
      </c>
    </row>
    <row r="23" spans="2:10" x14ac:dyDescent="0.3">
      <c r="B23" s="75" t="s">
        <v>110</v>
      </c>
      <c r="C23" s="75" t="s">
        <v>64</v>
      </c>
      <c r="D23" s="6" t="s">
        <v>43</v>
      </c>
      <c r="E23" s="62">
        <f>SUM('CUOTA LICITADA'!L13:L38)</f>
        <v>882.00264511800003</v>
      </c>
      <c r="F23" s="62">
        <f>SUM('CUOTA LICITADA'!M13:M38)</f>
        <v>-1.0000000000331966E-4</v>
      </c>
      <c r="G23" s="62">
        <f>E23+F23</f>
        <v>882.00254511800006</v>
      </c>
      <c r="H23" s="62">
        <f>SUM('CUOTA LICITADA'!O13:O38)</f>
        <v>847.55799999999999</v>
      </c>
      <c r="I23" s="62">
        <f>G23-H23</f>
        <v>34.444545118000065</v>
      </c>
      <c r="J23" s="68">
        <f>H23/G23</f>
        <v>0.96094734044855634</v>
      </c>
    </row>
    <row r="24" spans="2:10" x14ac:dyDescent="0.3">
      <c r="B24" s="76"/>
      <c r="C24" s="76"/>
      <c r="D24" s="6" t="s">
        <v>44</v>
      </c>
      <c r="E24" s="62">
        <f>SUM('CUOTA LICITADA'!L39:L68)</f>
        <v>1078.0032329220001</v>
      </c>
      <c r="F24" s="62">
        <f>SUM('CUOTA LICITADA'!M39:M68)</f>
        <v>2.0000000005282459E-4</v>
      </c>
      <c r="G24" s="62">
        <f>E24+F24</f>
        <v>1078.003432922</v>
      </c>
      <c r="H24" s="62">
        <f>SUM('CUOTA LICITADA'!O39:O68)</f>
        <v>1001.2199999999999</v>
      </c>
      <c r="I24" s="62">
        <f>G24-H24</f>
        <v>76.783432922000088</v>
      </c>
      <c r="J24" s="68">
        <f>H24/G24</f>
        <v>0.9287725525011794</v>
      </c>
    </row>
    <row r="25" spans="2:10" x14ac:dyDescent="0.3">
      <c r="B25" s="76"/>
      <c r="C25" s="76"/>
      <c r="D25" s="6" t="s">
        <v>45</v>
      </c>
      <c r="E25" s="62">
        <v>27</v>
      </c>
      <c r="F25" s="62">
        <v>0</v>
      </c>
      <c r="G25" s="62">
        <f>E25+F25</f>
        <v>27</v>
      </c>
      <c r="H25" s="62">
        <v>1.663</v>
      </c>
      <c r="I25" s="62">
        <f t="shared" ref="I25:I27" si="1">G25-H25</f>
        <v>25.337</v>
      </c>
      <c r="J25" s="68">
        <f t="shared" ref="J25:J27" si="2">H25/G25</f>
        <v>6.1592592592592595E-2</v>
      </c>
    </row>
    <row r="26" spans="2:10" x14ac:dyDescent="0.3">
      <c r="B26" s="76"/>
      <c r="C26" s="77"/>
      <c r="D26" s="6" t="s">
        <v>46</v>
      </c>
      <c r="E26" s="18">
        <v>40</v>
      </c>
      <c r="F26" s="4">
        <v>0</v>
      </c>
      <c r="G26" s="4">
        <f t="shared" ref="G26:G27" si="3">E26+F26</f>
        <v>40</v>
      </c>
      <c r="H26" s="4">
        <f>'PESCA DE INVESTIGACION'!I11</f>
        <v>28.442</v>
      </c>
      <c r="I26" s="4">
        <f t="shared" si="1"/>
        <v>11.558</v>
      </c>
      <c r="J26" s="26">
        <f t="shared" si="2"/>
        <v>0.71104999999999996</v>
      </c>
    </row>
    <row r="27" spans="2:10" x14ac:dyDescent="0.3">
      <c r="B27" s="77"/>
      <c r="C27" s="78" t="s">
        <v>13</v>
      </c>
      <c r="D27" s="79"/>
      <c r="E27" s="28">
        <f>SUM(E23:E26)</f>
        <v>2027.00587804</v>
      </c>
      <c r="F27" s="29">
        <f>SUM(F23:F26)</f>
        <v>1.0000000004950493E-4</v>
      </c>
      <c r="G27" s="29">
        <f t="shared" si="3"/>
        <v>2027.0059780399999</v>
      </c>
      <c r="H27" s="29">
        <f>SUM(H23:H26)</f>
        <v>1878.8829999999998</v>
      </c>
      <c r="I27" s="29">
        <f t="shared" si="1"/>
        <v>148.12297804000013</v>
      </c>
      <c r="J27" s="30">
        <f t="shared" si="2"/>
        <v>0.92692523867974641</v>
      </c>
    </row>
  </sheetData>
  <mergeCells count="12">
    <mergeCell ref="B2:J2"/>
    <mergeCell ref="B3:J3"/>
    <mergeCell ref="B19:J19"/>
    <mergeCell ref="B20:J20"/>
    <mergeCell ref="B23:B27"/>
    <mergeCell ref="B6:B14"/>
    <mergeCell ref="C27:D27"/>
    <mergeCell ref="C6:C9"/>
    <mergeCell ref="C23:C26"/>
    <mergeCell ref="C14:D14"/>
    <mergeCell ref="C10:C12"/>
    <mergeCell ref="C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20"/>
  <sheetViews>
    <sheetView showGridLines="0" topLeftCell="C1" workbookViewId="0">
      <selection activeCell="P6" sqref="P6:P19"/>
    </sheetView>
  </sheetViews>
  <sheetFormatPr baseColWidth="10" defaultColWidth="11.44140625" defaultRowHeight="12" x14ac:dyDescent="0.3"/>
  <cols>
    <col min="1" max="1" width="11.44140625" style="14"/>
    <col min="2" max="2" width="20.33203125" style="14" bestFit="1" customWidth="1"/>
    <col min="3" max="3" width="12.88671875" style="14" bestFit="1" customWidth="1"/>
    <col min="4" max="4" width="8.33203125" style="14" bestFit="1" customWidth="1"/>
    <col min="5" max="5" width="19" style="14" bestFit="1" customWidth="1"/>
    <col min="6" max="6" width="15.5546875" style="14" bestFit="1" customWidth="1"/>
    <col min="7" max="7" width="18" style="14" bestFit="1" customWidth="1"/>
    <col min="8" max="8" width="12.44140625" style="14" bestFit="1" customWidth="1"/>
    <col min="9" max="9" width="10.5546875" style="14" bestFit="1" customWidth="1"/>
    <col min="10" max="10" width="12" style="14" bestFit="1" customWidth="1"/>
    <col min="11" max="11" width="11.109375" style="14" bestFit="1" customWidth="1"/>
    <col min="12" max="12" width="19" style="14" bestFit="1" customWidth="1"/>
    <col min="13" max="13" width="15.5546875" style="14" bestFit="1" customWidth="1"/>
    <col min="14" max="14" width="18" style="14" bestFit="1" customWidth="1"/>
    <col min="15" max="15" width="12.44140625" style="14" bestFit="1" customWidth="1"/>
    <col min="16" max="16" width="10.5546875" style="14" bestFit="1" customWidth="1"/>
    <col min="17" max="17" width="10.44140625" style="14" bestFit="1" customWidth="1"/>
    <col min="18" max="16384" width="11.44140625" style="14"/>
  </cols>
  <sheetData>
    <row r="2" spans="2:17" x14ac:dyDescent="0.3">
      <c r="B2" s="85" t="s">
        <v>102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2:17" x14ac:dyDescent="0.3">
      <c r="B3" s="88">
        <f>'RESUMEN '!B3:J3</f>
        <v>44200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</row>
    <row r="5" spans="2:17" x14ac:dyDescent="0.3">
      <c r="B5" s="33" t="s">
        <v>16</v>
      </c>
      <c r="C5" s="33" t="s">
        <v>17</v>
      </c>
      <c r="D5" s="33" t="s">
        <v>18</v>
      </c>
      <c r="E5" s="33" t="s">
        <v>2</v>
      </c>
      <c r="F5" s="33" t="s">
        <v>3</v>
      </c>
      <c r="G5" s="33" t="s">
        <v>4</v>
      </c>
      <c r="H5" s="33" t="s">
        <v>5</v>
      </c>
      <c r="I5" s="33" t="s">
        <v>6</v>
      </c>
      <c r="J5" s="34" t="s">
        <v>7</v>
      </c>
      <c r="K5" s="33" t="s">
        <v>19</v>
      </c>
      <c r="L5" s="33" t="s">
        <v>2</v>
      </c>
      <c r="M5" s="33" t="s">
        <v>3</v>
      </c>
      <c r="N5" s="33" t="s">
        <v>4</v>
      </c>
      <c r="O5" s="33" t="s">
        <v>5</v>
      </c>
      <c r="P5" s="33" t="s">
        <v>6</v>
      </c>
      <c r="Q5" s="33" t="s">
        <v>20</v>
      </c>
    </row>
    <row r="6" spans="2:17" x14ac:dyDescent="0.3">
      <c r="B6" s="75" t="s">
        <v>21</v>
      </c>
      <c r="C6" s="75" t="s">
        <v>16</v>
      </c>
      <c r="D6" s="15" t="s">
        <v>52</v>
      </c>
      <c r="E6" s="18">
        <v>9</v>
      </c>
      <c r="F6" s="16"/>
      <c r="G6" s="16">
        <f>E6+F6</f>
        <v>9</v>
      </c>
      <c r="H6" s="65"/>
      <c r="I6" s="16">
        <f>G6-H6</f>
        <v>9</v>
      </c>
      <c r="J6" s="17">
        <f>H6/G6</f>
        <v>0</v>
      </c>
      <c r="K6" s="49" t="s">
        <v>92</v>
      </c>
      <c r="L6" s="83">
        <f>E6+E7</f>
        <v>10</v>
      </c>
      <c r="M6" s="83">
        <f>F6+F7</f>
        <v>0</v>
      </c>
      <c r="N6" s="83">
        <f>L6+M6</f>
        <v>10</v>
      </c>
      <c r="O6" s="83">
        <f>H6+H7</f>
        <v>0</v>
      </c>
      <c r="P6" s="83">
        <f>N6-O6</f>
        <v>10</v>
      </c>
      <c r="Q6" s="81">
        <f>O6/N6</f>
        <v>0</v>
      </c>
    </row>
    <row r="7" spans="2:17" x14ac:dyDescent="0.3">
      <c r="B7" s="77"/>
      <c r="C7" s="77"/>
      <c r="D7" s="15" t="s">
        <v>53</v>
      </c>
      <c r="E7" s="18">
        <v>1</v>
      </c>
      <c r="F7" s="16"/>
      <c r="G7" s="16">
        <f>E7+F7+I6</f>
        <v>10</v>
      </c>
      <c r="H7" s="65"/>
      <c r="I7" s="16">
        <f>G7-H7</f>
        <v>10</v>
      </c>
      <c r="J7" s="17">
        <f>H7/G7</f>
        <v>0</v>
      </c>
      <c r="K7" s="49" t="s">
        <v>92</v>
      </c>
      <c r="L7" s="84"/>
      <c r="M7" s="84"/>
      <c r="N7" s="84"/>
      <c r="O7" s="84"/>
      <c r="P7" s="84"/>
      <c r="Q7" s="82"/>
    </row>
    <row r="8" spans="2:17" x14ac:dyDescent="0.3">
      <c r="B8" s="75" t="s">
        <v>22</v>
      </c>
      <c r="C8" s="75" t="s">
        <v>55</v>
      </c>
      <c r="D8" s="15" t="s">
        <v>52</v>
      </c>
      <c r="E8" s="18">
        <v>123.51600000000001</v>
      </c>
      <c r="F8" s="16">
        <f>-68.667</f>
        <v>-68.667000000000002</v>
      </c>
      <c r="G8" s="16">
        <f t="shared" ref="G8" si="0">E8+F8</f>
        <v>54.849000000000004</v>
      </c>
      <c r="H8" s="65">
        <v>49.673000000000002</v>
      </c>
      <c r="I8" s="16">
        <f t="shared" ref="I8:I17" si="1">G8-H8</f>
        <v>5.1760000000000019</v>
      </c>
      <c r="J8" s="17">
        <f t="shared" ref="J8:J17" si="2">H8/G8</f>
        <v>0.90563182555743948</v>
      </c>
      <c r="K8" s="49" t="s">
        <v>92</v>
      </c>
      <c r="L8" s="83">
        <f t="shared" ref="L8" si="3">E8+E9</f>
        <v>137.334</v>
      </c>
      <c r="M8" s="83">
        <f t="shared" ref="M8" si="4">F8+F9</f>
        <v>-68.667000000000002</v>
      </c>
      <c r="N8" s="83">
        <f t="shared" ref="N8" si="5">L8+M8</f>
        <v>68.667000000000002</v>
      </c>
      <c r="O8" s="83">
        <f t="shared" ref="O8" si="6">H8+H9</f>
        <v>68.012</v>
      </c>
      <c r="P8" s="83">
        <f t="shared" ref="P8" si="7">N8-O8</f>
        <v>0.65500000000000114</v>
      </c>
      <c r="Q8" s="81">
        <f t="shared" ref="Q8" si="8">O8/N8</f>
        <v>0.99046121135334297</v>
      </c>
    </row>
    <row r="9" spans="2:17" x14ac:dyDescent="0.3">
      <c r="B9" s="76"/>
      <c r="C9" s="77"/>
      <c r="D9" s="15" t="s">
        <v>53</v>
      </c>
      <c r="E9" s="18">
        <v>13.818</v>
      </c>
      <c r="F9" s="16"/>
      <c r="G9" s="16">
        <f t="shared" ref="G9" si="9">E9+F9+I8</f>
        <v>18.994</v>
      </c>
      <c r="H9" s="65">
        <v>18.338999999999999</v>
      </c>
      <c r="I9" s="16">
        <f t="shared" si="1"/>
        <v>0.65500000000000114</v>
      </c>
      <c r="J9" s="17">
        <f t="shared" si="2"/>
        <v>0.96551542592397588</v>
      </c>
      <c r="K9" s="49" t="s">
        <v>92</v>
      </c>
      <c r="L9" s="84"/>
      <c r="M9" s="84"/>
      <c r="N9" s="84"/>
      <c r="O9" s="84"/>
      <c r="P9" s="84"/>
      <c r="Q9" s="82"/>
    </row>
    <row r="10" spans="2:17" x14ac:dyDescent="0.3">
      <c r="B10" s="76"/>
      <c r="C10" s="75" t="s">
        <v>56</v>
      </c>
      <c r="D10" s="15" t="s">
        <v>52</v>
      </c>
      <c r="E10" s="18">
        <v>115.194</v>
      </c>
      <c r="F10" s="16">
        <f>69.8</f>
        <v>69.8</v>
      </c>
      <c r="G10" s="16">
        <f t="shared" ref="G10" si="10">E10+F10</f>
        <v>184.994</v>
      </c>
      <c r="H10" s="65">
        <v>111.82</v>
      </c>
      <c r="I10" s="16">
        <f t="shared" si="1"/>
        <v>73.174000000000007</v>
      </c>
      <c r="J10" s="17">
        <f t="shared" si="2"/>
        <v>0.60445203628225774</v>
      </c>
      <c r="K10" s="49" t="s">
        <v>92</v>
      </c>
      <c r="L10" s="83">
        <f t="shared" ref="L10" si="11">E10+E11</f>
        <v>128.08100000000002</v>
      </c>
      <c r="M10" s="83">
        <f t="shared" ref="M10" si="12">F10+F11</f>
        <v>69.8</v>
      </c>
      <c r="N10" s="83">
        <f t="shared" ref="N10" si="13">L10+M10</f>
        <v>197.88100000000003</v>
      </c>
      <c r="O10" s="83">
        <f t="shared" ref="O10" si="14">H10+H11</f>
        <v>192.809</v>
      </c>
      <c r="P10" s="83">
        <f t="shared" ref="P10" si="15">N10-O10</f>
        <v>5.0720000000000312</v>
      </c>
      <c r="Q10" s="81">
        <f t="shared" ref="Q10" si="16">O10/N10</f>
        <v>0.97436843355349922</v>
      </c>
    </row>
    <row r="11" spans="2:17" x14ac:dyDescent="0.3">
      <c r="B11" s="76"/>
      <c r="C11" s="77"/>
      <c r="D11" s="15" t="s">
        <v>53</v>
      </c>
      <c r="E11" s="18">
        <v>12.887</v>
      </c>
      <c r="F11" s="16"/>
      <c r="G11" s="16">
        <f t="shared" ref="G11" si="17">E11+F11+I10</f>
        <v>86.061000000000007</v>
      </c>
      <c r="H11" s="65">
        <v>80.989000000000004</v>
      </c>
      <c r="I11" s="16">
        <f t="shared" si="1"/>
        <v>5.0720000000000027</v>
      </c>
      <c r="J11" s="17">
        <f>H11/G11</f>
        <v>0.94106505850501387</v>
      </c>
      <c r="K11" s="49" t="s">
        <v>92</v>
      </c>
      <c r="L11" s="84"/>
      <c r="M11" s="84"/>
      <c r="N11" s="84"/>
      <c r="O11" s="84"/>
      <c r="P11" s="84"/>
      <c r="Q11" s="82"/>
    </row>
    <row r="12" spans="2:17" x14ac:dyDescent="0.3">
      <c r="B12" s="76"/>
      <c r="C12" s="75" t="s">
        <v>57</v>
      </c>
      <c r="D12" s="15" t="s">
        <v>52</v>
      </c>
      <c r="E12" s="18">
        <v>88.914000000000001</v>
      </c>
      <c r="F12" s="16"/>
      <c r="G12" s="16">
        <f t="shared" ref="G12" si="18">E12+F12</f>
        <v>88.914000000000001</v>
      </c>
      <c r="H12" s="65">
        <v>72.927999999999997</v>
      </c>
      <c r="I12" s="16">
        <f t="shared" si="1"/>
        <v>15.986000000000004</v>
      </c>
      <c r="J12" s="17">
        <f t="shared" si="2"/>
        <v>0.82020829115774785</v>
      </c>
      <c r="K12" s="49" t="s">
        <v>92</v>
      </c>
      <c r="L12" s="83">
        <f t="shared" ref="L12" si="19">E12+E13</f>
        <v>98.861000000000004</v>
      </c>
      <c r="M12" s="83">
        <f t="shared" ref="M12" si="20">F12+F13</f>
        <v>0</v>
      </c>
      <c r="N12" s="83">
        <f t="shared" ref="N12" si="21">L12+M12</f>
        <v>98.861000000000004</v>
      </c>
      <c r="O12" s="83">
        <f t="shared" ref="O12" si="22">H12+H13</f>
        <v>96.692999999999998</v>
      </c>
      <c r="P12" s="83">
        <f t="shared" ref="P12" si="23">N12-O12</f>
        <v>2.1680000000000064</v>
      </c>
      <c r="Q12" s="81">
        <f t="shared" ref="Q12" si="24">O12/N12</f>
        <v>0.97807021980356257</v>
      </c>
    </row>
    <row r="13" spans="2:17" x14ac:dyDescent="0.3">
      <c r="B13" s="76"/>
      <c r="C13" s="77"/>
      <c r="D13" s="15" t="s">
        <v>53</v>
      </c>
      <c r="E13" s="18">
        <v>9.9469999999999992</v>
      </c>
      <c r="F13" s="16"/>
      <c r="G13" s="16">
        <f t="shared" ref="G13" si="25">E13+F13+I12</f>
        <v>25.933000000000003</v>
      </c>
      <c r="H13" s="65">
        <v>23.765000000000001</v>
      </c>
      <c r="I13" s="16">
        <f t="shared" si="1"/>
        <v>2.1680000000000028</v>
      </c>
      <c r="J13" s="17">
        <f t="shared" si="2"/>
        <v>0.91639995372691152</v>
      </c>
      <c r="K13" s="49" t="s">
        <v>92</v>
      </c>
      <c r="L13" s="84"/>
      <c r="M13" s="84"/>
      <c r="N13" s="84"/>
      <c r="O13" s="84"/>
      <c r="P13" s="84"/>
      <c r="Q13" s="82"/>
    </row>
    <row r="14" spans="2:17" x14ac:dyDescent="0.3">
      <c r="B14" s="76"/>
      <c r="C14" s="75" t="s">
        <v>58</v>
      </c>
      <c r="D14" s="15" t="s">
        <v>52</v>
      </c>
      <c r="E14" s="18">
        <v>84.096000000000004</v>
      </c>
      <c r="F14" s="16">
        <f>-31</f>
        <v>-31</v>
      </c>
      <c r="G14" s="16">
        <f t="shared" ref="G14" si="26">E14+F14</f>
        <v>53.096000000000004</v>
      </c>
      <c r="H14" s="65">
        <v>53.256999999999998</v>
      </c>
      <c r="I14" s="16">
        <f t="shared" si="1"/>
        <v>-0.16099999999999426</v>
      </c>
      <c r="J14" s="17">
        <f t="shared" si="2"/>
        <v>1.0030322434835015</v>
      </c>
      <c r="K14" s="51">
        <v>44032</v>
      </c>
      <c r="L14" s="83">
        <f t="shared" ref="L14" si="27">E14+E15</f>
        <v>93.504000000000005</v>
      </c>
      <c r="M14" s="83">
        <f t="shared" ref="M14" si="28">F14+F15</f>
        <v>-31</v>
      </c>
      <c r="N14" s="83">
        <f t="shared" ref="N14" si="29">L14+M14</f>
        <v>62.504000000000005</v>
      </c>
      <c r="O14" s="83">
        <f t="shared" ref="O14" si="30">H14+H15</f>
        <v>61.926000000000002</v>
      </c>
      <c r="P14" s="83">
        <f t="shared" ref="P14" si="31">N14-O14</f>
        <v>0.57800000000000296</v>
      </c>
      <c r="Q14" s="81">
        <f t="shared" ref="Q14" si="32">O14/N14</f>
        <v>0.99075259183412256</v>
      </c>
    </row>
    <row r="15" spans="2:17" x14ac:dyDescent="0.3">
      <c r="B15" s="76"/>
      <c r="C15" s="77"/>
      <c r="D15" s="15" t="s">
        <v>53</v>
      </c>
      <c r="E15" s="18">
        <v>9.4079999999999995</v>
      </c>
      <c r="F15" s="16"/>
      <c r="G15" s="16">
        <f t="shared" ref="G15" si="33">E15+F15+I14</f>
        <v>9.2470000000000052</v>
      </c>
      <c r="H15" s="65">
        <v>8.6690000000000005</v>
      </c>
      <c r="I15" s="16">
        <f t="shared" si="1"/>
        <v>0.57800000000000473</v>
      </c>
      <c r="J15" s="17">
        <f t="shared" si="2"/>
        <v>0.93749324105115128</v>
      </c>
      <c r="K15" s="51">
        <v>44130</v>
      </c>
      <c r="L15" s="84"/>
      <c r="M15" s="84"/>
      <c r="N15" s="84"/>
      <c r="O15" s="84"/>
      <c r="P15" s="84"/>
      <c r="Q15" s="82"/>
    </row>
    <row r="16" spans="2:17" x14ac:dyDescent="0.3">
      <c r="B16" s="76"/>
      <c r="C16" s="75" t="s">
        <v>59</v>
      </c>
      <c r="D16" s="15" t="s">
        <v>52</v>
      </c>
      <c r="E16" s="18">
        <v>26.28</v>
      </c>
      <c r="F16" s="16"/>
      <c r="G16" s="16">
        <f t="shared" ref="G16" si="34">E16+F16</f>
        <v>26.28</v>
      </c>
      <c r="H16" s="65">
        <v>18.954999999999998</v>
      </c>
      <c r="I16" s="16">
        <f t="shared" si="1"/>
        <v>7.3250000000000028</v>
      </c>
      <c r="J16" s="17">
        <f t="shared" si="2"/>
        <v>0.72127092846270924</v>
      </c>
      <c r="K16" s="49" t="s">
        <v>92</v>
      </c>
      <c r="L16" s="83">
        <f t="shared" ref="L16" si="35">E16+E17</f>
        <v>29.220000000000002</v>
      </c>
      <c r="M16" s="83">
        <f t="shared" ref="M16" si="36">F16+F17</f>
        <v>0</v>
      </c>
      <c r="N16" s="83">
        <f t="shared" ref="N16" si="37">L16+M16</f>
        <v>29.220000000000002</v>
      </c>
      <c r="O16" s="83">
        <f t="shared" ref="O16" si="38">H16+H17</f>
        <v>26.298999999999999</v>
      </c>
      <c r="P16" s="83">
        <f t="shared" ref="P16" si="39">N16-O16</f>
        <v>2.9210000000000029</v>
      </c>
      <c r="Q16" s="81">
        <f t="shared" ref="Q16" si="40">O16/N16</f>
        <v>0.90003422313483905</v>
      </c>
    </row>
    <row r="17" spans="2:17" x14ac:dyDescent="0.3">
      <c r="B17" s="77"/>
      <c r="C17" s="77"/>
      <c r="D17" s="15" t="s">
        <v>53</v>
      </c>
      <c r="E17" s="18">
        <v>2.94</v>
      </c>
      <c r="F17" s="16"/>
      <c r="G17" s="16">
        <f t="shared" ref="G17" si="41">E17+F17+I16</f>
        <v>10.265000000000002</v>
      </c>
      <c r="H17" s="65">
        <v>7.3440000000000003</v>
      </c>
      <c r="I17" s="16">
        <f t="shared" si="1"/>
        <v>2.921000000000002</v>
      </c>
      <c r="J17" s="17">
        <f t="shared" si="2"/>
        <v>0.71544081831466133</v>
      </c>
      <c r="K17" s="49" t="s">
        <v>92</v>
      </c>
      <c r="L17" s="84"/>
      <c r="M17" s="84"/>
      <c r="N17" s="84"/>
      <c r="O17" s="84"/>
      <c r="P17" s="84"/>
      <c r="Q17" s="82"/>
    </row>
    <row r="18" spans="2:17" x14ac:dyDescent="0.3">
      <c r="B18" s="15" t="s">
        <v>10</v>
      </c>
      <c r="C18" s="15" t="s">
        <v>111</v>
      </c>
      <c r="D18" s="15" t="s">
        <v>54</v>
      </c>
      <c r="E18" s="18">
        <v>10</v>
      </c>
      <c r="F18" s="16"/>
      <c r="G18" s="16">
        <f>E18+F18</f>
        <v>10</v>
      </c>
      <c r="H18" s="65"/>
      <c r="I18" s="16">
        <f>G18-H18</f>
        <v>10</v>
      </c>
      <c r="J18" s="17">
        <f>H18/G18</f>
        <v>0</v>
      </c>
      <c r="K18" s="49" t="s">
        <v>92</v>
      </c>
      <c r="L18" s="16">
        <f>E18</f>
        <v>10</v>
      </c>
      <c r="M18" s="16">
        <f t="shared" ref="M18:Q18" si="42">F18</f>
        <v>0</v>
      </c>
      <c r="N18" s="16">
        <f t="shared" si="42"/>
        <v>10</v>
      </c>
      <c r="O18" s="16">
        <f t="shared" si="42"/>
        <v>0</v>
      </c>
      <c r="P18" s="16">
        <f t="shared" si="42"/>
        <v>10</v>
      </c>
      <c r="Q18" s="16">
        <f t="shared" si="42"/>
        <v>0</v>
      </c>
    </row>
    <row r="19" spans="2:17" x14ac:dyDescent="0.3">
      <c r="B19" s="78" t="s">
        <v>13</v>
      </c>
      <c r="C19" s="79"/>
      <c r="D19" s="13" t="s">
        <v>54</v>
      </c>
      <c r="E19" s="28">
        <f>SUM(E6:E18)</f>
        <v>507.00000000000006</v>
      </c>
      <c r="F19" s="29">
        <f>SUM(F6:F18)</f>
        <v>-29.867000000000004</v>
      </c>
      <c r="G19" s="29">
        <f>E19+F19</f>
        <v>477.13300000000004</v>
      </c>
      <c r="H19" s="29">
        <f>SUM(H6:H18)</f>
        <v>445.73899999999998</v>
      </c>
      <c r="I19" s="29">
        <f>G19-H19</f>
        <v>31.394000000000062</v>
      </c>
      <c r="J19" s="30">
        <f>H19/G19</f>
        <v>0.93420283233396129</v>
      </c>
      <c r="K19" s="50" t="s">
        <v>92</v>
      </c>
      <c r="L19" s="29">
        <f>SUM(L6:L18)</f>
        <v>507.00000000000006</v>
      </c>
      <c r="M19" s="29">
        <f>SUM(M6:M18)</f>
        <v>-29.867000000000004</v>
      </c>
      <c r="N19" s="29">
        <f>L19+M19</f>
        <v>477.13300000000004</v>
      </c>
      <c r="O19" s="29">
        <f>SUM(O6:O18)</f>
        <v>445.73899999999998</v>
      </c>
      <c r="P19" s="29">
        <f>N19-O19</f>
        <v>31.394000000000062</v>
      </c>
      <c r="Q19" s="30">
        <f>O19/N19</f>
        <v>0.93420283233396129</v>
      </c>
    </row>
    <row r="20" spans="2:17" x14ac:dyDescent="0.3">
      <c r="E20" s="25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3" priority="1" operator="greaterThan">
      <formula>95%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N15"/>
  <sheetViews>
    <sheetView showGridLines="0" workbookViewId="0">
      <selection activeCell="J21" sqref="J21"/>
    </sheetView>
  </sheetViews>
  <sheetFormatPr baseColWidth="10" defaultRowHeight="14.4" x14ac:dyDescent="0.3"/>
  <cols>
    <col min="1" max="1" width="18.109375" customWidth="1"/>
    <col min="2" max="2" width="12.44140625" bestFit="1" customWidth="1"/>
    <col min="3" max="3" width="18.33203125" bestFit="1" customWidth="1"/>
    <col min="4" max="4" width="21.5546875" bestFit="1" customWidth="1"/>
    <col min="5" max="5" width="11" bestFit="1" customWidth="1"/>
    <col min="6" max="6" width="12.6640625" bestFit="1" customWidth="1"/>
    <col min="7" max="8" width="11" bestFit="1" customWidth="1"/>
    <col min="9" max="9" width="12" bestFit="1" customWidth="1"/>
    <col min="10" max="10" width="12.6640625" bestFit="1" customWidth="1"/>
    <col min="11" max="11" width="9.109375" bestFit="1" customWidth="1"/>
    <col min="12" max="12" width="10.109375" bestFit="1" customWidth="1"/>
    <col min="13" max="13" width="10.88671875" bestFit="1" customWidth="1"/>
    <col min="14" max="14" width="8.6640625" bestFit="1" customWidth="1"/>
  </cols>
  <sheetData>
    <row r="4" spans="2:14" x14ac:dyDescent="0.3">
      <c r="B4" s="95" t="s">
        <v>116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2:14" x14ac:dyDescent="0.3">
      <c r="B5" s="91">
        <f>'RESUMEN '!B3:J3</f>
        <v>44200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2:14" x14ac:dyDescent="0.3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x14ac:dyDescent="0.3">
      <c r="B7" s="60" t="s">
        <v>117</v>
      </c>
      <c r="C7" s="60" t="s">
        <v>118</v>
      </c>
      <c r="D7" s="60" t="s">
        <v>119</v>
      </c>
      <c r="E7" s="60" t="s">
        <v>127</v>
      </c>
      <c r="F7" s="60" t="s">
        <v>128</v>
      </c>
      <c r="G7" s="60" t="s">
        <v>129</v>
      </c>
      <c r="H7" s="60" t="s">
        <v>130</v>
      </c>
      <c r="I7" s="60" t="s">
        <v>131</v>
      </c>
      <c r="J7" s="60" t="s">
        <v>120</v>
      </c>
      <c r="K7" s="60" t="s">
        <v>132</v>
      </c>
      <c r="L7" s="60" t="s">
        <v>133</v>
      </c>
      <c r="M7" s="60" t="s">
        <v>134</v>
      </c>
      <c r="N7" s="60" t="s">
        <v>121</v>
      </c>
    </row>
    <row r="8" spans="2:14" x14ac:dyDescent="0.3">
      <c r="B8" s="80" t="s">
        <v>122</v>
      </c>
      <c r="C8" s="57" t="s">
        <v>56</v>
      </c>
      <c r="D8" s="57" t="s">
        <v>123</v>
      </c>
      <c r="E8" s="94">
        <v>28</v>
      </c>
      <c r="F8" s="94">
        <v>35</v>
      </c>
      <c r="G8" s="94">
        <f>E8+F8</f>
        <v>63</v>
      </c>
      <c r="H8" s="65">
        <v>27.98</v>
      </c>
      <c r="I8" s="18"/>
      <c r="J8" s="94">
        <f>H11+I11</f>
        <v>59.442</v>
      </c>
      <c r="K8" s="94">
        <f>E11-H11</f>
        <v>-3</v>
      </c>
      <c r="L8" s="94">
        <f>F11-I11</f>
        <v>6.5579999999999998</v>
      </c>
      <c r="M8" s="94">
        <f>G11-J11</f>
        <v>3.5579999999999998</v>
      </c>
      <c r="N8" s="98">
        <f>J11/G11</f>
        <v>0.94352380952380954</v>
      </c>
    </row>
    <row r="9" spans="2:14" x14ac:dyDescent="0.3">
      <c r="B9" s="80"/>
      <c r="C9" s="57" t="s">
        <v>124</v>
      </c>
      <c r="D9" s="57" t="s">
        <v>123</v>
      </c>
      <c r="E9" s="94"/>
      <c r="F9" s="94"/>
      <c r="G9" s="94"/>
      <c r="H9" s="65">
        <v>3.02</v>
      </c>
      <c r="I9" s="65">
        <v>17.975000000000001</v>
      </c>
      <c r="J9" s="94"/>
      <c r="K9" s="94"/>
      <c r="L9" s="94"/>
      <c r="M9" s="94"/>
      <c r="N9" s="98"/>
    </row>
    <row r="10" spans="2:14" x14ac:dyDescent="0.3">
      <c r="B10" s="80"/>
      <c r="C10" s="57" t="s">
        <v>125</v>
      </c>
      <c r="D10" s="57" t="s">
        <v>126</v>
      </c>
      <c r="E10" s="94"/>
      <c r="F10" s="94"/>
      <c r="G10" s="94"/>
      <c r="H10" s="18"/>
      <c r="I10" s="65">
        <v>10.467000000000001</v>
      </c>
      <c r="J10" s="94"/>
      <c r="K10" s="94"/>
      <c r="L10" s="94"/>
      <c r="M10" s="94"/>
      <c r="N10" s="98"/>
    </row>
    <row r="11" spans="2:14" x14ac:dyDescent="0.3">
      <c r="B11" s="80"/>
      <c r="C11" s="78" t="s">
        <v>60</v>
      </c>
      <c r="D11" s="79"/>
      <c r="E11" s="29">
        <f>E8</f>
        <v>28</v>
      </c>
      <c r="F11" s="29">
        <f>F8</f>
        <v>35</v>
      </c>
      <c r="G11" s="29">
        <f>G8</f>
        <v>63</v>
      </c>
      <c r="H11" s="29">
        <f>H8+H9+H10</f>
        <v>31</v>
      </c>
      <c r="I11" s="29">
        <f>I8+I9+I10</f>
        <v>28.442</v>
      </c>
      <c r="J11" s="29">
        <f>J8</f>
        <v>59.442</v>
      </c>
      <c r="K11" s="29">
        <f>K8</f>
        <v>-3</v>
      </c>
      <c r="L11" s="29">
        <f>L8</f>
        <v>6.5579999999999998</v>
      </c>
      <c r="M11" s="29">
        <f>M8</f>
        <v>3.5579999999999998</v>
      </c>
      <c r="N11" s="52">
        <f>N8</f>
        <v>0.94352380952380954</v>
      </c>
    </row>
    <row r="13" spans="2:14" x14ac:dyDescent="0.3">
      <c r="B13" s="61" t="s">
        <v>117</v>
      </c>
      <c r="C13" s="61" t="s">
        <v>118</v>
      </c>
      <c r="D13" s="61" t="s">
        <v>119</v>
      </c>
      <c r="E13" s="61" t="s">
        <v>129</v>
      </c>
      <c r="F13" s="61" t="s">
        <v>120</v>
      </c>
      <c r="G13" s="61" t="s">
        <v>134</v>
      </c>
      <c r="H13" s="61" t="s">
        <v>121</v>
      </c>
    </row>
    <row r="14" spans="2:14" x14ac:dyDescent="0.3">
      <c r="B14" s="75" t="s">
        <v>135</v>
      </c>
      <c r="C14" s="57" t="s">
        <v>92</v>
      </c>
      <c r="D14" s="57" t="s">
        <v>92</v>
      </c>
      <c r="E14" s="57">
        <v>1.4999999999999999E-2</v>
      </c>
      <c r="F14" s="66">
        <v>2E-3</v>
      </c>
      <c r="G14" s="57">
        <f>E14-F14</f>
        <v>1.2999999999999999E-2</v>
      </c>
      <c r="H14" s="58">
        <f>F14/E14</f>
        <v>0.13333333333333333</v>
      </c>
    </row>
    <row r="15" spans="2:14" x14ac:dyDescent="0.3">
      <c r="B15" s="77"/>
      <c r="C15" s="78" t="s">
        <v>60</v>
      </c>
      <c r="D15" s="79"/>
      <c r="E15" s="57">
        <v>1.4999999999999999E-2</v>
      </c>
      <c r="F15" s="57">
        <v>2E-3</v>
      </c>
      <c r="G15" s="57">
        <f>E15-F15</f>
        <v>1.2999999999999999E-2</v>
      </c>
      <c r="H15" s="58">
        <f>F15/E15</f>
        <v>0.13333333333333333</v>
      </c>
    </row>
  </sheetData>
  <mergeCells count="14">
    <mergeCell ref="B4:N4"/>
    <mergeCell ref="E8:E10"/>
    <mergeCell ref="J8:J10"/>
    <mergeCell ref="M8:M10"/>
    <mergeCell ref="N8:N10"/>
    <mergeCell ref="K8:K10"/>
    <mergeCell ref="L8:L10"/>
    <mergeCell ref="B8:B11"/>
    <mergeCell ref="B14:B15"/>
    <mergeCell ref="C15:D15"/>
    <mergeCell ref="B5:N5"/>
    <mergeCell ref="C11:D11"/>
    <mergeCell ref="F8:F10"/>
    <mergeCell ref="G8:G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50"/>
  <sheetViews>
    <sheetView showGridLines="0" topLeftCell="D1" workbookViewId="0">
      <selection activeCell="D17" sqref="D17"/>
    </sheetView>
  </sheetViews>
  <sheetFormatPr baseColWidth="10" defaultColWidth="11.44140625" defaultRowHeight="12" x14ac:dyDescent="0.3"/>
  <cols>
    <col min="1" max="1" width="11.44140625" style="14"/>
    <col min="2" max="2" width="20.88671875" style="14" bestFit="1" customWidth="1"/>
    <col min="3" max="3" width="33" style="14" bestFit="1" customWidth="1"/>
    <col min="4" max="4" width="7.5546875" style="14" bestFit="1" customWidth="1"/>
    <col min="5" max="5" width="19" style="14" bestFit="1" customWidth="1"/>
    <col min="6" max="6" width="15.5546875" style="14" bestFit="1" customWidth="1"/>
    <col min="7" max="7" width="18" style="14" bestFit="1" customWidth="1"/>
    <col min="8" max="8" width="12.44140625" style="14" bestFit="1" customWidth="1"/>
    <col min="9" max="9" width="10.5546875" style="14" bestFit="1" customWidth="1"/>
    <col min="10" max="10" width="12" style="14" bestFit="1" customWidth="1"/>
    <col min="11" max="11" width="19" style="14" bestFit="1" customWidth="1"/>
    <col min="12" max="12" width="15.5546875" style="14" bestFit="1" customWidth="1"/>
    <col min="13" max="13" width="18" style="14" bestFit="1" customWidth="1"/>
    <col min="14" max="14" width="12.44140625" style="14" bestFit="1" customWidth="1"/>
    <col min="15" max="15" width="10.5546875" style="14" bestFit="1" customWidth="1"/>
    <col min="16" max="16" width="10.44140625" style="14" bestFit="1" customWidth="1"/>
    <col min="17" max="16384" width="11.44140625" style="14"/>
  </cols>
  <sheetData>
    <row r="2" spans="2:16" x14ac:dyDescent="0.3">
      <c r="B2" s="100" t="s">
        <v>103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2:16" x14ac:dyDescent="0.3">
      <c r="B3" s="103">
        <f>'RESUMEN '!B3:J3</f>
        <v>44200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</row>
    <row r="5" spans="2:16" x14ac:dyDescent="0.3">
      <c r="B5" s="31" t="s">
        <v>0</v>
      </c>
      <c r="C5" s="31" t="s">
        <v>23</v>
      </c>
      <c r="D5" s="31" t="s">
        <v>18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2" t="s">
        <v>7</v>
      </c>
      <c r="K5" s="31" t="s">
        <v>2</v>
      </c>
      <c r="L5" s="31" t="s">
        <v>3</v>
      </c>
      <c r="M5" s="31" t="s">
        <v>4</v>
      </c>
      <c r="N5" s="31" t="s">
        <v>5</v>
      </c>
      <c r="O5" s="31" t="s">
        <v>6</v>
      </c>
      <c r="P5" s="31" t="s">
        <v>20</v>
      </c>
    </row>
    <row r="6" spans="2:16" x14ac:dyDescent="0.3">
      <c r="B6" s="107" t="s">
        <v>50</v>
      </c>
      <c r="C6" s="80" t="s">
        <v>24</v>
      </c>
      <c r="D6" s="15" t="s">
        <v>52</v>
      </c>
      <c r="E6" s="18">
        <f>29.92323+0.8775+0.8775+0.18+1.2825</f>
        <v>33.140730000000005</v>
      </c>
      <c r="F6" s="19"/>
      <c r="G6" s="16">
        <f>E6+F6</f>
        <v>33.140730000000005</v>
      </c>
      <c r="H6" s="66"/>
      <c r="I6" s="16">
        <f>G6-H6</f>
        <v>33.140730000000005</v>
      </c>
      <c r="J6" s="17">
        <f>H6/G6</f>
        <v>0</v>
      </c>
      <c r="K6" s="94">
        <f>E6+E7</f>
        <v>36.823030000000003</v>
      </c>
      <c r="L6" s="94">
        <f>F6+F7</f>
        <v>0</v>
      </c>
      <c r="M6" s="94">
        <f>K6+L6</f>
        <v>36.823030000000003</v>
      </c>
      <c r="N6" s="94">
        <f>H6+H7</f>
        <v>35.712000000000003</v>
      </c>
      <c r="O6" s="94">
        <f>M6-N6</f>
        <v>1.1110299999999995</v>
      </c>
      <c r="P6" s="99">
        <f>N6/M6</f>
        <v>0.96982784958217727</v>
      </c>
    </row>
    <row r="7" spans="2:16" x14ac:dyDescent="0.3">
      <c r="B7" s="107"/>
      <c r="C7" s="80"/>
      <c r="D7" s="15" t="s">
        <v>53</v>
      </c>
      <c r="E7" s="18">
        <f>3.3248+0.0975+0.0975+0.02+0.1425</f>
        <v>3.6823000000000006</v>
      </c>
      <c r="F7" s="19"/>
      <c r="G7" s="16">
        <f>E7+F7+I6</f>
        <v>36.823030000000003</v>
      </c>
      <c r="H7" s="66">
        <v>35.712000000000003</v>
      </c>
      <c r="I7" s="16">
        <f>G7-H7</f>
        <v>1.1110299999999995</v>
      </c>
      <c r="J7" s="17">
        <f>H7/G7</f>
        <v>0.96982784958217727</v>
      </c>
      <c r="K7" s="94"/>
      <c r="L7" s="94"/>
      <c r="M7" s="94"/>
      <c r="N7" s="94"/>
      <c r="O7" s="94"/>
      <c r="P7" s="99"/>
    </row>
    <row r="8" spans="2:16" x14ac:dyDescent="0.3">
      <c r="B8" s="107"/>
      <c r="C8" s="80" t="s">
        <v>25</v>
      </c>
      <c r="D8" s="15" t="s">
        <v>52</v>
      </c>
      <c r="E8" s="18">
        <f>2.15598+0.52769+0.23909+2.48868+0.5805</f>
        <v>5.9919400000000005</v>
      </c>
      <c r="F8" s="19"/>
      <c r="G8" s="16">
        <f t="shared" ref="G8" si="0">E8+F8</f>
        <v>5.9919400000000005</v>
      </c>
      <c r="H8" s="66"/>
      <c r="I8" s="16">
        <f t="shared" ref="I8:I49" si="1">G8-H8</f>
        <v>5.9919400000000005</v>
      </c>
      <c r="J8" s="17">
        <f t="shared" ref="J8:J49" si="2">H8/G8</f>
        <v>0</v>
      </c>
      <c r="K8" s="94">
        <f t="shared" ref="K8" si="3">E8+E9</f>
        <v>6.6577100000000007</v>
      </c>
      <c r="L8" s="94">
        <f t="shared" ref="L8" si="4">F8+F9</f>
        <v>0</v>
      </c>
      <c r="M8" s="94">
        <f t="shared" ref="M8" si="5">K8+L8</f>
        <v>6.6577100000000007</v>
      </c>
      <c r="N8" s="94">
        <f t="shared" ref="N8" si="6">H8+H9</f>
        <v>0</v>
      </c>
      <c r="O8" s="94">
        <f t="shared" ref="O8" si="7">M8-N8</f>
        <v>6.6577100000000007</v>
      </c>
      <c r="P8" s="99">
        <f t="shared" ref="P8" si="8">N8/M8</f>
        <v>0</v>
      </c>
    </row>
    <row r="9" spans="2:16" x14ac:dyDescent="0.3">
      <c r="B9" s="107"/>
      <c r="C9" s="80"/>
      <c r="D9" s="15" t="s">
        <v>53</v>
      </c>
      <c r="E9" s="18">
        <f>0.23955+0.05863+0.02657+0.27652+0.0645</f>
        <v>0.66576999999999997</v>
      </c>
      <c r="F9" s="19"/>
      <c r="G9" s="16">
        <f t="shared" ref="G9" si="9">E9+F9+I8</f>
        <v>6.6577100000000007</v>
      </c>
      <c r="H9" s="66"/>
      <c r="I9" s="16">
        <f t="shared" si="1"/>
        <v>6.6577100000000007</v>
      </c>
      <c r="J9" s="17">
        <f t="shared" si="2"/>
        <v>0</v>
      </c>
      <c r="K9" s="94"/>
      <c r="L9" s="94"/>
      <c r="M9" s="94"/>
      <c r="N9" s="94"/>
      <c r="O9" s="94"/>
      <c r="P9" s="99"/>
    </row>
    <row r="10" spans="2:16" x14ac:dyDescent="0.3">
      <c r="B10" s="107"/>
      <c r="C10" s="80" t="s">
        <v>26</v>
      </c>
      <c r="D10" s="15" t="s">
        <v>52</v>
      </c>
      <c r="E10" s="18">
        <f>0.0027</f>
        <v>2.7000000000000001E-3</v>
      </c>
      <c r="F10" s="19"/>
      <c r="G10" s="16">
        <f t="shared" ref="G10" si="10">E10+F10</f>
        <v>2.7000000000000001E-3</v>
      </c>
      <c r="H10" s="66"/>
      <c r="I10" s="16">
        <f t="shared" si="1"/>
        <v>2.7000000000000001E-3</v>
      </c>
      <c r="J10" s="17">
        <f t="shared" si="2"/>
        <v>0</v>
      </c>
      <c r="K10" s="94">
        <f t="shared" ref="K10" si="11">E10+E11</f>
        <v>3.0000000000000001E-3</v>
      </c>
      <c r="L10" s="94">
        <f t="shared" ref="L10" si="12">F10+F11</f>
        <v>0</v>
      </c>
      <c r="M10" s="94">
        <f t="shared" ref="M10" si="13">K10+L10</f>
        <v>3.0000000000000001E-3</v>
      </c>
      <c r="N10" s="94">
        <f t="shared" ref="N10" si="14">H10+H11</f>
        <v>0</v>
      </c>
      <c r="O10" s="94">
        <f t="shared" ref="O10" si="15">M10-N10</f>
        <v>3.0000000000000001E-3</v>
      </c>
      <c r="P10" s="99">
        <f t="shared" ref="P10" si="16">N10/M10</f>
        <v>0</v>
      </c>
    </row>
    <row r="11" spans="2:16" x14ac:dyDescent="0.3">
      <c r="B11" s="107"/>
      <c r="C11" s="80"/>
      <c r="D11" s="15" t="s">
        <v>53</v>
      </c>
      <c r="E11" s="18">
        <f>0.0003</f>
        <v>2.9999999999999997E-4</v>
      </c>
      <c r="F11" s="19"/>
      <c r="G11" s="16">
        <f t="shared" ref="G11" si="17">E11+F11+I10</f>
        <v>3.0000000000000001E-3</v>
      </c>
      <c r="H11" s="66"/>
      <c r="I11" s="16">
        <f t="shared" si="1"/>
        <v>3.0000000000000001E-3</v>
      </c>
      <c r="J11" s="17">
        <f t="shared" si="2"/>
        <v>0</v>
      </c>
      <c r="K11" s="94"/>
      <c r="L11" s="94"/>
      <c r="M11" s="94"/>
      <c r="N11" s="94"/>
      <c r="O11" s="94"/>
      <c r="P11" s="99"/>
    </row>
    <row r="12" spans="2:16" x14ac:dyDescent="0.3">
      <c r="B12" s="107"/>
      <c r="C12" s="80" t="s">
        <v>27</v>
      </c>
      <c r="D12" s="15" t="s">
        <v>52</v>
      </c>
      <c r="E12" s="18">
        <f>31.16036+0.6975+0.0234+0.2871+1.0125+1.2825</f>
        <v>34.463360000000002</v>
      </c>
      <c r="F12" s="19"/>
      <c r="G12" s="16">
        <f t="shared" ref="G12" si="18">E12+F12</f>
        <v>34.463360000000002</v>
      </c>
      <c r="H12" s="66"/>
      <c r="I12" s="16">
        <f t="shared" si="1"/>
        <v>34.463360000000002</v>
      </c>
      <c r="J12" s="17">
        <f t="shared" si="2"/>
        <v>0</v>
      </c>
      <c r="K12" s="94">
        <f t="shared" ref="K12" si="19">E12+E13</f>
        <v>38.292619999999999</v>
      </c>
      <c r="L12" s="94">
        <f t="shared" ref="L12" si="20">F12+F13</f>
        <v>0</v>
      </c>
      <c r="M12" s="94">
        <f t="shared" ref="M12" si="21">K12+L12</f>
        <v>38.292619999999999</v>
      </c>
      <c r="N12" s="94">
        <f t="shared" ref="N12" si="22">H12+H13</f>
        <v>0</v>
      </c>
      <c r="O12" s="94">
        <f t="shared" ref="O12" si="23">M12-N12</f>
        <v>38.292619999999999</v>
      </c>
      <c r="P12" s="99">
        <f t="shared" ref="P12" si="24">N12/M12</f>
        <v>0</v>
      </c>
    </row>
    <row r="13" spans="2:16" x14ac:dyDescent="0.3">
      <c r="B13" s="107"/>
      <c r="C13" s="80"/>
      <c r="D13" s="15" t="s">
        <v>53</v>
      </c>
      <c r="E13" s="18">
        <f>3.46226+0.0775+0.0026+0.0319+0.1125+0.1425</f>
        <v>3.8292600000000001</v>
      </c>
      <c r="F13" s="19"/>
      <c r="G13" s="16">
        <f t="shared" ref="G13" si="25">E13+F13+I12</f>
        <v>38.292619999999999</v>
      </c>
      <c r="H13" s="66"/>
      <c r="I13" s="16">
        <f t="shared" si="1"/>
        <v>38.292619999999999</v>
      </c>
      <c r="J13" s="17">
        <f t="shared" si="2"/>
        <v>0</v>
      </c>
      <c r="K13" s="94"/>
      <c r="L13" s="94"/>
      <c r="M13" s="94"/>
      <c r="N13" s="94"/>
      <c r="O13" s="94"/>
      <c r="P13" s="99"/>
    </row>
    <row r="14" spans="2:16" x14ac:dyDescent="0.3">
      <c r="B14" s="107"/>
      <c r="C14" s="80" t="s">
        <v>30</v>
      </c>
      <c r="D14" s="15" t="s">
        <v>52</v>
      </c>
      <c r="E14" s="18">
        <f>0.01558</f>
        <v>1.558E-2</v>
      </c>
      <c r="F14" s="19"/>
      <c r="G14" s="16">
        <f t="shared" ref="G14" si="26">E14+F14</f>
        <v>1.558E-2</v>
      </c>
      <c r="H14" s="66"/>
      <c r="I14" s="16">
        <f t="shared" si="1"/>
        <v>1.558E-2</v>
      </c>
      <c r="J14" s="17">
        <f t="shared" si="2"/>
        <v>0</v>
      </c>
      <c r="K14" s="94">
        <f t="shared" ref="K14" si="27">E14+E15</f>
        <v>1.7309999999999999E-2</v>
      </c>
      <c r="L14" s="94">
        <f t="shared" ref="L14" si="28">F14+F15</f>
        <v>0</v>
      </c>
      <c r="M14" s="94">
        <f t="shared" ref="M14" si="29">K14+L14</f>
        <v>1.7309999999999999E-2</v>
      </c>
      <c r="N14" s="94">
        <f t="shared" ref="N14" si="30">H14+H15</f>
        <v>0</v>
      </c>
      <c r="O14" s="94">
        <f t="shared" ref="O14" si="31">M14-N14</f>
        <v>1.7309999999999999E-2</v>
      </c>
      <c r="P14" s="99">
        <f t="shared" ref="P14" si="32">N14/M14</f>
        <v>0</v>
      </c>
    </row>
    <row r="15" spans="2:16" x14ac:dyDescent="0.3">
      <c r="B15" s="107"/>
      <c r="C15" s="80"/>
      <c r="D15" s="15" t="s">
        <v>53</v>
      </c>
      <c r="E15" s="18">
        <f>0.00173</f>
        <v>1.73E-3</v>
      </c>
      <c r="F15" s="19"/>
      <c r="G15" s="16">
        <f t="shared" ref="G15" si="33">E15+F15+I14</f>
        <v>1.7309999999999999E-2</v>
      </c>
      <c r="H15" s="66"/>
      <c r="I15" s="16">
        <f t="shared" si="1"/>
        <v>1.7309999999999999E-2</v>
      </c>
      <c r="J15" s="17">
        <f t="shared" si="2"/>
        <v>0</v>
      </c>
      <c r="K15" s="94"/>
      <c r="L15" s="94"/>
      <c r="M15" s="94"/>
      <c r="N15" s="94"/>
      <c r="O15" s="94"/>
      <c r="P15" s="99"/>
    </row>
    <row r="16" spans="2:16" x14ac:dyDescent="0.3">
      <c r="B16" s="107"/>
      <c r="C16" s="80" t="s">
        <v>31</v>
      </c>
      <c r="D16" s="15" t="s">
        <v>52</v>
      </c>
      <c r="E16" s="18">
        <f>3.94835+1.98+1.94955+0.2025+0.81+0.6345</f>
        <v>9.5249000000000006</v>
      </c>
      <c r="F16" s="19"/>
      <c r="G16" s="16">
        <f t="shared" ref="G16" si="34">E16+F16</f>
        <v>9.5249000000000006</v>
      </c>
      <c r="H16" s="66"/>
      <c r="I16" s="16">
        <f t="shared" si="1"/>
        <v>9.5249000000000006</v>
      </c>
      <c r="J16" s="17">
        <f t="shared" si="2"/>
        <v>0</v>
      </c>
      <c r="K16" s="94">
        <f t="shared" ref="K16" si="35">E16+E17</f>
        <v>10.58323</v>
      </c>
      <c r="L16" s="94">
        <f t="shared" ref="L16" si="36">F16+F17</f>
        <v>0</v>
      </c>
      <c r="M16" s="94">
        <f t="shared" ref="M16" si="37">K16+L16</f>
        <v>10.58323</v>
      </c>
      <c r="N16" s="94">
        <f t="shared" ref="N16" si="38">H16+H17</f>
        <v>0</v>
      </c>
      <c r="O16" s="94">
        <f t="shared" ref="O16" si="39">M16-N16</f>
        <v>10.58323</v>
      </c>
      <c r="P16" s="99">
        <f t="shared" ref="P16" si="40">N16/M16</f>
        <v>0</v>
      </c>
    </row>
    <row r="17" spans="2:16" x14ac:dyDescent="0.3">
      <c r="B17" s="107"/>
      <c r="C17" s="80"/>
      <c r="D17" s="15" t="s">
        <v>53</v>
      </c>
      <c r="E17" s="18">
        <f>0.43871+0.22+0.21662+0.0225+0.09+0.0705</f>
        <v>1.05833</v>
      </c>
      <c r="F17" s="19"/>
      <c r="G17" s="16">
        <f t="shared" ref="G17" si="41">E17+F17+I16</f>
        <v>10.58323</v>
      </c>
      <c r="H17" s="66"/>
      <c r="I17" s="16">
        <f t="shared" si="1"/>
        <v>10.58323</v>
      </c>
      <c r="J17" s="17">
        <f t="shared" si="2"/>
        <v>0</v>
      </c>
      <c r="K17" s="94"/>
      <c r="L17" s="94"/>
      <c r="M17" s="94"/>
      <c r="N17" s="94"/>
      <c r="O17" s="94"/>
      <c r="P17" s="99"/>
    </row>
    <row r="18" spans="2:16" x14ac:dyDescent="0.3">
      <c r="B18" s="107"/>
      <c r="C18" s="80" t="s">
        <v>49</v>
      </c>
      <c r="D18" s="15" t="s">
        <v>52</v>
      </c>
      <c r="E18" s="18">
        <f>0.00901</f>
        <v>9.0100000000000006E-3</v>
      </c>
      <c r="F18" s="19"/>
      <c r="G18" s="16">
        <f t="shared" ref="G18" si="42">E18+F18</f>
        <v>9.0100000000000006E-3</v>
      </c>
      <c r="H18" s="66"/>
      <c r="I18" s="16">
        <f t="shared" si="1"/>
        <v>9.0100000000000006E-3</v>
      </c>
      <c r="J18" s="17">
        <f t="shared" si="2"/>
        <v>0</v>
      </c>
      <c r="K18" s="94">
        <f t="shared" ref="K18" si="43">E18+E19</f>
        <v>1.0010000000000002E-2</v>
      </c>
      <c r="L18" s="94">
        <f t="shared" ref="L18" si="44">F18+F19</f>
        <v>0</v>
      </c>
      <c r="M18" s="94">
        <f t="shared" ref="M18" si="45">K18+L18</f>
        <v>1.0010000000000002E-2</v>
      </c>
      <c r="N18" s="94">
        <f t="shared" ref="N18" si="46">H18+H19</f>
        <v>0</v>
      </c>
      <c r="O18" s="94">
        <f t="shared" ref="O18" si="47">M18-N18</f>
        <v>1.0010000000000002E-2</v>
      </c>
      <c r="P18" s="99">
        <f t="shared" ref="P18" si="48">N18/M18</f>
        <v>0</v>
      </c>
    </row>
    <row r="19" spans="2:16" x14ac:dyDescent="0.3">
      <c r="B19" s="107"/>
      <c r="C19" s="80"/>
      <c r="D19" s="15" t="s">
        <v>53</v>
      </c>
      <c r="E19" s="18">
        <f>0.001</f>
        <v>1E-3</v>
      </c>
      <c r="F19" s="19"/>
      <c r="G19" s="16">
        <f t="shared" ref="G19" si="49">E19+F19+I18</f>
        <v>1.0010000000000002E-2</v>
      </c>
      <c r="H19" s="66"/>
      <c r="I19" s="16">
        <f t="shared" si="1"/>
        <v>1.0010000000000002E-2</v>
      </c>
      <c r="J19" s="17">
        <f t="shared" si="2"/>
        <v>0</v>
      </c>
      <c r="K19" s="94"/>
      <c r="L19" s="94"/>
      <c r="M19" s="94"/>
      <c r="N19" s="94"/>
      <c r="O19" s="94"/>
      <c r="P19" s="99"/>
    </row>
    <row r="20" spans="2:16" x14ac:dyDescent="0.3">
      <c r="B20" s="107"/>
      <c r="C20" s="80" t="s">
        <v>34</v>
      </c>
      <c r="D20" s="15" t="s">
        <v>52</v>
      </c>
      <c r="E20" s="18">
        <f>0.00181</f>
        <v>1.81E-3</v>
      </c>
      <c r="F20" s="19"/>
      <c r="G20" s="16">
        <f t="shared" ref="G20" si="50">E20+F20</f>
        <v>1.81E-3</v>
      </c>
      <c r="H20" s="66"/>
      <c r="I20" s="16">
        <f t="shared" si="1"/>
        <v>1.81E-3</v>
      </c>
      <c r="J20" s="17">
        <f t="shared" si="2"/>
        <v>0</v>
      </c>
      <c r="K20" s="94">
        <f t="shared" ref="K20" si="51">E20+E21</f>
        <v>2.0100000000000001E-3</v>
      </c>
      <c r="L20" s="94">
        <f t="shared" ref="L20" si="52">F20+F21</f>
        <v>0</v>
      </c>
      <c r="M20" s="94">
        <f t="shared" ref="M20" si="53">K20+L20</f>
        <v>2.0100000000000001E-3</v>
      </c>
      <c r="N20" s="94">
        <f t="shared" ref="N20" si="54">H20+H21</f>
        <v>0</v>
      </c>
      <c r="O20" s="94">
        <f t="shared" ref="O20" si="55">M20-N20</f>
        <v>2.0100000000000001E-3</v>
      </c>
      <c r="P20" s="99">
        <f t="shared" ref="P20" si="56">N20/M20</f>
        <v>0</v>
      </c>
    </row>
    <row r="21" spans="2:16" x14ac:dyDescent="0.3">
      <c r="B21" s="107"/>
      <c r="C21" s="80"/>
      <c r="D21" s="15" t="s">
        <v>53</v>
      </c>
      <c r="E21" s="18">
        <f>0.0002</f>
        <v>2.0000000000000001E-4</v>
      </c>
      <c r="F21" s="19"/>
      <c r="G21" s="16">
        <f t="shared" ref="G21" si="57">E21+F21+I20</f>
        <v>2.0100000000000001E-3</v>
      </c>
      <c r="H21" s="66"/>
      <c r="I21" s="16">
        <f t="shared" si="1"/>
        <v>2.0100000000000001E-3</v>
      </c>
      <c r="J21" s="17">
        <f t="shared" si="2"/>
        <v>0</v>
      </c>
      <c r="K21" s="94"/>
      <c r="L21" s="94"/>
      <c r="M21" s="94"/>
      <c r="N21" s="94"/>
      <c r="O21" s="94"/>
      <c r="P21" s="99"/>
    </row>
    <row r="22" spans="2:16" x14ac:dyDescent="0.3">
      <c r="B22" s="107"/>
      <c r="C22" s="80" t="s">
        <v>33</v>
      </c>
      <c r="D22" s="15" t="s">
        <v>52</v>
      </c>
      <c r="E22" s="18">
        <f>0.0054</f>
        <v>5.4000000000000003E-3</v>
      </c>
      <c r="F22" s="19"/>
      <c r="G22" s="16">
        <f t="shared" ref="G22" si="58">E22+F22</f>
        <v>5.4000000000000003E-3</v>
      </c>
      <c r="H22" s="66"/>
      <c r="I22" s="16">
        <f t="shared" si="1"/>
        <v>5.4000000000000003E-3</v>
      </c>
      <c r="J22" s="17">
        <f t="shared" si="2"/>
        <v>0</v>
      </c>
      <c r="K22" s="94">
        <f t="shared" ref="K22" si="59">E22+E23</f>
        <v>6.0000000000000001E-3</v>
      </c>
      <c r="L22" s="94">
        <f t="shared" ref="L22" si="60">F22+F23</f>
        <v>0</v>
      </c>
      <c r="M22" s="94">
        <f t="shared" ref="M22" si="61">K22+L22</f>
        <v>6.0000000000000001E-3</v>
      </c>
      <c r="N22" s="94">
        <f t="shared" ref="N22" si="62">H22+H23</f>
        <v>0</v>
      </c>
      <c r="O22" s="94">
        <f t="shared" ref="O22" si="63">M22-N22</f>
        <v>6.0000000000000001E-3</v>
      </c>
      <c r="P22" s="99">
        <f t="shared" ref="P22" si="64">N22/M22</f>
        <v>0</v>
      </c>
    </row>
    <row r="23" spans="2:16" x14ac:dyDescent="0.3">
      <c r="B23" s="107"/>
      <c r="C23" s="80"/>
      <c r="D23" s="15" t="s">
        <v>53</v>
      </c>
      <c r="E23" s="18">
        <f>0.0006</f>
        <v>5.9999999999999995E-4</v>
      </c>
      <c r="F23" s="19"/>
      <c r="G23" s="16">
        <f t="shared" ref="G23" si="65">E23+F23+I22</f>
        <v>6.0000000000000001E-3</v>
      </c>
      <c r="H23" s="66"/>
      <c r="I23" s="16">
        <f t="shared" si="1"/>
        <v>6.0000000000000001E-3</v>
      </c>
      <c r="J23" s="17">
        <f t="shared" si="2"/>
        <v>0</v>
      </c>
      <c r="K23" s="94"/>
      <c r="L23" s="94"/>
      <c r="M23" s="94"/>
      <c r="N23" s="94"/>
      <c r="O23" s="94"/>
      <c r="P23" s="99"/>
    </row>
    <row r="24" spans="2:16" x14ac:dyDescent="0.3">
      <c r="B24" s="107"/>
      <c r="C24" s="80" t="s">
        <v>38</v>
      </c>
      <c r="D24" s="15" t="s">
        <v>52</v>
      </c>
      <c r="E24" s="18">
        <f>2.01965+0.0675+0.3375+0.3375+0.4725+0.4725+0.6075+0.7425+0.3645+0.0054+0.0621+1.2825</f>
        <v>6.7716499999999993</v>
      </c>
      <c r="F24" s="19"/>
      <c r="G24" s="16">
        <f t="shared" ref="G24" si="66">E24+F24</f>
        <v>6.7716499999999993</v>
      </c>
      <c r="H24" s="66"/>
      <c r="I24" s="16">
        <f t="shared" si="1"/>
        <v>6.7716499999999993</v>
      </c>
      <c r="J24" s="17">
        <f t="shared" si="2"/>
        <v>0</v>
      </c>
      <c r="K24" s="94">
        <f t="shared" ref="K24" si="67">E24+E25</f>
        <v>7.5240599999999995</v>
      </c>
      <c r="L24" s="94">
        <f t="shared" ref="L24" si="68">F24+F25</f>
        <v>0</v>
      </c>
      <c r="M24" s="94">
        <f t="shared" ref="M24" si="69">K24+L24</f>
        <v>7.5240599999999995</v>
      </c>
      <c r="N24" s="94">
        <f t="shared" ref="N24" si="70">H24+H25</f>
        <v>0</v>
      </c>
      <c r="O24" s="94">
        <f t="shared" ref="O24" si="71">M24-N24</f>
        <v>7.5240599999999995</v>
      </c>
      <c r="P24" s="99">
        <f t="shared" ref="P24" si="72">N24/M24</f>
        <v>0</v>
      </c>
    </row>
    <row r="25" spans="2:16" x14ac:dyDescent="0.3">
      <c r="B25" s="107"/>
      <c r="C25" s="80"/>
      <c r="D25" s="15" t="s">
        <v>53</v>
      </c>
      <c r="E25" s="18">
        <f>0.22441+0.0075+0.0375+0.0375+0.0525+0.0525+0.0675+0.0825+0.0405+0.0006+0.0069+0.1425</f>
        <v>0.75240999999999991</v>
      </c>
      <c r="F25" s="19"/>
      <c r="G25" s="16">
        <f t="shared" ref="G25" si="73">E25+F25+I24</f>
        <v>7.5240599999999995</v>
      </c>
      <c r="H25" s="66"/>
      <c r="I25" s="16">
        <f t="shared" si="1"/>
        <v>7.5240599999999995</v>
      </c>
      <c r="J25" s="17">
        <f t="shared" si="2"/>
        <v>0</v>
      </c>
      <c r="K25" s="94"/>
      <c r="L25" s="94"/>
      <c r="M25" s="94"/>
      <c r="N25" s="94"/>
      <c r="O25" s="94"/>
      <c r="P25" s="99"/>
    </row>
    <row r="26" spans="2:16" x14ac:dyDescent="0.3">
      <c r="B26" s="107"/>
      <c r="C26" s="80" t="s">
        <v>37</v>
      </c>
      <c r="D26" s="15" t="s">
        <v>52</v>
      </c>
      <c r="E26" s="18">
        <f>0.07291</f>
        <v>7.2910000000000003E-2</v>
      </c>
      <c r="F26" s="19"/>
      <c r="G26" s="16">
        <f t="shared" ref="G26" si="74">E26+F26</f>
        <v>7.2910000000000003E-2</v>
      </c>
      <c r="H26" s="66"/>
      <c r="I26" s="16">
        <f t="shared" si="1"/>
        <v>7.2910000000000003E-2</v>
      </c>
      <c r="J26" s="17">
        <f t="shared" si="2"/>
        <v>0</v>
      </c>
      <c r="K26" s="94">
        <f t="shared" ref="K26" si="75">E26+E27</f>
        <v>8.1009999999999999E-2</v>
      </c>
      <c r="L26" s="94">
        <f t="shared" ref="L26" si="76">F26+F27</f>
        <v>0</v>
      </c>
      <c r="M26" s="94">
        <f t="shared" ref="M26" si="77">K26+L26</f>
        <v>8.1009999999999999E-2</v>
      </c>
      <c r="N26" s="94">
        <f t="shared" ref="N26" si="78">H26+H27</f>
        <v>0</v>
      </c>
      <c r="O26" s="94">
        <f t="shared" ref="O26" si="79">M26-N26</f>
        <v>8.1009999999999999E-2</v>
      </c>
      <c r="P26" s="99">
        <f t="shared" ref="P26" si="80">N26/M26</f>
        <v>0</v>
      </c>
    </row>
    <row r="27" spans="2:16" x14ac:dyDescent="0.3">
      <c r="B27" s="107"/>
      <c r="C27" s="80"/>
      <c r="D27" s="15" t="s">
        <v>53</v>
      </c>
      <c r="E27" s="18">
        <f>0.0081</f>
        <v>8.0999999999999996E-3</v>
      </c>
      <c r="F27" s="19"/>
      <c r="G27" s="16">
        <f t="shared" ref="G27" si="81">E27+F27+I26</f>
        <v>8.1009999999999999E-2</v>
      </c>
      <c r="H27" s="66"/>
      <c r="I27" s="16">
        <f t="shared" si="1"/>
        <v>8.1009999999999999E-2</v>
      </c>
      <c r="J27" s="17">
        <f t="shared" si="2"/>
        <v>0</v>
      </c>
      <c r="K27" s="94"/>
      <c r="L27" s="94"/>
      <c r="M27" s="94"/>
      <c r="N27" s="94"/>
      <c r="O27" s="94"/>
      <c r="P27" s="99"/>
    </row>
    <row r="28" spans="2:16" x14ac:dyDescent="0.3">
      <c r="B28" s="107" t="s">
        <v>51</v>
      </c>
      <c r="C28" s="80" t="s">
        <v>24</v>
      </c>
      <c r="D28" s="15" t="s">
        <v>52</v>
      </c>
      <c r="E28" s="18">
        <f>277.95353+8.151+8.151+1.672+11.913</f>
        <v>307.84053000000006</v>
      </c>
      <c r="F28" s="19">
        <f>31</f>
        <v>31</v>
      </c>
      <c r="G28" s="16">
        <f t="shared" ref="G28" si="82">E28+F28</f>
        <v>338.84053000000006</v>
      </c>
      <c r="H28" s="66">
        <v>262.99299999999999</v>
      </c>
      <c r="I28" s="16">
        <f t="shared" si="1"/>
        <v>75.847530000000063</v>
      </c>
      <c r="J28" s="17">
        <f t="shared" si="2"/>
        <v>0.77615567417510523</v>
      </c>
      <c r="K28" s="94">
        <f t="shared" ref="K28" si="83">E28+E29</f>
        <v>342.08595000000003</v>
      </c>
      <c r="L28" s="94">
        <f t="shared" ref="L28" si="84">F28+F29</f>
        <v>31</v>
      </c>
      <c r="M28" s="94">
        <f t="shared" ref="M28" si="85">K28+L28</f>
        <v>373.08595000000003</v>
      </c>
      <c r="N28" s="94">
        <f t="shared" ref="N28" si="86">H28+H29</f>
        <v>371.47899999999998</v>
      </c>
      <c r="O28" s="94">
        <f t="shared" ref="O28" si="87">M28-N28</f>
        <v>1.6069500000000403</v>
      </c>
      <c r="P28" s="99">
        <f t="shared" ref="P28" si="88">N28/M28</f>
        <v>0.99569281555630806</v>
      </c>
    </row>
    <row r="29" spans="2:16" x14ac:dyDescent="0.3">
      <c r="B29" s="107"/>
      <c r="C29" s="80"/>
      <c r="D29" s="15" t="s">
        <v>53</v>
      </c>
      <c r="E29" s="18">
        <f>30.92067+0.90675+0.90675+0.186+1.32525</f>
        <v>34.245419999999996</v>
      </c>
      <c r="F29" s="19"/>
      <c r="G29" s="16">
        <f t="shared" ref="G29" si="89">E29+F29+I28</f>
        <v>110.09295000000006</v>
      </c>
      <c r="H29" s="66">
        <v>108.486</v>
      </c>
      <c r="I29" s="16">
        <f t="shared" si="1"/>
        <v>1.6069500000000545</v>
      </c>
      <c r="J29" s="17">
        <f t="shared" si="2"/>
        <v>0.98540369751196555</v>
      </c>
      <c r="K29" s="94"/>
      <c r="L29" s="94"/>
      <c r="M29" s="94"/>
      <c r="N29" s="94"/>
      <c r="O29" s="94"/>
      <c r="P29" s="99"/>
    </row>
    <row r="30" spans="2:16" x14ac:dyDescent="0.3">
      <c r="B30" s="107"/>
      <c r="C30" s="80" t="s">
        <v>25</v>
      </c>
      <c r="D30" s="15" t="s">
        <v>52</v>
      </c>
      <c r="E30" s="18">
        <f>20.02663+4.90164+2.22092+23.11707+5.3922</f>
        <v>55.658460000000005</v>
      </c>
      <c r="F30" s="19"/>
      <c r="G30" s="16">
        <f t="shared" ref="G30" si="90">E30+F30</f>
        <v>55.658460000000005</v>
      </c>
      <c r="H30" s="66">
        <v>47.713999999999999</v>
      </c>
      <c r="I30" s="16">
        <f t="shared" si="1"/>
        <v>7.9444600000000065</v>
      </c>
      <c r="J30" s="17">
        <f t="shared" si="2"/>
        <v>0.85726410684018195</v>
      </c>
      <c r="K30" s="94">
        <f t="shared" ref="K30" si="91">E30+E31</f>
        <v>61.850130000000007</v>
      </c>
      <c r="L30" s="94">
        <f t="shared" ref="L30" si="92">F30+F31</f>
        <v>0</v>
      </c>
      <c r="M30" s="94">
        <f t="shared" ref="M30" si="93">K30+L30</f>
        <v>61.850130000000007</v>
      </c>
      <c r="N30" s="94">
        <f t="shared" ref="N30" si="94">H30+H31</f>
        <v>50.250999999999998</v>
      </c>
      <c r="O30" s="94">
        <f t="shared" ref="O30" si="95">M30-N30</f>
        <v>11.599130000000009</v>
      </c>
      <c r="P30" s="99">
        <f t="shared" ref="P30" si="96">N30/M30</f>
        <v>0.81246393499900471</v>
      </c>
    </row>
    <row r="31" spans="2:16" x14ac:dyDescent="0.3">
      <c r="B31" s="107"/>
      <c r="C31" s="80"/>
      <c r="D31" s="15" t="s">
        <v>53</v>
      </c>
      <c r="E31" s="18">
        <f>2.22784+0.54528+0.24706+2.57164+0.59985</f>
        <v>6.1916700000000002</v>
      </c>
      <c r="F31" s="19"/>
      <c r="G31" s="16">
        <f t="shared" ref="G31" si="97">E31+F31+I30</f>
        <v>14.136130000000007</v>
      </c>
      <c r="H31" s="66">
        <v>2.5369999999999999</v>
      </c>
      <c r="I31" s="16">
        <f t="shared" si="1"/>
        <v>11.599130000000006</v>
      </c>
      <c r="J31" s="17">
        <f t="shared" si="2"/>
        <v>0.17946920408909642</v>
      </c>
      <c r="K31" s="94"/>
      <c r="L31" s="94"/>
      <c r="M31" s="94"/>
      <c r="N31" s="94"/>
      <c r="O31" s="94"/>
      <c r="P31" s="99"/>
    </row>
    <row r="32" spans="2:16" x14ac:dyDescent="0.3">
      <c r="B32" s="107"/>
      <c r="C32" s="80" t="s">
        <v>26</v>
      </c>
      <c r="D32" s="15" t="s">
        <v>52</v>
      </c>
      <c r="E32" s="18">
        <f>0.02508</f>
        <v>2.5080000000000002E-2</v>
      </c>
      <c r="F32" s="19"/>
      <c r="G32" s="16">
        <f t="shared" ref="G32" si="98">E32+F32</f>
        <v>2.5080000000000002E-2</v>
      </c>
      <c r="H32" s="66"/>
      <c r="I32" s="16">
        <f t="shared" si="1"/>
        <v>2.5080000000000002E-2</v>
      </c>
      <c r="J32" s="17">
        <f t="shared" si="2"/>
        <v>0</v>
      </c>
      <c r="K32" s="94">
        <f t="shared" ref="K32" si="99">E32+E33</f>
        <v>2.7870000000000002E-2</v>
      </c>
      <c r="L32" s="94">
        <f t="shared" ref="L32" si="100">F32+F33</f>
        <v>0</v>
      </c>
      <c r="M32" s="94">
        <f t="shared" ref="M32" si="101">K32+L32</f>
        <v>2.7870000000000002E-2</v>
      </c>
      <c r="N32" s="94">
        <f t="shared" ref="N32" si="102">H32+H33</f>
        <v>0</v>
      </c>
      <c r="O32" s="94">
        <f t="shared" ref="O32" si="103">M32-N32</f>
        <v>2.7870000000000002E-2</v>
      </c>
      <c r="P32" s="99">
        <f t="shared" ref="P32" si="104">N32/M32</f>
        <v>0</v>
      </c>
    </row>
    <row r="33" spans="2:16" x14ac:dyDescent="0.3">
      <c r="B33" s="107"/>
      <c r="C33" s="80"/>
      <c r="D33" s="15" t="s">
        <v>53</v>
      </c>
      <c r="E33" s="18">
        <f>0.00279</f>
        <v>2.7899999999999999E-3</v>
      </c>
      <c r="F33" s="19"/>
      <c r="G33" s="16">
        <f t="shared" ref="G33" si="105">E33+F33+I32</f>
        <v>2.7870000000000002E-2</v>
      </c>
      <c r="H33" s="66"/>
      <c r="I33" s="16">
        <f t="shared" si="1"/>
        <v>2.7870000000000002E-2</v>
      </c>
      <c r="J33" s="17">
        <f t="shared" si="2"/>
        <v>0</v>
      </c>
      <c r="K33" s="94"/>
      <c r="L33" s="94"/>
      <c r="M33" s="94"/>
      <c r="N33" s="94"/>
      <c r="O33" s="94"/>
      <c r="P33" s="99"/>
    </row>
    <row r="34" spans="2:16" x14ac:dyDescent="0.3">
      <c r="B34" s="107"/>
      <c r="C34" s="80" t="s">
        <v>27</v>
      </c>
      <c r="D34" s="15" t="s">
        <v>52</v>
      </c>
      <c r="E34" s="18">
        <f>289.4451+6.479+0.21736+2.66684+9.405+11.913</f>
        <v>320.12629999999996</v>
      </c>
      <c r="F34" s="19">
        <f>68.667</f>
        <v>68.667000000000002</v>
      </c>
      <c r="G34" s="16">
        <f t="shared" ref="G34" si="106">E34+F34</f>
        <v>388.79329999999993</v>
      </c>
      <c r="H34" s="66">
        <v>376.88</v>
      </c>
      <c r="I34" s="16">
        <f t="shared" si="1"/>
        <v>11.913299999999936</v>
      </c>
      <c r="J34" s="17">
        <f t="shared" si="2"/>
        <v>0.96935826826233906</v>
      </c>
      <c r="K34" s="94">
        <f t="shared" ref="K34" si="107">E34+E35</f>
        <v>355.73843999999997</v>
      </c>
      <c r="L34" s="94">
        <f t="shared" ref="L34" si="108">F34+F35</f>
        <v>68.667000000000002</v>
      </c>
      <c r="M34" s="94">
        <f t="shared" ref="M34" si="109">K34+L34</f>
        <v>424.40544</v>
      </c>
      <c r="N34" s="94">
        <f t="shared" ref="N34" si="110">H34+H35</f>
        <v>415.53899999999999</v>
      </c>
      <c r="O34" s="94">
        <f t="shared" ref="O34" si="111">M34-N34</f>
        <v>8.8664400000000114</v>
      </c>
      <c r="P34" s="99">
        <f t="shared" ref="P34" si="112">N34/M34</f>
        <v>0.97910856185066808</v>
      </c>
    </row>
    <row r="35" spans="2:16" x14ac:dyDescent="0.3">
      <c r="B35" s="107"/>
      <c r="C35" s="80"/>
      <c r="D35" s="15" t="s">
        <v>53</v>
      </c>
      <c r="E35" s="18">
        <f>32.19904+0.72075+0.02418+0.29667+1.04625+1.32525</f>
        <v>35.612139999999997</v>
      </c>
      <c r="F35" s="19"/>
      <c r="G35" s="16">
        <f t="shared" ref="G35" si="113">E35+F35+I34</f>
        <v>47.525439999999932</v>
      </c>
      <c r="H35" s="66">
        <v>38.658999999999999</v>
      </c>
      <c r="I35" s="16">
        <f t="shared" si="1"/>
        <v>8.8664399999999333</v>
      </c>
      <c r="J35" s="17">
        <f t="shared" si="2"/>
        <v>0.81343802392992159</v>
      </c>
      <c r="K35" s="94"/>
      <c r="L35" s="94"/>
      <c r="M35" s="94"/>
      <c r="N35" s="94"/>
      <c r="O35" s="94"/>
      <c r="P35" s="99"/>
    </row>
    <row r="36" spans="2:16" x14ac:dyDescent="0.3">
      <c r="B36" s="107"/>
      <c r="C36" s="80" t="s">
        <v>30</v>
      </c>
      <c r="D36" s="15" t="s">
        <v>52</v>
      </c>
      <c r="E36" s="18">
        <f>0.14471</f>
        <v>0.14471000000000001</v>
      </c>
      <c r="F36" s="19"/>
      <c r="G36" s="16">
        <f t="shared" ref="G36" si="114">E36+F36</f>
        <v>0.14471000000000001</v>
      </c>
      <c r="H36" s="66"/>
      <c r="I36" s="16">
        <f t="shared" si="1"/>
        <v>0.14471000000000001</v>
      </c>
      <c r="J36" s="17">
        <f t="shared" si="2"/>
        <v>0</v>
      </c>
      <c r="K36" s="94">
        <f t="shared" ref="K36" si="115">E36+E37</f>
        <v>0.16081000000000001</v>
      </c>
      <c r="L36" s="94">
        <f t="shared" ref="L36" si="116">F36+F37</f>
        <v>0</v>
      </c>
      <c r="M36" s="94">
        <f t="shared" ref="M36" si="117">K36+L36</f>
        <v>0.16081000000000001</v>
      </c>
      <c r="N36" s="94">
        <f t="shared" ref="N36" si="118">H36+H37</f>
        <v>0</v>
      </c>
      <c r="O36" s="94">
        <f t="shared" ref="O36" si="119">M36-N36</f>
        <v>0.16081000000000001</v>
      </c>
      <c r="P36" s="99">
        <f t="shared" ref="P36" si="120">N36/M36</f>
        <v>0</v>
      </c>
    </row>
    <row r="37" spans="2:16" x14ac:dyDescent="0.3">
      <c r="B37" s="107"/>
      <c r="C37" s="80"/>
      <c r="D37" s="15" t="s">
        <v>53</v>
      </c>
      <c r="E37" s="18">
        <f>0.0161</f>
        <v>1.61E-2</v>
      </c>
      <c r="F37" s="19"/>
      <c r="G37" s="16">
        <f t="shared" ref="G37" si="121">E37+F37+I36</f>
        <v>0.16081000000000001</v>
      </c>
      <c r="H37" s="66"/>
      <c r="I37" s="16">
        <f t="shared" si="1"/>
        <v>0.16081000000000001</v>
      </c>
      <c r="J37" s="17">
        <f t="shared" si="2"/>
        <v>0</v>
      </c>
      <c r="K37" s="94"/>
      <c r="L37" s="94"/>
      <c r="M37" s="94"/>
      <c r="N37" s="94"/>
      <c r="O37" s="94"/>
      <c r="P37" s="99"/>
    </row>
    <row r="38" spans="2:16" x14ac:dyDescent="0.3">
      <c r="B38" s="107"/>
      <c r="C38" s="80" t="s">
        <v>31</v>
      </c>
      <c r="D38" s="15" t="s">
        <v>52</v>
      </c>
      <c r="E38" s="18">
        <f>36.67582+18.392+18.10918+1.881+7.524+5.8938</f>
        <v>88.475799999999992</v>
      </c>
      <c r="F38" s="19"/>
      <c r="G38" s="16">
        <f t="shared" ref="G38" si="122">E38+F38</f>
        <v>88.475799999999992</v>
      </c>
      <c r="H38" s="66">
        <v>79.683999999999997</v>
      </c>
      <c r="I38" s="16">
        <f t="shared" si="1"/>
        <v>8.791799999999995</v>
      </c>
      <c r="J38" s="17">
        <f t="shared" si="2"/>
        <v>0.90063045488144788</v>
      </c>
      <c r="K38" s="94">
        <f t="shared" ref="K38" si="123">E38+E39</f>
        <v>98.318209999999993</v>
      </c>
      <c r="L38" s="94">
        <f t="shared" ref="L38" si="124">F38+F39</f>
        <v>0</v>
      </c>
      <c r="M38" s="94">
        <f t="shared" ref="M38" si="125">K38+L38</f>
        <v>98.318209999999993</v>
      </c>
      <c r="N38" s="94">
        <f t="shared" ref="N38" si="126">H38+H39</f>
        <v>91.215999999999994</v>
      </c>
      <c r="O38" s="94">
        <f t="shared" ref="O38" si="127">M38-N38</f>
        <v>7.1022099999999995</v>
      </c>
      <c r="P38" s="99">
        <f t="shared" ref="P38" si="128">N38/M38</f>
        <v>0.9277630257914582</v>
      </c>
    </row>
    <row r="39" spans="2:16" x14ac:dyDescent="0.3">
      <c r="B39" s="107"/>
      <c r="C39" s="80"/>
      <c r="D39" s="15" t="s">
        <v>53</v>
      </c>
      <c r="E39" s="18">
        <f>4.07997+2.046+2.01454+0.20925+0.837+0.65565</f>
        <v>9.842410000000001</v>
      </c>
      <c r="F39" s="19"/>
      <c r="G39" s="16">
        <f t="shared" ref="G39" si="129">E39+F39+I38</f>
        <v>18.634209999999996</v>
      </c>
      <c r="H39" s="66">
        <v>11.532</v>
      </c>
      <c r="I39" s="16">
        <f t="shared" si="1"/>
        <v>7.1022099999999959</v>
      </c>
      <c r="J39" s="17">
        <f t="shared" si="2"/>
        <v>0.61886176017121208</v>
      </c>
      <c r="K39" s="94"/>
      <c r="L39" s="94"/>
      <c r="M39" s="94"/>
      <c r="N39" s="94"/>
      <c r="O39" s="94"/>
      <c r="P39" s="99"/>
    </row>
    <row r="40" spans="2:16" x14ac:dyDescent="0.3">
      <c r="B40" s="107"/>
      <c r="C40" s="80" t="s">
        <v>49</v>
      </c>
      <c r="D40" s="15" t="s">
        <v>52</v>
      </c>
      <c r="E40" s="18">
        <f>0.08368</f>
        <v>8.3680000000000004E-2</v>
      </c>
      <c r="F40" s="19"/>
      <c r="G40" s="16">
        <f t="shared" ref="G40" si="130">E40+F40</f>
        <v>8.3680000000000004E-2</v>
      </c>
      <c r="H40" s="66"/>
      <c r="I40" s="16">
        <f t="shared" si="1"/>
        <v>8.3680000000000004E-2</v>
      </c>
      <c r="J40" s="17">
        <f t="shared" si="2"/>
        <v>0</v>
      </c>
      <c r="K40" s="94">
        <f t="shared" ref="K40" si="131">E40+E41</f>
        <v>9.2990000000000003E-2</v>
      </c>
      <c r="L40" s="94">
        <f t="shared" ref="L40" si="132">F40+F41</f>
        <v>0</v>
      </c>
      <c r="M40" s="94">
        <f t="shared" ref="M40" si="133">K40+L40</f>
        <v>9.2990000000000003E-2</v>
      </c>
      <c r="N40" s="94">
        <f t="shared" ref="N40" si="134">H40+H41</f>
        <v>0</v>
      </c>
      <c r="O40" s="94">
        <f t="shared" ref="O40" si="135">M40-N40</f>
        <v>9.2990000000000003E-2</v>
      </c>
      <c r="P40" s="99">
        <f t="shared" ref="P40" si="136">N40/M40</f>
        <v>0</v>
      </c>
    </row>
    <row r="41" spans="2:16" x14ac:dyDescent="0.3">
      <c r="B41" s="107"/>
      <c r="C41" s="80"/>
      <c r="D41" s="15" t="s">
        <v>53</v>
      </c>
      <c r="E41" s="18">
        <f>0.00931</f>
        <v>9.3100000000000006E-3</v>
      </c>
      <c r="F41" s="19"/>
      <c r="G41" s="16">
        <f t="shared" ref="G41" si="137">E41+F41+I40</f>
        <v>9.2990000000000003E-2</v>
      </c>
      <c r="H41" s="66"/>
      <c r="I41" s="16">
        <f t="shared" si="1"/>
        <v>9.2990000000000003E-2</v>
      </c>
      <c r="J41" s="17">
        <f t="shared" si="2"/>
        <v>0</v>
      </c>
      <c r="K41" s="94"/>
      <c r="L41" s="94"/>
      <c r="M41" s="94"/>
      <c r="N41" s="94"/>
      <c r="O41" s="94"/>
      <c r="P41" s="99"/>
    </row>
    <row r="42" spans="2:16" x14ac:dyDescent="0.3">
      <c r="B42" s="107"/>
      <c r="C42" s="80" t="s">
        <v>34</v>
      </c>
      <c r="D42" s="15" t="s">
        <v>52</v>
      </c>
      <c r="E42" s="18">
        <f>0.0168</f>
        <v>1.6799999999999999E-2</v>
      </c>
      <c r="F42" s="19"/>
      <c r="G42" s="16">
        <f t="shared" ref="G42" si="138">E42+F42</f>
        <v>1.6799999999999999E-2</v>
      </c>
      <c r="H42" s="66"/>
      <c r="I42" s="16">
        <f t="shared" si="1"/>
        <v>1.6799999999999999E-2</v>
      </c>
      <c r="J42" s="17">
        <f t="shared" si="2"/>
        <v>0</v>
      </c>
      <c r="K42" s="94">
        <f t="shared" ref="K42" si="139">E42+E43</f>
        <v>1.8669999999999999E-2</v>
      </c>
      <c r="L42" s="94">
        <f t="shared" ref="L42" si="140">F42+F43</f>
        <v>0</v>
      </c>
      <c r="M42" s="94">
        <f t="shared" ref="M42" si="141">K42+L42</f>
        <v>1.8669999999999999E-2</v>
      </c>
      <c r="N42" s="94">
        <f t="shared" ref="N42" si="142">H42+H43</f>
        <v>0</v>
      </c>
      <c r="O42" s="94">
        <f t="shared" ref="O42" si="143">M42-N42</f>
        <v>1.8669999999999999E-2</v>
      </c>
      <c r="P42" s="99">
        <f t="shared" ref="P42" si="144">N42/M42</f>
        <v>0</v>
      </c>
    </row>
    <row r="43" spans="2:16" x14ac:dyDescent="0.3">
      <c r="B43" s="107"/>
      <c r="C43" s="80"/>
      <c r="D43" s="15" t="s">
        <v>53</v>
      </c>
      <c r="E43" s="18">
        <f>0.00187</f>
        <v>1.8699999999999999E-3</v>
      </c>
      <c r="F43" s="19"/>
      <c r="G43" s="16">
        <f t="shared" ref="G43" si="145">E43+F43+I42</f>
        <v>1.8669999999999999E-2</v>
      </c>
      <c r="H43" s="66"/>
      <c r="I43" s="16">
        <f t="shared" si="1"/>
        <v>1.8669999999999999E-2</v>
      </c>
      <c r="J43" s="17">
        <f t="shared" si="2"/>
        <v>0</v>
      </c>
      <c r="K43" s="94"/>
      <c r="L43" s="94"/>
      <c r="M43" s="94"/>
      <c r="N43" s="94"/>
      <c r="O43" s="94"/>
      <c r="P43" s="99"/>
    </row>
    <row r="44" spans="2:16" x14ac:dyDescent="0.3">
      <c r="B44" s="107"/>
      <c r="C44" s="80" t="s">
        <v>33</v>
      </c>
      <c r="D44" s="15" t="s">
        <v>52</v>
      </c>
      <c r="E44" s="18">
        <f>0.05016</f>
        <v>5.0160000000000003E-2</v>
      </c>
      <c r="F44" s="19"/>
      <c r="G44" s="16">
        <f t="shared" ref="G44" si="146">E44+F44</f>
        <v>5.0160000000000003E-2</v>
      </c>
      <c r="H44" s="66"/>
      <c r="I44" s="16">
        <f t="shared" si="1"/>
        <v>5.0160000000000003E-2</v>
      </c>
      <c r="J44" s="17">
        <f t="shared" si="2"/>
        <v>0</v>
      </c>
      <c r="K44" s="94">
        <f t="shared" ref="K44" si="147">E44+E45</f>
        <v>5.5740000000000005E-2</v>
      </c>
      <c r="L44" s="94">
        <f t="shared" ref="L44" si="148">F44+F45</f>
        <v>0</v>
      </c>
      <c r="M44" s="94">
        <f t="shared" ref="M44" si="149">K44+L44</f>
        <v>5.5740000000000005E-2</v>
      </c>
      <c r="N44" s="94">
        <f t="shared" ref="N44" si="150">H44+H45</f>
        <v>0</v>
      </c>
      <c r="O44" s="94">
        <f t="shared" ref="O44" si="151">M44-N44</f>
        <v>5.5740000000000005E-2</v>
      </c>
      <c r="P44" s="99">
        <f t="shared" ref="P44" si="152">N44/M44</f>
        <v>0</v>
      </c>
    </row>
    <row r="45" spans="2:16" x14ac:dyDescent="0.3">
      <c r="B45" s="107"/>
      <c r="C45" s="80"/>
      <c r="D45" s="15" t="s">
        <v>53</v>
      </c>
      <c r="E45" s="18">
        <f>0.00558</f>
        <v>5.5799999999999999E-3</v>
      </c>
      <c r="F45" s="19"/>
      <c r="G45" s="16">
        <f t="shared" ref="G45" si="153">E45+F45+I44</f>
        <v>5.5740000000000005E-2</v>
      </c>
      <c r="H45" s="66"/>
      <c r="I45" s="16">
        <f t="shared" si="1"/>
        <v>5.5740000000000005E-2</v>
      </c>
      <c r="J45" s="17">
        <f t="shared" si="2"/>
        <v>0</v>
      </c>
      <c r="K45" s="94"/>
      <c r="L45" s="94"/>
      <c r="M45" s="94"/>
      <c r="N45" s="94"/>
      <c r="O45" s="94"/>
      <c r="P45" s="99"/>
    </row>
    <row r="46" spans="2:16" x14ac:dyDescent="0.3">
      <c r="B46" s="107"/>
      <c r="C46" s="80" t="s">
        <v>38</v>
      </c>
      <c r="D46" s="15" t="s">
        <v>52</v>
      </c>
      <c r="E46" s="18">
        <f>18.76034+0.627+3.135+3.135+4.389+4.389+5.643+6.897+3.3858+0.05016+0.57684+11.913</f>
        <v>62.901139999999998</v>
      </c>
      <c r="F46" s="19">
        <f>-69.8</f>
        <v>-69.8</v>
      </c>
      <c r="G46" s="16">
        <f t="shared" ref="G46" si="154">E46+F46</f>
        <v>-6.8988599999999991</v>
      </c>
      <c r="H46" s="66"/>
      <c r="I46" s="16">
        <f t="shared" si="1"/>
        <v>-6.8988599999999991</v>
      </c>
      <c r="J46" s="17">
        <f t="shared" si="2"/>
        <v>0</v>
      </c>
      <c r="K46" s="94">
        <f t="shared" ref="K46" si="155">E46+E47</f>
        <v>69.898519999999991</v>
      </c>
      <c r="L46" s="94">
        <f t="shared" ref="L46" si="156">F46+F47</f>
        <v>-69.8</v>
      </c>
      <c r="M46" s="94">
        <f t="shared" ref="M46" si="157">K46+L46</f>
        <v>9.8519999999993502E-2</v>
      </c>
      <c r="N46" s="94">
        <f t="shared" ref="N46" si="158">H46+H47</f>
        <v>0</v>
      </c>
      <c r="O46" s="94">
        <f t="shared" ref="O46" si="159">M46-N46</f>
        <v>9.8519999999993502E-2</v>
      </c>
      <c r="P46" s="99">
        <f t="shared" ref="P46" si="160">N46/M46</f>
        <v>0</v>
      </c>
    </row>
    <row r="47" spans="2:16" x14ac:dyDescent="0.3">
      <c r="B47" s="107"/>
      <c r="C47" s="80"/>
      <c r="D47" s="15" t="s">
        <v>53</v>
      </c>
      <c r="E47" s="18">
        <f>2.08698+0.06975+0.34875+0.34875+0.48825+0.48825+0.62775+0.76725+0.37665+0.00558+0.06417+1.32525</f>
        <v>6.9973799999999997</v>
      </c>
      <c r="F47" s="19"/>
      <c r="G47" s="16">
        <f t="shared" ref="G47" si="161">E47+F47+I46</f>
        <v>9.8520000000000607E-2</v>
      </c>
      <c r="H47" s="66"/>
      <c r="I47" s="16">
        <f t="shared" si="1"/>
        <v>9.8520000000000607E-2</v>
      </c>
      <c r="J47" s="17">
        <f t="shared" si="2"/>
        <v>0</v>
      </c>
      <c r="K47" s="94"/>
      <c r="L47" s="94"/>
      <c r="M47" s="94"/>
      <c r="N47" s="94"/>
      <c r="O47" s="94"/>
      <c r="P47" s="99"/>
    </row>
    <row r="48" spans="2:16" x14ac:dyDescent="0.3">
      <c r="B48" s="107"/>
      <c r="C48" s="80" t="s">
        <v>37</v>
      </c>
      <c r="D48" s="15" t="s">
        <v>52</v>
      </c>
      <c r="E48" s="18">
        <f>0.67724</f>
        <v>0.67723999999999995</v>
      </c>
      <c r="F48" s="19"/>
      <c r="G48" s="16">
        <f t="shared" ref="G48" si="162">E48+F48</f>
        <v>0.67723999999999995</v>
      </c>
      <c r="H48" s="66"/>
      <c r="I48" s="16">
        <f t="shared" si="1"/>
        <v>0.67723999999999995</v>
      </c>
      <c r="J48" s="17">
        <f t="shared" si="2"/>
        <v>0</v>
      </c>
      <c r="K48" s="94">
        <f>E48+E49</f>
        <v>0.75257999999999992</v>
      </c>
      <c r="L48" s="94">
        <f t="shared" ref="L48" si="163">F48+F49</f>
        <v>0</v>
      </c>
      <c r="M48" s="94">
        <f t="shared" ref="M48" si="164">K48+L48</f>
        <v>0.75257999999999992</v>
      </c>
      <c r="N48" s="94">
        <f t="shared" ref="N48" si="165">H48+H49</f>
        <v>0</v>
      </c>
      <c r="O48" s="94">
        <f t="shared" ref="O48" si="166">M48-N48</f>
        <v>0.75257999999999992</v>
      </c>
      <c r="P48" s="99">
        <f t="shared" ref="P48" si="167">N48/M48</f>
        <v>0</v>
      </c>
    </row>
    <row r="49" spans="2:16" x14ac:dyDescent="0.3">
      <c r="B49" s="107"/>
      <c r="C49" s="80"/>
      <c r="D49" s="15" t="s">
        <v>53</v>
      </c>
      <c r="E49" s="18">
        <f>0.07534</f>
        <v>7.5340000000000004E-2</v>
      </c>
      <c r="F49" s="19"/>
      <c r="G49" s="16">
        <f t="shared" ref="G49" si="168">E49+F49+I48</f>
        <v>0.75257999999999992</v>
      </c>
      <c r="H49" s="66"/>
      <c r="I49" s="16">
        <f t="shared" si="1"/>
        <v>0.75257999999999992</v>
      </c>
      <c r="J49" s="17">
        <f t="shared" si="2"/>
        <v>0</v>
      </c>
      <c r="K49" s="94"/>
      <c r="L49" s="94"/>
      <c r="M49" s="94"/>
      <c r="N49" s="94"/>
      <c r="O49" s="94"/>
      <c r="P49" s="99"/>
    </row>
    <row r="50" spans="2:16" x14ac:dyDescent="0.3">
      <c r="B50" s="106" t="s">
        <v>13</v>
      </c>
      <c r="C50" s="106"/>
      <c r="D50" s="13"/>
      <c r="E50" s="28">
        <f>SUM(E6:E49)</f>
        <v>1028.9999</v>
      </c>
      <c r="F50" s="28">
        <f>SUM(F6:F49)</f>
        <v>29.867000000000004</v>
      </c>
      <c r="G50" s="29">
        <f>E50+F50</f>
        <v>1058.8669</v>
      </c>
      <c r="H50" s="29">
        <f>SUM(H6:H49)</f>
        <v>964.19699999999989</v>
      </c>
      <c r="I50" s="29">
        <f>G50-H50</f>
        <v>94.669900000000098</v>
      </c>
      <c r="J50" s="30">
        <f>H50/G50</f>
        <v>0.91059320109071296</v>
      </c>
      <c r="K50" s="29">
        <f>SUM(K6:K49)</f>
        <v>1028.9999000000003</v>
      </c>
      <c r="L50" s="29">
        <f>SUM(L6:L49)</f>
        <v>29.867000000000004</v>
      </c>
      <c r="M50" s="29">
        <f>K50+L50</f>
        <v>1058.8669000000002</v>
      </c>
      <c r="N50" s="29">
        <f>SUM(N6:N49)</f>
        <v>964.197</v>
      </c>
      <c r="O50" s="29">
        <f>M50-N50</f>
        <v>94.669900000000212</v>
      </c>
      <c r="P50" s="30">
        <f>N50/M50</f>
        <v>0.91059320109071296</v>
      </c>
    </row>
  </sheetData>
  <mergeCells count="159">
    <mergeCell ref="B2:P2"/>
    <mergeCell ref="B3:P3"/>
    <mergeCell ref="C38:C39"/>
    <mergeCell ref="C40:C41"/>
    <mergeCell ref="C42:C43"/>
    <mergeCell ref="B50:C50"/>
    <mergeCell ref="C24:C25"/>
    <mergeCell ref="C26:C27"/>
    <mergeCell ref="C28:C29"/>
    <mergeCell ref="C34:C35"/>
    <mergeCell ref="C36:C37"/>
    <mergeCell ref="B28:B49"/>
    <mergeCell ref="B6:B27"/>
    <mergeCell ref="C44:C45"/>
    <mergeCell ref="C46:C47"/>
    <mergeCell ref="C48:C49"/>
    <mergeCell ref="C20:C21"/>
    <mergeCell ref="C18:C19"/>
    <mergeCell ref="C32:C33"/>
    <mergeCell ref="C30:C31"/>
    <mergeCell ref="C14:C15"/>
    <mergeCell ref="C16:C17"/>
    <mergeCell ref="K24:K25"/>
    <mergeCell ref="K26:K27"/>
    <mergeCell ref="K28:K29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L24:L25"/>
    <mergeCell ref="L28:L29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M28:M29"/>
    <mergeCell ref="N28:N29"/>
    <mergeCell ref="O28:O29"/>
    <mergeCell ref="P28:P29"/>
    <mergeCell ref="L26:L27"/>
    <mergeCell ref="M26:M27"/>
    <mergeCell ref="N26:N27"/>
    <mergeCell ref="O26:O27"/>
    <mergeCell ref="P26:P27"/>
    <mergeCell ref="P30:P31"/>
    <mergeCell ref="K32:K33"/>
    <mergeCell ref="L32:L33"/>
    <mergeCell ref="M32:M33"/>
    <mergeCell ref="N32:N33"/>
    <mergeCell ref="O32:O33"/>
    <mergeCell ref="P32:P33"/>
    <mergeCell ref="K30:K31"/>
    <mergeCell ref="L30:L31"/>
    <mergeCell ref="M30:M31"/>
    <mergeCell ref="N30:N31"/>
    <mergeCell ref="O30:O31"/>
    <mergeCell ref="P34:P35"/>
    <mergeCell ref="K36:K37"/>
    <mergeCell ref="L36:L37"/>
    <mergeCell ref="M36:M37"/>
    <mergeCell ref="N36:N37"/>
    <mergeCell ref="O36:O37"/>
    <mergeCell ref="P36:P37"/>
    <mergeCell ref="K34:K35"/>
    <mergeCell ref="L34:L35"/>
    <mergeCell ref="M34:M35"/>
    <mergeCell ref="N34:N35"/>
    <mergeCell ref="O34:O35"/>
    <mergeCell ref="P38:P39"/>
    <mergeCell ref="K40:K41"/>
    <mergeCell ref="L40:L41"/>
    <mergeCell ref="M40:M41"/>
    <mergeCell ref="N40:N41"/>
    <mergeCell ref="O40:O41"/>
    <mergeCell ref="P40:P41"/>
    <mergeCell ref="K38:K39"/>
    <mergeCell ref="L38:L39"/>
    <mergeCell ref="M38:M39"/>
    <mergeCell ref="N38:N39"/>
    <mergeCell ref="O38:O39"/>
    <mergeCell ref="P42:P43"/>
    <mergeCell ref="K44:K45"/>
    <mergeCell ref="L44:L45"/>
    <mergeCell ref="M44:M45"/>
    <mergeCell ref="N44:N45"/>
    <mergeCell ref="O44:O45"/>
    <mergeCell ref="P44:P45"/>
    <mergeCell ref="K42:K43"/>
    <mergeCell ref="L42:L43"/>
    <mergeCell ref="M42:M43"/>
    <mergeCell ref="N42:N43"/>
    <mergeCell ref="O42:O43"/>
    <mergeCell ref="P46:P47"/>
    <mergeCell ref="K48:K49"/>
    <mergeCell ref="L48:L49"/>
    <mergeCell ref="M48:M49"/>
    <mergeCell ref="N48:N49"/>
    <mergeCell ref="O48:O49"/>
    <mergeCell ref="P48:P49"/>
    <mergeCell ref="K46:K47"/>
    <mergeCell ref="L46:L47"/>
    <mergeCell ref="M46:M47"/>
    <mergeCell ref="N46:N47"/>
    <mergeCell ref="O46:O47"/>
  </mergeCells>
  <conditionalFormatting sqref="P6:P49">
    <cfRule type="cellIs" dxfId="2" priority="1" operator="greaterThan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Q69"/>
  <sheetViews>
    <sheetView showGridLines="0" tabSelected="1" topLeftCell="D5" workbookViewId="0">
      <selection activeCell="Q39" sqref="Q39:Q40"/>
    </sheetView>
  </sheetViews>
  <sheetFormatPr baseColWidth="10" defaultColWidth="11.44140625" defaultRowHeight="12" x14ac:dyDescent="0.25"/>
  <cols>
    <col min="1" max="1" width="11.44140625" style="2"/>
    <col min="2" max="2" width="18.109375" style="2" bestFit="1" customWidth="1"/>
    <col min="3" max="3" width="33" style="2" bestFit="1" customWidth="1"/>
    <col min="4" max="4" width="8.33203125" style="14" customWidth="1"/>
    <col min="5" max="5" width="9.33203125" style="14" customWidth="1"/>
    <col min="6" max="6" width="19" style="14" bestFit="1" customWidth="1"/>
    <col min="7" max="7" width="15.5546875" style="14" bestFit="1" customWidth="1"/>
    <col min="8" max="8" width="18" style="14" bestFit="1" customWidth="1"/>
    <col min="9" max="9" width="12.44140625" style="14" bestFit="1" customWidth="1"/>
    <col min="10" max="10" width="10.5546875" style="14" bestFit="1" customWidth="1"/>
    <col min="11" max="11" width="12" style="14" bestFit="1" customWidth="1"/>
    <col min="12" max="12" width="19" style="14" bestFit="1" customWidth="1"/>
    <col min="13" max="13" width="15.5546875" style="14" bestFit="1" customWidth="1"/>
    <col min="14" max="14" width="18" style="14" bestFit="1" customWidth="1"/>
    <col min="15" max="15" width="12.44140625" style="14" bestFit="1" customWidth="1"/>
    <col min="16" max="16" width="10.5546875" style="14" bestFit="1" customWidth="1"/>
    <col min="17" max="17" width="10.44140625" style="14" bestFit="1" customWidth="1"/>
    <col min="18" max="16384" width="11.44140625" style="2"/>
  </cols>
  <sheetData>
    <row r="3" spans="2:17" x14ac:dyDescent="0.25">
      <c r="B3" s="1" t="s">
        <v>18</v>
      </c>
      <c r="C3" s="1" t="s">
        <v>61</v>
      </c>
      <c r="D3" s="13" t="s">
        <v>62</v>
      </c>
      <c r="E3" s="13" t="s">
        <v>60</v>
      </c>
    </row>
    <row r="4" spans="2:17" x14ac:dyDescent="0.25">
      <c r="B4" s="1" t="s">
        <v>52</v>
      </c>
      <c r="C4" s="5">
        <v>794</v>
      </c>
      <c r="D4" s="15">
        <v>970</v>
      </c>
      <c r="E4" s="15">
        <f>SUM(C4:D4)</f>
        <v>1764</v>
      </c>
    </row>
    <row r="5" spans="2:17" x14ac:dyDescent="0.25">
      <c r="B5" s="1" t="s">
        <v>53</v>
      </c>
      <c r="C5" s="5">
        <v>88</v>
      </c>
      <c r="D5" s="15">
        <v>108</v>
      </c>
      <c r="E5" s="15">
        <f t="shared" ref="E5" si="0">SUM(C5:D5)</f>
        <v>196</v>
      </c>
    </row>
    <row r="6" spans="2:17" x14ac:dyDescent="0.25">
      <c r="B6" s="1" t="s">
        <v>60</v>
      </c>
      <c r="C6" s="5">
        <f>SUM(C4:C5)</f>
        <v>882</v>
      </c>
      <c r="D6" s="15">
        <f>SUM(D4:D5)</f>
        <v>1078</v>
      </c>
      <c r="E6" s="15">
        <f>SUM(C6:D6)</f>
        <v>1960</v>
      </c>
    </row>
    <row r="9" spans="2:17" x14ac:dyDescent="0.25">
      <c r="B9" s="118" t="s">
        <v>104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</row>
    <row r="10" spans="2:17" x14ac:dyDescent="0.25">
      <c r="B10" s="121">
        <f>'RESUMEN '!B3:J3</f>
        <v>44200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2" spans="2:17" x14ac:dyDescent="0.25">
      <c r="B12" s="35" t="s">
        <v>0</v>
      </c>
      <c r="C12" s="35" t="s">
        <v>23</v>
      </c>
      <c r="D12" s="35" t="s">
        <v>18</v>
      </c>
      <c r="E12" s="35" t="s">
        <v>63</v>
      </c>
      <c r="F12" s="35" t="s">
        <v>2</v>
      </c>
      <c r="G12" s="35" t="s">
        <v>3</v>
      </c>
      <c r="H12" s="35" t="s">
        <v>4</v>
      </c>
      <c r="I12" s="35" t="s">
        <v>5</v>
      </c>
      <c r="J12" s="35" t="s">
        <v>6</v>
      </c>
      <c r="K12" s="36" t="s">
        <v>7</v>
      </c>
      <c r="L12" s="35" t="s">
        <v>2</v>
      </c>
      <c r="M12" s="35" t="s">
        <v>3</v>
      </c>
      <c r="N12" s="35" t="s">
        <v>4</v>
      </c>
      <c r="O12" s="35" t="s">
        <v>5</v>
      </c>
      <c r="P12" s="35" t="s">
        <v>6</v>
      </c>
      <c r="Q12" s="35" t="s">
        <v>20</v>
      </c>
    </row>
    <row r="13" spans="2:17" x14ac:dyDescent="0.25">
      <c r="B13" s="107" t="s">
        <v>107</v>
      </c>
      <c r="C13" s="115" t="s">
        <v>24</v>
      </c>
      <c r="D13" s="15" t="s">
        <v>52</v>
      </c>
      <c r="E13" s="116">
        <v>9.11</v>
      </c>
      <c r="F13" s="16">
        <f>E13/100*$C$4</f>
        <v>72.333399999999997</v>
      </c>
      <c r="G13" s="16">
        <f>46.357</f>
        <v>46.356999999999999</v>
      </c>
      <c r="H13" s="16">
        <f>F13+G13</f>
        <v>118.6904</v>
      </c>
      <c r="I13" s="65">
        <v>119.90900000000001</v>
      </c>
      <c r="J13" s="16">
        <f>H13-I13</f>
        <v>-1.2186000000000092</v>
      </c>
      <c r="K13" s="17">
        <f>I13/H13</f>
        <v>1.0102670477140527</v>
      </c>
      <c r="L13" s="94">
        <f>F13+F14</f>
        <v>80.350200000000001</v>
      </c>
      <c r="M13" s="94">
        <f>G13+G14</f>
        <v>46.356999999999999</v>
      </c>
      <c r="N13" s="94">
        <f>L13+M13</f>
        <v>126.7072</v>
      </c>
      <c r="O13" s="94">
        <f>I13+I14</f>
        <v>124.161</v>
      </c>
      <c r="P13" s="94">
        <f>N13-O13</f>
        <v>2.5461999999999989</v>
      </c>
      <c r="Q13" s="99">
        <f>O13/N13</f>
        <v>0.9799048515001515</v>
      </c>
    </row>
    <row r="14" spans="2:17" x14ac:dyDescent="0.25">
      <c r="B14" s="107"/>
      <c r="C14" s="115"/>
      <c r="D14" s="15" t="s">
        <v>53</v>
      </c>
      <c r="E14" s="116"/>
      <c r="F14" s="16">
        <f>E13/100*$C$5</f>
        <v>8.0167999999999999</v>
      </c>
      <c r="G14" s="16"/>
      <c r="H14" s="16">
        <f>F14+G14+J13</f>
        <v>6.7981999999999907</v>
      </c>
      <c r="I14" s="65">
        <v>4.2519999999999998</v>
      </c>
      <c r="J14" s="16">
        <f>H14-I14</f>
        <v>2.5461999999999909</v>
      </c>
      <c r="K14" s="17">
        <f>I14/H14</f>
        <v>0.62545968050366352</v>
      </c>
      <c r="L14" s="80"/>
      <c r="M14" s="80"/>
      <c r="N14" s="80"/>
      <c r="O14" s="80"/>
      <c r="P14" s="80"/>
      <c r="Q14" s="99"/>
    </row>
    <row r="15" spans="2:17" x14ac:dyDescent="0.25">
      <c r="B15" s="107"/>
      <c r="C15" s="115" t="s">
        <v>25</v>
      </c>
      <c r="D15" s="15" t="s">
        <v>52</v>
      </c>
      <c r="E15" s="116">
        <v>3.3374199999999998</v>
      </c>
      <c r="F15" s="16">
        <f t="shared" ref="F15" si="1">E15/100*$C$4</f>
        <v>26.499114800000001</v>
      </c>
      <c r="G15" s="16"/>
      <c r="H15" s="16">
        <f t="shared" ref="H15" si="2">F15+G15</f>
        <v>26.499114800000001</v>
      </c>
      <c r="I15" s="65">
        <v>2.0870000000000002</v>
      </c>
      <c r="J15" s="16">
        <f t="shared" ref="J15:J68" si="3">H15-I15</f>
        <v>24.412114800000001</v>
      </c>
      <c r="K15" s="17">
        <f t="shared" ref="K15:K68" si="4">I15/H15</f>
        <v>7.8757347773745268E-2</v>
      </c>
      <c r="L15" s="94">
        <f t="shared" ref="L15" si="5">F15+F16</f>
        <v>29.4360444</v>
      </c>
      <c r="M15" s="94">
        <f t="shared" ref="M15" si="6">G15+G16</f>
        <v>0</v>
      </c>
      <c r="N15" s="94">
        <f t="shared" ref="N15" si="7">L15+M15</f>
        <v>29.4360444</v>
      </c>
      <c r="O15" s="94">
        <f t="shared" ref="O15" si="8">I15+I16</f>
        <v>26.222000000000001</v>
      </c>
      <c r="P15" s="94">
        <f t="shared" ref="P15" si="9">N15-O15</f>
        <v>3.2140443999999988</v>
      </c>
      <c r="Q15" s="99">
        <f t="shared" ref="Q15" si="10">O15/N15</f>
        <v>0.89081262562574481</v>
      </c>
    </row>
    <row r="16" spans="2:17" x14ac:dyDescent="0.25">
      <c r="B16" s="107"/>
      <c r="C16" s="115"/>
      <c r="D16" s="15" t="s">
        <v>53</v>
      </c>
      <c r="E16" s="116"/>
      <c r="F16" s="16">
        <f t="shared" ref="F16" si="11">E15/100*$C$5</f>
        <v>2.9369296</v>
      </c>
      <c r="G16" s="16"/>
      <c r="H16" s="16">
        <f t="shared" ref="H16" si="12">F16+G16+J15</f>
        <v>27.3490444</v>
      </c>
      <c r="I16" s="65">
        <v>24.135000000000002</v>
      </c>
      <c r="J16" s="16">
        <f>H16-I16</f>
        <v>3.2140443999999988</v>
      </c>
      <c r="K16" s="17">
        <f t="shared" si="4"/>
        <v>0.88248055935731351</v>
      </c>
      <c r="L16" s="80"/>
      <c r="M16" s="80"/>
      <c r="N16" s="80"/>
      <c r="O16" s="80"/>
      <c r="P16" s="80"/>
      <c r="Q16" s="99"/>
    </row>
    <row r="17" spans="2:17" x14ac:dyDescent="0.25">
      <c r="B17" s="107"/>
      <c r="C17" s="115" t="s">
        <v>27</v>
      </c>
      <c r="D17" s="15" t="s">
        <v>52</v>
      </c>
      <c r="E17" s="116">
        <v>23.954540000000001</v>
      </c>
      <c r="F17" s="16">
        <f t="shared" ref="F17" si="13">E17/100*$C$4</f>
        <v>190.19904760000003</v>
      </c>
      <c r="G17" s="16">
        <f>160</f>
        <v>160</v>
      </c>
      <c r="H17" s="16">
        <f t="shared" ref="H17" si="14">F17+G17</f>
        <v>350.19904760000003</v>
      </c>
      <c r="I17" s="65">
        <v>328.17899999999997</v>
      </c>
      <c r="J17" s="16">
        <f t="shared" si="3"/>
        <v>22.020047600000055</v>
      </c>
      <c r="K17" s="17">
        <f t="shared" si="4"/>
        <v>0.93712133784797857</v>
      </c>
      <c r="L17" s="94">
        <f t="shared" ref="L17" si="15">F17+F18</f>
        <v>211.27904280000004</v>
      </c>
      <c r="M17" s="94">
        <f t="shared" ref="M17" si="16">G17+G18</f>
        <v>160</v>
      </c>
      <c r="N17" s="94">
        <f t="shared" ref="N17" si="17">L17+M17</f>
        <v>371.27904280000007</v>
      </c>
      <c r="O17" s="94">
        <f t="shared" ref="O17" si="18">I17+I18</f>
        <v>370.56699999999995</v>
      </c>
      <c r="P17" s="94">
        <f t="shared" ref="P17" si="19">N17-O17</f>
        <v>0.71204280000011977</v>
      </c>
      <c r="Q17" s="99">
        <f t="shared" ref="Q17" si="20">O17/N17</f>
        <v>0.99808218962581285</v>
      </c>
    </row>
    <row r="18" spans="2:17" x14ac:dyDescent="0.25">
      <c r="B18" s="107"/>
      <c r="C18" s="115"/>
      <c r="D18" s="15" t="s">
        <v>53</v>
      </c>
      <c r="E18" s="116"/>
      <c r="F18" s="16">
        <f t="shared" ref="F18" si="21">E17/100*$C$5</f>
        <v>21.079995200000003</v>
      </c>
      <c r="G18" s="16"/>
      <c r="H18" s="16">
        <f t="shared" ref="H18" si="22">F18+G18+J17</f>
        <v>43.100042800000054</v>
      </c>
      <c r="I18" s="65">
        <v>42.387999999999998</v>
      </c>
      <c r="J18" s="16">
        <f t="shared" si="3"/>
        <v>0.71204280000005582</v>
      </c>
      <c r="K18" s="17">
        <f t="shared" si="4"/>
        <v>0.98347930178853427</v>
      </c>
      <c r="L18" s="80"/>
      <c r="M18" s="80"/>
      <c r="N18" s="80"/>
      <c r="O18" s="80"/>
      <c r="P18" s="80"/>
      <c r="Q18" s="99"/>
    </row>
    <row r="19" spans="2:17" x14ac:dyDescent="0.25">
      <c r="B19" s="107"/>
      <c r="C19" s="115" t="s">
        <v>28</v>
      </c>
      <c r="D19" s="15" t="s">
        <v>52</v>
      </c>
      <c r="E19" s="116">
        <v>29.124255900000001</v>
      </c>
      <c r="F19" s="16">
        <f>E19/100*$C$4</f>
        <v>231.246591846</v>
      </c>
      <c r="G19" s="16">
        <f>94.2858-49.98-46.357-160-94.2858</f>
        <v>-256.33699999999999</v>
      </c>
      <c r="H19" s="16">
        <f t="shared" ref="H19" si="23">F19+G19</f>
        <v>-25.090408153999988</v>
      </c>
      <c r="I19" s="65"/>
      <c r="J19" s="16">
        <f t="shared" si="3"/>
        <v>-25.090408153999988</v>
      </c>
      <c r="K19" s="17">
        <f t="shared" si="4"/>
        <v>0</v>
      </c>
      <c r="L19" s="94">
        <f>F19+F20</f>
        <v>256.87593703800002</v>
      </c>
      <c r="M19" s="94">
        <f t="shared" ref="M19" si="24">G19+G20</f>
        <v>-230.43809999999999</v>
      </c>
      <c r="N19" s="94">
        <f t="shared" ref="N19" si="25">L19+M19</f>
        <v>26.437837038000026</v>
      </c>
      <c r="O19" s="94">
        <f t="shared" ref="O19" si="26">I19+I20</f>
        <v>25.334</v>
      </c>
      <c r="P19" s="94">
        <f t="shared" ref="P19" si="27">N19-O19</f>
        <v>1.1038370380000266</v>
      </c>
      <c r="Q19" s="99">
        <f t="shared" ref="Q19" si="28">O19/N19</f>
        <v>0.95824783107583866</v>
      </c>
    </row>
    <row r="20" spans="2:17" x14ac:dyDescent="0.25">
      <c r="B20" s="107"/>
      <c r="C20" s="115"/>
      <c r="D20" s="15" t="s">
        <v>53</v>
      </c>
      <c r="E20" s="116"/>
      <c r="F20" s="16">
        <f t="shared" ref="F20" si="29">E19/100*$C$5</f>
        <v>25.629345192000002</v>
      </c>
      <c r="G20" s="16">
        <v>25.898900000000001</v>
      </c>
      <c r="H20" s="16">
        <f t="shared" ref="H20" si="30">F20+G20+J19</f>
        <v>26.437837038000012</v>
      </c>
      <c r="I20" s="65">
        <v>25.334</v>
      </c>
      <c r="J20" s="16">
        <f t="shared" si="3"/>
        <v>1.1038370380000124</v>
      </c>
      <c r="K20" s="17">
        <f t="shared" si="4"/>
        <v>0.95824783107583922</v>
      </c>
      <c r="L20" s="80"/>
      <c r="M20" s="80"/>
      <c r="N20" s="80"/>
      <c r="O20" s="80"/>
      <c r="P20" s="80"/>
      <c r="Q20" s="99"/>
    </row>
    <row r="21" spans="2:17" x14ac:dyDescent="0.25">
      <c r="B21" s="107"/>
      <c r="C21" s="115" t="s">
        <v>29</v>
      </c>
      <c r="D21" s="15" t="s">
        <v>52</v>
      </c>
      <c r="E21" s="116">
        <v>0.26877200000000001</v>
      </c>
      <c r="F21" s="16">
        <f t="shared" ref="F21" si="31">E21/100*$C$4</f>
        <v>2.1340496799999999</v>
      </c>
      <c r="G21" s="16"/>
      <c r="H21" s="16">
        <f t="shared" ref="H21" si="32">F21+G21</f>
        <v>2.1340496799999999</v>
      </c>
      <c r="I21" s="65">
        <v>8.1000000000000003E-2</v>
      </c>
      <c r="J21" s="16">
        <f t="shared" si="3"/>
        <v>2.05304968</v>
      </c>
      <c r="K21" s="17">
        <f t="shared" si="4"/>
        <v>3.7956004848022099E-2</v>
      </c>
      <c r="L21" s="94">
        <f t="shared" ref="L21" si="33">F21+F22</f>
        <v>2.3705690399999999</v>
      </c>
      <c r="M21" s="94">
        <f t="shared" ref="M21" si="34">G21+G22</f>
        <v>0</v>
      </c>
      <c r="N21" s="94">
        <f t="shared" ref="N21" si="35">L21+M21</f>
        <v>2.3705690399999999</v>
      </c>
      <c r="O21" s="94">
        <f t="shared" ref="O21" si="36">I21+I22</f>
        <v>0.16699999999999998</v>
      </c>
      <c r="P21" s="94">
        <f t="shared" ref="P21" si="37">N21-O21</f>
        <v>2.2035690400000001</v>
      </c>
      <c r="Q21" s="99">
        <f t="shared" ref="Q21" si="38">O21/N21</f>
        <v>7.0447220554268261E-2</v>
      </c>
    </row>
    <row r="22" spans="2:17" x14ac:dyDescent="0.25">
      <c r="B22" s="107"/>
      <c r="C22" s="115"/>
      <c r="D22" s="15" t="s">
        <v>53</v>
      </c>
      <c r="E22" s="116"/>
      <c r="F22" s="16">
        <f t="shared" ref="F22" si="39">E21/100*$C$5</f>
        <v>0.23651936000000001</v>
      </c>
      <c r="G22" s="16"/>
      <c r="H22" s="16">
        <f t="shared" ref="H22" si="40">F22+G22+J21</f>
        <v>2.2895690399999999</v>
      </c>
      <c r="I22" s="65">
        <v>8.5999999999999993E-2</v>
      </c>
      <c r="J22" s="16">
        <f t="shared" si="3"/>
        <v>2.2035690400000001</v>
      </c>
      <c r="K22" s="17">
        <f t="shared" si="4"/>
        <v>3.7561653960869419E-2</v>
      </c>
      <c r="L22" s="80"/>
      <c r="M22" s="80"/>
      <c r="N22" s="80"/>
      <c r="O22" s="80"/>
      <c r="P22" s="80"/>
      <c r="Q22" s="99"/>
    </row>
    <row r="23" spans="2:17" x14ac:dyDescent="0.25">
      <c r="B23" s="107"/>
      <c r="C23" s="115" t="s">
        <v>30</v>
      </c>
      <c r="D23" s="15" t="s">
        <v>52</v>
      </c>
      <c r="E23" s="116">
        <v>8.0000000000000002E-3</v>
      </c>
      <c r="F23" s="16">
        <f t="shared" ref="F23" si="41">E23/100*$C$4</f>
        <v>6.3520000000000007E-2</v>
      </c>
      <c r="G23" s="16"/>
      <c r="H23" s="16">
        <f t="shared" ref="H23" si="42">F23+G23</f>
        <v>6.3520000000000007E-2</v>
      </c>
      <c r="I23" s="65"/>
      <c r="J23" s="16">
        <f t="shared" si="3"/>
        <v>6.3520000000000007E-2</v>
      </c>
      <c r="K23" s="17">
        <f t="shared" si="4"/>
        <v>0</v>
      </c>
      <c r="L23" s="94">
        <f t="shared" ref="L23" si="43">F23+F24</f>
        <v>7.0560000000000012E-2</v>
      </c>
      <c r="M23" s="94">
        <f t="shared" ref="M23" si="44">G23+G24</f>
        <v>0</v>
      </c>
      <c r="N23" s="94">
        <f t="shared" ref="N23" si="45">L23+M23</f>
        <v>7.0560000000000012E-2</v>
      </c>
      <c r="O23" s="94">
        <f t="shared" ref="O23" si="46">I23+I24</f>
        <v>0</v>
      </c>
      <c r="P23" s="94">
        <f t="shared" ref="P23" si="47">N23-O23</f>
        <v>7.0560000000000012E-2</v>
      </c>
      <c r="Q23" s="99">
        <f t="shared" ref="Q23" si="48">O23/N23</f>
        <v>0</v>
      </c>
    </row>
    <row r="24" spans="2:17" x14ac:dyDescent="0.25">
      <c r="B24" s="107"/>
      <c r="C24" s="115"/>
      <c r="D24" s="15" t="s">
        <v>53</v>
      </c>
      <c r="E24" s="116"/>
      <c r="F24" s="16">
        <f t="shared" ref="F24" si="49">E23/100*$C$5</f>
        <v>7.0400000000000003E-3</v>
      </c>
      <c r="G24" s="16"/>
      <c r="H24" s="16">
        <f t="shared" ref="H24" si="50">F24+G24+J23</f>
        <v>7.0560000000000012E-2</v>
      </c>
      <c r="I24" s="65"/>
      <c r="J24" s="16">
        <f t="shared" si="3"/>
        <v>7.0560000000000012E-2</v>
      </c>
      <c r="K24" s="17">
        <f t="shared" si="4"/>
        <v>0</v>
      </c>
      <c r="L24" s="80"/>
      <c r="M24" s="80"/>
      <c r="N24" s="80"/>
      <c r="O24" s="80"/>
      <c r="P24" s="80"/>
      <c r="Q24" s="99"/>
    </row>
    <row r="25" spans="2:17" x14ac:dyDescent="0.25">
      <c r="B25" s="107"/>
      <c r="C25" s="115" t="s">
        <v>31</v>
      </c>
      <c r="D25" s="15" t="s">
        <v>52</v>
      </c>
      <c r="E25" s="116">
        <v>18.574619999999999</v>
      </c>
      <c r="F25" s="16">
        <f t="shared" ref="F25" si="51">E25/100*$C$4</f>
        <v>147.48248280000001</v>
      </c>
      <c r="G25" s="16">
        <f>49.98+94.2858</f>
        <v>144.26579999999998</v>
      </c>
      <c r="H25" s="16">
        <f t="shared" ref="H25" si="52">F25+G25</f>
        <v>291.74828279999997</v>
      </c>
      <c r="I25" s="65">
        <v>167.47900000000001</v>
      </c>
      <c r="J25" s="16">
        <f t="shared" si="3"/>
        <v>124.26928279999996</v>
      </c>
      <c r="K25" s="17">
        <f t="shared" si="4"/>
        <v>0.57405307888242363</v>
      </c>
      <c r="L25" s="94">
        <f t="shared" ref="L25" si="53">F25+F26</f>
        <v>163.8281484</v>
      </c>
      <c r="M25" s="94">
        <f t="shared" ref="M25" si="54">G25+G26</f>
        <v>144.26579999999998</v>
      </c>
      <c r="N25" s="94">
        <f t="shared" ref="N25" si="55">L25+M25</f>
        <v>308.09394839999999</v>
      </c>
      <c r="O25" s="94">
        <f t="shared" ref="O25" si="56">I25+I26</f>
        <v>300.91700000000003</v>
      </c>
      <c r="P25" s="94">
        <f t="shared" ref="P25" si="57">N25-O25</f>
        <v>7.1769483999999579</v>
      </c>
      <c r="Q25" s="99">
        <f t="shared" ref="Q25" si="58">O25/N25</f>
        <v>0.97670532499170648</v>
      </c>
    </row>
    <row r="26" spans="2:17" x14ac:dyDescent="0.25">
      <c r="B26" s="107"/>
      <c r="C26" s="115"/>
      <c r="D26" s="15" t="s">
        <v>53</v>
      </c>
      <c r="E26" s="116"/>
      <c r="F26" s="16">
        <f t="shared" ref="F26" si="59">E25/100*$C$5</f>
        <v>16.3456656</v>
      </c>
      <c r="G26" s="16"/>
      <c r="H26" s="16">
        <f t="shared" ref="H26" si="60">F26+G26+J25</f>
        <v>140.61494839999995</v>
      </c>
      <c r="I26" s="65">
        <v>133.43799999999999</v>
      </c>
      <c r="J26" s="16">
        <f t="shared" si="3"/>
        <v>7.1769483999999579</v>
      </c>
      <c r="K26" s="17">
        <f t="shared" si="4"/>
        <v>0.9489602742691049</v>
      </c>
      <c r="L26" s="80"/>
      <c r="M26" s="80"/>
      <c r="N26" s="80"/>
      <c r="O26" s="80"/>
      <c r="P26" s="80"/>
      <c r="Q26" s="99"/>
    </row>
    <row r="27" spans="2:17" x14ac:dyDescent="0.25">
      <c r="B27" s="107"/>
      <c r="C27" s="115" t="s">
        <v>32</v>
      </c>
      <c r="D27" s="15" t="s">
        <v>52</v>
      </c>
      <c r="E27" s="116">
        <v>0.1</v>
      </c>
      <c r="F27" s="16">
        <f t="shared" ref="F27" si="61">E27/100*$C$4</f>
        <v>0.79400000000000004</v>
      </c>
      <c r="G27" s="16"/>
      <c r="H27" s="16">
        <f t="shared" ref="H27" si="62">F27+G27</f>
        <v>0.79400000000000004</v>
      </c>
      <c r="I27" s="65"/>
      <c r="J27" s="16">
        <f t="shared" si="3"/>
        <v>0.79400000000000004</v>
      </c>
      <c r="K27" s="17">
        <f t="shared" si="4"/>
        <v>0</v>
      </c>
      <c r="L27" s="94">
        <f t="shared" ref="L27" si="63">F27+F28</f>
        <v>0.88200000000000001</v>
      </c>
      <c r="M27" s="94">
        <f t="shared" ref="M27" si="64">G27+G28</f>
        <v>0</v>
      </c>
      <c r="N27" s="94">
        <f t="shared" ref="N27" si="65">L27+M27</f>
        <v>0.88200000000000001</v>
      </c>
      <c r="O27" s="94">
        <f t="shared" ref="O27" si="66">I27+I28</f>
        <v>0</v>
      </c>
      <c r="P27" s="94">
        <f t="shared" ref="P27" si="67">N27-O27</f>
        <v>0.88200000000000001</v>
      </c>
      <c r="Q27" s="99">
        <f t="shared" ref="Q27" si="68">O27/N27</f>
        <v>0</v>
      </c>
    </row>
    <row r="28" spans="2:17" x14ac:dyDescent="0.25">
      <c r="B28" s="107"/>
      <c r="C28" s="115"/>
      <c r="D28" s="15" t="s">
        <v>53</v>
      </c>
      <c r="E28" s="116"/>
      <c r="F28" s="16">
        <f t="shared" ref="F28" si="69">E27/100*$C$5</f>
        <v>8.7999999999999995E-2</v>
      </c>
      <c r="G28" s="16"/>
      <c r="H28" s="16">
        <f t="shared" ref="H28" si="70">F28+G28+J27</f>
        <v>0.88200000000000001</v>
      </c>
      <c r="I28" s="65"/>
      <c r="J28" s="16">
        <f t="shared" si="3"/>
        <v>0.88200000000000001</v>
      </c>
      <c r="K28" s="17">
        <f t="shared" si="4"/>
        <v>0</v>
      </c>
      <c r="L28" s="80"/>
      <c r="M28" s="80"/>
      <c r="N28" s="80"/>
      <c r="O28" s="80"/>
      <c r="P28" s="80"/>
      <c r="Q28" s="99"/>
    </row>
    <row r="29" spans="2:17" x14ac:dyDescent="0.25">
      <c r="B29" s="107"/>
      <c r="C29" s="115" t="s">
        <v>33</v>
      </c>
      <c r="D29" s="15" t="s">
        <v>52</v>
      </c>
      <c r="E29" s="116">
        <v>2.5799999999999998E-3</v>
      </c>
      <c r="F29" s="16">
        <f t="shared" ref="F29" si="71">E29/100*$C$4</f>
        <v>2.0485199999999999E-2</v>
      </c>
      <c r="G29" s="16"/>
      <c r="H29" s="16">
        <f t="shared" ref="H29" si="72">F29+G29</f>
        <v>2.0485199999999999E-2</v>
      </c>
      <c r="I29" s="65"/>
      <c r="J29" s="16">
        <f t="shared" si="3"/>
        <v>2.0485199999999999E-2</v>
      </c>
      <c r="K29" s="17">
        <f t="shared" si="4"/>
        <v>0</v>
      </c>
      <c r="L29" s="94">
        <f t="shared" ref="L29" si="73">F29+F30</f>
        <v>2.2755599999999997E-2</v>
      </c>
      <c r="M29" s="94">
        <f t="shared" ref="M29" si="74">G29+G30</f>
        <v>0</v>
      </c>
      <c r="N29" s="94">
        <f t="shared" ref="N29" si="75">L29+M29</f>
        <v>2.2755599999999997E-2</v>
      </c>
      <c r="O29" s="94">
        <f t="shared" ref="O29" si="76">I29+I30</f>
        <v>0</v>
      </c>
      <c r="P29" s="94">
        <f t="shared" ref="P29" si="77">N29-O29</f>
        <v>2.2755599999999997E-2</v>
      </c>
      <c r="Q29" s="99">
        <f t="shared" ref="Q29" si="78">O29/N29</f>
        <v>0</v>
      </c>
    </row>
    <row r="30" spans="2:17" x14ac:dyDescent="0.25">
      <c r="B30" s="107"/>
      <c r="C30" s="115"/>
      <c r="D30" s="15" t="s">
        <v>53</v>
      </c>
      <c r="E30" s="116"/>
      <c r="F30" s="16">
        <f t="shared" ref="F30" si="79">E29/100*$C$5</f>
        <v>2.2703999999999997E-3</v>
      </c>
      <c r="G30" s="16"/>
      <c r="H30" s="16">
        <f t="shared" ref="H30" si="80">F30+G30+J29</f>
        <v>2.2755599999999997E-2</v>
      </c>
      <c r="I30" s="65"/>
      <c r="J30" s="16">
        <f t="shared" si="3"/>
        <v>2.2755599999999997E-2</v>
      </c>
      <c r="K30" s="17">
        <f t="shared" si="4"/>
        <v>0</v>
      </c>
      <c r="L30" s="80"/>
      <c r="M30" s="80"/>
      <c r="N30" s="80"/>
      <c r="O30" s="80"/>
      <c r="P30" s="80"/>
      <c r="Q30" s="99"/>
    </row>
    <row r="31" spans="2:17" x14ac:dyDescent="0.25">
      <c r="B31" s="107"/>
      <c r="C31" s="115" t="s">
        <v>35</v>
      </c>
      <c r="D31" s="15" t="s">
        <v>52</v>
      </c>
      <c r="E31" s="116">
        <v>15.156136999999999</v>
      </c>
      <c r="F31" s="16">
        <f t="shared" ref="F31" si="81">E31/100*$C$4</f>
        <v>120.33972778</v>
      </c>
      <c r="G31" s="16">
        <f>-94.2858</f>
        <v>-94.285799999999995</v>
      </c>
      <c r="H31" s="16">
        <f t="shared" ref="H31" si="82">F31+G31</f>
        <v>26.053927780000009</v>
      </c>
      <c r="I31" s="65"/>
      <c r="J31" s="16">
        <f t="shared" si="3"/>
        <v>26.053927780000009</v>
      </c>
      <c r="K31" s="17">
        <f t="shared" si="4"/>
        <v>0</v>
      </c>
      <c r="L31" s="94">
        <f t="shared" ref="L31" si="83">F31+F32</f>
        <v>133.67712834</v>
      </c>
      <c r="M31" s="94">
        <f t="shared" ref="M31" si="84">G31+G32</f>
        <v>-120.1848</v>
      </c>
      <c r="N31" s="94">
        <f t="shared" ref="N31" si="85">L31+M31</f>
        <v>13.49232834</v>
      </c>
      <c r="O31" s="94">
        <f t="shared" ref="O31" si="86">I31+I32</f>
        <v>0</v>
      </c>
      <c r="P31" s="94">
        <f t="shared" ref="P31" si="87">N31-O31</f>
        <v>13.49232834</v>
      </c>
      <c r="Q31" s="99">
        <f t="shared" ref="Q31" si="88">O31/N31</f>
        <v>0</v>
      </c>
    </row>
    <row r="32" spans="2:17" x14ac:dyDescent="0.25">
      <c r="B32" s="107"/>
      <c r="C32" s="115"/>
      <c r="D32" s="15" t="s">
        <v>53</v>
      </c>
      <c r="E32" s="116"/>
      <c r="F32" s="16">
        <f t="shared" ref="F32" si="89">E31/100*$C$5</f>
        <v>13.337400560000001</v>
      </c>
      <c r="G32" s="16">
        <f>-25.899</f>
        <v>-25.899000000000001</v>
      </c>
      <c r="H32" s="16">
        <f t="shared" ref="H32" si="90">F32+G32+J31</f>
        <v>13.492328340000009</v>
      </c>
      <c r="I32" s="65"/>
      <c r="J32" s="16">
        <f t="shared" si="3"/>
        <v>13.492328340000009</v>
      </c>
      <c r="K32" s="17">
        <f t="shared" si="4"/>
        <v>0</v>
      </c>
      <c r="L32" s="80"/>
      <c r="M32" s="80"/>
      <c r="N32" s="80"/>
      <c r="O32" s="80"/>
      <c r="P32" s="80"/>
      <c r="Q32" s="99"/>
    </row>
    <row r="33" spans="2:17" x14ac:dyDescent="0.25">
      <c r="B33" s="107"/>
      <c r="C33" s="115" t="s">
        <v>36</v>
      </c>
      <c r="D33" s="15" t="s">
        <v>52</v>
      </c>
      <c r="E33" s="116">
        <v>2.0100000000000001E-3</v>
      </c>
      <c r="F33" s="16">
        <f t="shared" ref="F33" si="91">E33/100*$C$4</f>
        <v>1.5959400000000002E-2</v>
      </c>
      <c r="G33" s="16"/>
      <c r="H33" s="16">
        <f t="shared" ref="H33" si="92">F33+G33</f>
        <v>1.5959400000000002E-2</v>
      </c>
      <c r="I33" s="65"/>
      <c r="J33" s="16">
        <f t="shared" si="3"/>
        <v>1.5959400000000002E-2</v>
      </c>
      <c r="K33" s="17">
        <f t="shared" si="4"/>
        <v>0</v>
      </c>
      <c r="L33" s="94">
        <f t="shared" ref="L33" si="93">F33+F34</f>
        <v>1.7728200000000003E-2</v>
      </c>
      <c r="M33" s="94">
        <f t="shared" ref="M33" si="94">G33+G34</f>
        <v>0</v>
      </c>
      <c r="N33" s="94">
        <f t="shared" ref="N33" si="95">L33+M33</f>
        <v>1.7728200000000003E-2</v>
      </c>
      <c r="O33" s="94">
        <f t="shared" ref="O33" si="96">I33+I34</f>
        <v>0</v>
      </c>
      <c r="P33" s="94">
        <f t="shared" ref="P33" si="97">N33-O33</f>
        <v>1.7728200000000003E-2</v>
      </c>
      <c r="Q33" s="99">
        <f t="shared" ref="Q33" si="98">O33/N33</f>
        <v>0</v>
      </c>
    </row>
    <row r="34" spans="2:17" x14ac:dyDescent="0.25">
      <c r="B34" s="107"/>
      <c r="C34" s="115"/>
      <c r="D34" s="15" t="s">
        <v>53</v>
      </c>
      <c r="E34" s="116"/>
      <c r="F34" s="16">
        <f t="shared" ref="F34" si="99">E33/100*$C$5</f>
        <v>1.7688000000000001E-3</v>
      </c>
      <c r="G34" s="16"/>
      <c r="H34" s="16">
        <f t="shared" ref="H34" si="100">F34+G34+J33</f>
        <v>1.7728200000000003E-2</v>
      </c>
      <c r="I34" s="65"/>
      <c r="J34" s="16">
        <f t="shared" si="3"/>
        <v>1.7728200000000003E-2</v>
      </c>
      <c r="K34" s="17">
        <f t="shared" si="4"/>
        <v>0</v>
      </c>
      <c r="L34" s="80"/>
      <c r="M34" s="80"/>
      <c r="N34" s="80"/>
      <c r="O34" s="80"/>
      <c r="P34" s="80"/>
      <c r="Q34" s="99"/>
    </row>
    <row r="35" spans="2:17" x14ac:dyDescent="0.25">
      <c r="B35" s="107"/>
      <c r="C35" s="115" t="s">
        <v>37</v>
      </c>
      <c r="D35" s="15" t="s">
        <v>52</v>
      </c>
      <c r="E35" s="116">
        <v>0.36196499999999998</v>
      </c>
      <c r="F35" s="16">
        <f t="shared" ref="F35" si="101">E35/100*$C$4</f>
        <v>2.8740020999999998</v>
      </c>
      <c r="G35" s="16"/>
      <c r="H35" s="16">
        <f t="shared" ref="H35" si="102">F35+G35</f>
        <v>2.8740020999999998</v>
      </c>
      <c r="I35" s="65">
        <v>0.19</v>
      </c>
      <c r="J35" s="16">
        <f t="shared" si="3"/>
        <v>2.6840020999999998</v>
      </c>
      <c r="K35" s="17">
        <f t="shared" si="4"/>
        <v>6.6109902981629692E-2</v>
      </c>
      <c r="L35" s="94">
        <f t="shared" ref="L35" si="103">F35+F36</f>
        <v>3.1925312999999997</v>
      </c>
      <c r="M35" s="94">
        <f t="shared" ref="M35" si="104">G35+G36</f>
        <v>0</v>
      </c>
      <c r="N35" s="94">
        <f t="shared" ref="N35" si="105">L35+M35</f>
        <v>3.1925312999999997</v>
      </c>
      <c r="O35" s="94">
        <f t="shared" ref="O35" si="106">I35+I36</f>
        <v>0.19</v>
      </c>
      <c r="P35" s="94">
        <f t="shared" ref="P35" si="107">N35-O35</f>
        <v>3.0025312999999998</v>
      </c>
      <c r="Q35" s="99">
        <f t="shared" ref="Q35" si="108">O35/N35</f>
        <v>5.9513903591172312E-2</v>
      </c>
    </row>
    <row r="36" spans="2:17" x14ac:dyDescent="0.25">
      <c r="B36" s="107"/>
      <c r="C36" s="115"/>
      <c r="D36" s="15" t="s">
        <v>53</v>
      </c>
      <c r="E36" s="116"/>
      <c r="F36" s="16">
        <f t="shared" ref="F36" si="109">E35/100*$C$5</f>
        <v>0.31852920000000001</v>
      </c>
      <c r="G36" s="16"/>
      <c r="H36" s="16">
        <f t="shared" ref="H36" si="110">F36+G36+J35</f>
        <v>3.0025312999999998</v>
      </c>
      <c r="I36" s="65"/>
      <c r="J36" s="16">
        <f t="shared" si="3"/>
        <v>3.0025312999999998</v>
      </c>
      <c r="K36" s="17">
        <f t="shared" si="4"/>
        <v>0</v>
      </c>
      <c r="L36" s="80"/>
      <c r="M36" s="80"/>
      <c r="N36" s="80"/>
      <c r="O36" s="80"/>
      <c r="P36" s="80"/>
      <c r="Q36" s="99"/>
    </row>
    <row r="37" spans="2:17" x14ac:dyDescent="0.25">
      <c r="B37" s="107"/>
      <c r="C37" s="115" t="s">
        <v>38</v>
      </c>
      <c r="D37" s="15" t="s">
        <v>52</v>
      </c>
      <c r="E37" s="116">
        <v>0</v>
      </c>
      <c r="F37" s="16">
        <f>E37/100*$C$4</f>
        <v>0</v>
      </c>
      <c r="G37" s="16"/>
      <c r="H37" s="16">
        <f t="shared" ref="H37" si="111">F37+G37</f>
        <v>0</v>
      </c>
      <c r="I37" s="65"/>
      <c r="J37" s="16">
        <f t="shared" si="3"/>
        <v>0</v>
      </c>
      <c r="K37" s="17" t="e">
        <f t="shared" si="4"/>
        <v>#DIV/0!</v>
      </c>
      <c r="L37" s="94">
        <f t="shared" ref="L37" si="112">F37+F38</f>
        <v>0</v>
      </c>
      <c r="M37" s="94">
        <f t="shared" ref="M37" si="113">G37+G38</f>
        <v>0</v>
      </c>
      <c r="N37" s="94">
        <f t="shared" ref="N37" si="114">L37+M37</f>
        <v>0</v>
      </c>
      <c r="O37" s="94">
        <f t="shared" ref="O37" si="115">I37+I38</f>
        <v>0</v>
      </c>
      <c r="P37" s="94">
        <f t="shared" ref="P37" si="116">N37-O37</f>
        <v>0</v>
      </c>
      <c r="Q37" s="99">
        <v>0</v>
      </c>
    </row>
    <row r="38" spans="2:17" x14ac:dyDescent="0.25">
      <c r="B38" s="107"/>
      <c r="C38" s="115"/>
      <c r="D38" s="15" t="s">
        <v>53</v>
      </c>
      <c r="E38" s="116"/>
      <c r="F38" s="16">
        <f>E37/100*$C$5</f>
        <v>0</v>
      </c>
      <c r="G38" s="16"/>
      <c r="H38" s="16">
        <f t="shared" ref="H38" si="117">F38+G38+J37</f>
        <v>0</v>
      </c>
      <c r="I38" s="65"/>
      <c r="J38" s="16">
        <f t="shared" si="3"/>
        <v>0</v>
      </c>
      <c r="K38" s="17" t="e">
        <f t="shared" si="4"/>
        <v>#DIV/0!</v>
      </c>
      <c r="L38" s="80"/>
      <c r="M38" s="80"/>
      <c r="N38" s="80"/>
      <c r="O38" s="80"/>
      <c r="P38" s="80"/>
      <c r="Q38" s="99"/>
    </row>
    <row r="39" spans="2:17" ht="12" customHeight="1" x14ac:dyDescent="0.25">
      <c r="B39" s="112" t="s">
        <v>108</v>
      </c>
      <c r="C39" s="115" t="s">
        <v>24</v>
      </c>
      <c r="D39" s="15" t="s">
        <v>52</v>
      </c>
      <c r="E39" s="116">
        <v>9.11</v>
      </c>
      <c r="F39" s="16">
        <f>E39/100*$D$4</f>
        <v>88.367000000000004</v>
      </c>
      <c r="G39" s="16">
        <f>-86.357</f>
        <v>-86.356999999999999</v>
      </c>
      <c r="H39" s="16">
        <f t="shared" ref="H39" si="118">F39+G39</f>
        <v>2.0100000000000051</v>
      </c>
      <c r="I39" s="65"/>
      <c r="J39" s="16">
        <f t="shared" si="3"/>
        <v>2.0100000000000051</v>
      </c>
      <c r="K39" s="17">
        <f t="shared" si="4"/>
        <v>0</v>
      </c>
      <c r="L39" s="94">
        <f>F39+F40</f>
        <v>98.205800000000011</v>
      </c>
      <c r="M39" s="94">
        <f>G39+G40</f>
        <v>-86.356999999999999</v>
      </c>
      <c r="N39" s="94">
        <f>L39+M39</f>
        <v>11.848800000000011</v>
      </c>
      <c r="O39" s="94">
        <f t="shared" ref="O39" si="119">I39+I40</f>
        <v>11.114000000000001</v>
      </c>
      <c r="P39" s="94">
        <f>N39-O39</f>
        <v>0.73480000000001056</v>
      </c>
      <c r="Q39" s="99">
        <f t="shared" ref="Q39" si="120">O39/N39</f>
        <v>0.93798528120991076</v>
      </c>
    </row>
    <row r="40" spans="2:17" x14ac:dyDescent="0.25">
      <c r="B40" s="113"/>
      <c r="C40" s="115"/>
      <c r="D40" s="15" t="s">
        <v>53</v>
      </c>
      <c r="E40" s="116"/>
      <c r="F40" s="16">
        <f>E39/100*$D$5</f>
        <v>9.8388000000000009</v>
      </c>
      <c r="G40" s="16"/>
      <c r="H40" s="16">
        <f t="shared" ref="H40" si="121">F40+G40+J39</f>
        <v>11.848800000000006</v>
      </c>
      <c r="I40" s="65">
        <v>11.114000000000001</v>
      </c>
      <c r="J40" s="16">
        <f t="shared" si="3"/>
        <v>0.73480000000000523</v>
      </c>
      <c r="K40" s="17">
        <f t="shared" si="4"/>
        <v>0.93798528120991109</v>
      </c>
      <c r="L40" s="80"/>
      <c r="M40" s="80"/>
      <c r="N40" s="80"/>
      <c r="O40" s="80"/>
      <c r="P40" s="80"/>
      <c r="Q40" s="99"/>
    </row>
    <row r="41" spans="2:17" x14ac:dyDescent="0.25">
      <c r="B41" s="113"/>
      <c r="C41" s="115" t="s">
        <v>25</v>
      </c>
      <c r="D41" s="15" t="s">
        <v>52</v>
      </c>
      <c r="E41" s="116">
        <v>3.3374199999999998</v>
      </c>
      <c r="F41" s="16">
        <f t="shared" ref="F41" si="122">E41/100*$D$4</f>
        <v>32.372973999999999</v>
      </c>
      <c r="G41" s="16"/>
      <c r="H41" s="16">
        <f t="shared" ref="H41" si="123">F41+G41</f>
        <v>32.372973999999999</v>
      </c>
      <c r="I41" s="65">
        <v>0.109</v>
      </c>
      <c r="J41" s="16">
        <f t="shared" si="3"/>
        <v>32.263973999999997</v>
      </c>
      <c r="K41" s="17">
        <f t="shared" si="4"/>
        <v>3.3670060711752958E-3</v>
      </c>
      <c r="L41" s="94">
        <f t="shared" ref="L41" si="124">F41+F42</f>
        <v>35.9773876</v>
      </c>
      <c r="M41" s="94">
        <f t="shared" ref="M41" si="125">G41+G42</f>
        <v>0</v>
      </c>
      <c r="N41" s="94">
        <f t="shared" ref="N41" si="126">L41+M41</f>
        <v>35.9773876</v>
      </c>
      <c r="O41" s="94">
        <f t="shared" ref="O41" si="127">I41+I42</f>
        <v>0.127</v>
      </c>
      <c r="P41" s="94">
        <f t="shared" ref="P41" si="128">N41-O41</f>
        <v>35.850387599999998</v>
      </c>
      <c r="Q41" s="99">
        <f t="shared" ref="Q41" si="129">O41/N41</f>
        <v>3.5299950461105743E-3</v>
      </c>
    </row>
    <row r="42" spans="2:17" x14ac:dyDescent="0.25">
      <c r="B42" s="113"/>
      <c r="C42" s="115"/>
      <c r="D42" s="15" t="s">
        <v>53</v>
      </c>
      <c r="E42" s="116"/>
      <c r="F42" s="16">
        <f t="shared" ref="F42" si="130">E41/100*$D$5</f>
        <v>3.6044136</v>
      </c>
      <c r="G42" s="16"/>
      <c r="H42" s="16">
        <f t="shared" ref="H42" si="131">F42+G42+J41</f>
        <v>35.868387599999998</v>
      </c>
      <c r="I42" s="65">
        <v>1.7999999999999999E-2</v>
      </c>
      <c r="J42" s="16">
        <f t="shared" si="3"/>
        <v>35.850387599999998</v>
      </c>
      <c r="K42" s="17">
        <f t="shared" si="4"/>
        <v>5.0183465732370972E-4</v>
      </c>
      <c r="L42" s="80"/>
      <c r="M42" s="80"/>
      <c r="N42" s="80"/>
      <c r="O42" s="80"/>
      <c r="P42" s="80"/>
      <c r="Q42" s="99"/>
    </row>
    <row r="43" spans="2:17" x14ac:dyDescent="0.25">
      <c r="B43" s="113"/>
      <c r="C43" s="115" t="s">
        <v>27</v>
      </c>
      <c r="D43" s="15" t="s">
        <v>52</v>
      </c>
      <c r="E43" s="116">
        <v>23.954540000000001</v>
      </c>
      <c r="F43" s="16">
        <f t="shared" ref="F43" si="132">E43/100*$D$4</f>
        <v>232.35903800000003</v>
      </c>
      <c r="G43" s="16">
        <f>-180</f>
        <v>-180</v>
      </c>
      <c r="H43" s="16">
        <f t="shared" ref="H43" si="133">F43+G43</f>
        <v>52.359038000000027</v>
      </c>
      <c r="I43" s="65">
        <v>16.861000000000001</v>
      </c>
      <c r="J43" s="16">
        <f t="shared" si="3"/>
        <v>35.498038000000022</v>
      </c>
      <c r="K43" s="17">
        <f t="shared" si="4"/>
        <v>0.32202654296284039</v>
      </c>
      <c r="L43" s="94">
        <f t="shared" ref="L43" si="134">F43+F44</f>
        <v>258.22994120000004</v>
      </c>
      <c r="M43" s="94">
        <f t="shared" ref="M43" si="135">G43+G44</f>
        <v>-180</v>
      </c>
      <c r="N43" s="94">
        <f t="shared" ref="N43" si="136">L43+M43</f>
        <v>78.229941200000042</v>
      </c>
      <c r="O43" s="94">
        <f t="shared" ref="O43" si="137">I43+I44</f>
        <v>76.882999999999996</v>
      </c>
      <c r="P43" s="94">
        <f t="shared" ref="P43" si="138">N43-O43</f>
        <v>1.346941200000046</v>
      </c>
      <c r="Q43" s="99">
        <f t="shared" ref="Q43" si="139">O43/N43</f>
        <v>0.98278228029653636</v>
      </c>
    </row>
    <row r="44" spans="2:17" x14ac:dyDescent="0.25">
      <c r="B44" s="113"/>
      <c r="C44" s="115"/>
      <c r="D44" s="15" t="s">
        <v>53</v>
      </c>
      <c r="E44" s="116"/>
      <c r="F44" s="16">
        <f t="shared" ref="F44" si="140">E43/100*$D$5</f>
        <v>25.870903200000001</v>
      </c>
      <c r="G44" s="16"/>
      <c r="H44" s="16">
        <f t="shared" ref="H44" si="141">F44+G44+J43</f>
        <v>61.368941200000023</v>
      </c>
      <c r="I44" s="65">
        <v>60.021999999999998</v>
      </c>
      <c r="J44" s="16">
        <f t="shared" si="3"/>
        <v>1.3469412000000247</v>
      </c>
      <c r="K44" s="17">
        <f t="shared" si="4"/>
        <v>0.97805174451991317</v>
      </c>
      <c r="L44" s="80"/>
      <c r="M44" s="80"/>
      <c r="N44" s="80"/>
      <c r="O44" s="80"/>
      <c r="P44" s="80"/>
      <c r="Q44" s="99"/>
    </row>
    <row r="45" spans="2:17" x14ac:dyDescent="0.25">
      <c r="B45" s="113"/>
      <c r="C45" s="115" t="s">
        <v>28</v>
      </c>
      <c r="D45" s="15" t="s">
        <v>52</v>
      </c>
      <c r="E45" s="116">
        <v>29.124255900000001</v>
      </c>
      <c r="F45" s="16">
        <f t="shared" ref="F45" si="142">E45/100*$D$4</f>
        <v>282.50528223000003</v>
      </c>
      <c r="G45" s="16">
        <f>115.2382-60.956-27.44+180+86.357</f>
        <v>293.19920000000002</v>
      </c>
      <c r="H45" s="16">
        <f t="shared" ref="H45" si="143">F45+G45</f>
        <v>575.70448223000005</v>
      </c>
      <c r="I45" s="65">
        <v>344.21</v>
      </c>
      <c r="J45" s="16">
        <f t="shared" si="3"/>
        <v>231.49448223000007</v>
      </c>
      <c r="K45" s="17">
        <f t="shared" si="4"/>
        <v>0.59789355585125425</v>
      </c>
      <c r="L45" s="94">
        <f t="shared" ref="L45" si="144">F45+F46</f>
        <v>313.95947860200005</v>
      </c>
      <c r="M45" s="94">
        <f t="shared" ref="M45" si="145">G45+G46</f>
        <v>331.85340000000002</v>
      </c>
      <c r="N45" s="94">
        <f t="shared" ref="N45" si="146">L45+M45</f>
        <v>645.81287860200007</v>
      </c>
      <c r="O45" s="94">
        <f t="shared" ref="O45" si="147">I45+I46</f>
        <v>644.26199999999994</v>
      </c>
      <c r="P45" s="94">
        <f t="shared" ref="P45" si="148">N45-O45</f>
        <v>1.5508786020001253</v>
      </c>
      <c r="Q45" s="99">
        <f t="shared" ref="Q45" si="149">O45/N45</f>
        <v>0.99759856352608312</v>
      </c>
    </row>
    <row r="46" spans="2:17" x14ac:dyDescent="0.25">
      <c r="B46" s="113"/>
      <c r="C46" s="115"/>
      <c r="D46" s="15" t="s">
        <v>53</v>
      </c>
      <c r="E46" s="116"/>
      <c r="F46" s="16">
        <f t="shared" ref="F46" si="150">E45/100*$D$5</f>
        <v>31.454196372000002</v>
      </c>
      <c r="G46" s="16">
        <f>31.6542+10-3</f>
        <v>38.654200000000003</v>
      </c>
      <c r="H46" s="16">
        <f t="shared" ref="H46" si="151">F46+G46+J45</f>
        <v>301.60287860200009</v>
      </c>
      <c r="I46" s="65">
        <v>300.05200000000002</v>
      </c>
      <c r="J46" s="16">
        <f t="shared" si="3"/>
        <v>1.5508786020000684</v>
      </c>
      <c r="K46" s="17">
        <f t="shared" si="4"/>
        <v>0.99485787864761521</v>
      </c>
      <c r="L46" s="80"/>
      <c r="M46" s="80"/>
      <c r="N46" s="80"/>
      <c r="O46" s="80"/>
      <c r="P46" s="80"/>
      <c r="Q46" s="99"/>
    </row>
    <row r="47" spans="2:17" x14ac:dyDescent="0.25">
      <c r="B47" s="113"/>
      <c r="C47" s="115" t="s">
        <v>29</v>
      </c>
      <c r="D47" s="15" t="s">
        <v>52</v>
      </c>
      <c r="E47" s="116">
        <v>0.26877200000000001</v>
      </c>
      <c r="F47" s="16">
        <f t="shared" ref="F47" si="152">E47/100*$D$4</f>
        <v>2.6070884000000003</v>
      </c>
      <c r="G47" s="16"/>
      <c r="H47" s="16">
        <f t="shared" ref="H47" si="153">F47+G47</f>
        <v>2.6070884000000003</v>
      </c>
      <c r="I47" s="65"/>
      <c r="J47" s="16">
        <f t="shared" si="3"/>
        <v>2.6070884000000003</v>
      </c>
      <c r="K47" s="17">
        <f t="shared" si="4"/>
        <v>0</v>
      </c>
      <c r="L47" s="94">
        <f t="shared" ref="L47" si="154">F47+F48</f>
        <v>2.8973621600000001</v>
      </c>
      <c r="M47" s="94">
        <f t="shared" ref="M47" si="155">G47+G48</f>
        <v>0</v>
      </c>
      <c r="N47" s="94">
        <f t="shared" ref="N47" si="156">L47+M47</f>
        <v>2.8973621600000001</v>
      </c>
      <c r="O47" s="94">
        <f t="shared" ref="O47" si="157">I47+I48</f>
        <v>0</v>
      </c>
      <c r="P47" s="94">
        <f t="shared" ref="P47" si="158">N47-O47</f>
        <v>2.8973621600000001</v>
      </c>
      <c r="Q47" s="99">
        <f t="shared" ref="Q47" si="159">O47/N47</f>
        <v>0</v>
      </c>
    </row>
    <row r="48" spans="2:17" x14ac:dyDescent="0.25">
      <c r="B48" s="113"/>
      <c r="C48" s="115"/>
      <c r="D48" s="15" t="s">
        <v>53</v>
      </c>
      <c r="E48" s="116"/>
      <c r="F48" s="16">
        <f t="shared" ref="F48" si="160">E47/100*$D$5</f>
        <v>0.29027376000000005</v>
      </c>
      <c r="G48" s="16"/>
      <c r="H48" s="16">
        <f t="shared" ref="H48" si="161">F48+G48+J47</f>
        <v>2.8973621600000001</v>
      </c>
      <c r="I48" s="65"/>
      <c r="J48" s="16">
        <f t="shared" si="3"/>
        <v>2.8973621600000001</v>
      </c>
      <c r="K48" s="17">
        <f t="shared" si="4"/>
        <v>0</v>
      </c>
      <c r="L48" s="80"/>
      <c r="M48" s="80"/>
      <c r="N48" s="80"/>
      <c r="O48" s="80"/>
      <c r="P48" s="80"/>
      <c r="Q48" s="99"/>
    </row>
    <row r="49" spans="2:17" x14ac:dyDescent="0.25">
      <c r="B49" s="113"/>
      <c r="C49" s="115" t="s">
        <v>30</v>
      </c>
      <c r="D49" s="15" t="s">
        <v>52</v>
      </c>
      <c r="E49" s="116">
        <v>8.0000000000000002E-3</v>
      </c>
      <c r="F49" s="16">
        <f t="shared" ref="F49" si="162">E49/100*$D$4</f>
        <v>7.7600000000000002E-2</v>
      </c>
      <c r="G49" s="16"/>
      <c r="H49" s="16">
        <f t="shared" ref="H49" si="163">F49+G49</f>
        <v>7.7600000000000002E-2</v>
      </c>
      <c r="I49" s="65"/>
      <c r="J49" s="16">
        <f t="shared" si="3"/>
        <v>7.7600000000000002E-2</v>
      </c>
      <c r="K49" s="17">
        <f t="shared" si="4"/>
        <v>0</v>
      </c>
      <c r="L49" s="94">
        <f t="shared" ref="L49" si="164">F49+F50</f>
        <v>8.6239999999999997E-2</v>
      </c>
      <c r="M49" s="94">
        <f t="shared" ref="M49" si="165">G49+G50</f>
        <v>0</v>
      </c>
      <c r="N49" s="94">
        <f t="shared" ref="N49" si="166">L49+M49</f>
        <v>8.6239999999999997E-2</v>
      </c>
      <c r="O49" s="94">
        <f t="shared" ref="O49" si="167">I49+I50</f>
        <v>0</v>
      </c>
      <c r="P49" s="94">
        <f t="shared" ref="P49" si="168">N49-O49</f>
        <v>8.6239999999999997E-2</v>
      </c>
      <c r="Q49" s="99">
        <f t="shared" ref="Q49" si="169">O49/N49</f>
        <v>0</v>
      </c>
    </row>
    <row r="50" spans="2:17" x14ac:dyDescent="0.25">
      <c r="B50" s="113"/>
      <c r="C50" s="115"/>
      <c r="D50" s="15" t="s">
        <v>53</v>
      </c>
      <c r="E50" s="116"/>
      <c r="F50" s="16">
        <f t="shared" ref="F50" si="170">E49/100*$D$5</f>
        <v>8.6400000000000001E-3</v>
      </c>
      <c r="G50" s="16"/>
      <c r="H50" s="16">
        <f t="shared" ref="H50" si="171">F50+G50+J49</f>
        <v>8.6239999999999997E-2</v>
      </c>
      <c r="I50" s="65"/>
      <c r="J50" s="16">
        <f t="shared" si="3"/>
        <v>8.6239999999999997E-2</v>
      </c>
      <c r="K50" s="17">
        <f t="shared" si="4"/>
        <v>0</v>
      </c>
      <c r="L50" s="80"/>
      <c r="M50" s="80"/>
      <c r="N50" s="80"/>
      <c r="O50" s="80"/>
      <c r="P50" s="80"/>
      <c r="Q50" s="99"/>
    </row>
    <row r="51" spans="2:17" x14ac:dyDescent="0.25">
      <c r="B51" s="113"/>
      <c r="C51" s="115" t="s">
        <v>31</v>
      </c>
      <c r="D51" s="15" t="s">
        <v>52</v>
      </c>
      <c r="E51" s="116">
        <v>18.574619999999999</v>
      </c>
      <c r="F51" s="16">
        <f t="shared" ref="F51" si="172">E51/100*$D$4</f>
        <v>180.17381399999999</v>
      </c>
      <c r="G51" s="16"/>
      <c r="H51" s="16">
        <f t="shared" ref="H51" si="173">F51+G51</f>
        <v>180.17381399999999</v>
      </c>
      <c r="I51" s="65">
        <v>150.21799999999999</v>
      </c>
      <c r="J51" s="16">
        <f t="shared" si="3"/>
        <v>29.955814000000004</v>
      </c>
      <c r="K51" s="17">
        <f t="shared" si="4"/>
        <v>0.83373935792911613</v>
      </c>
      <c r="L51" s="94">
        <f t="shared" ref="L51" si="174">F51+F52</f>
        <v>200.23440360000001</v>
      </c>
      <c r="M51" s="94">
        <f t="shared" ref="M51" si="175">G51+G52</f>
        <v>0</v>
      </c>
      <c r="N51" s="94">
        <f t="shared" ref="N51" si="176">L51+M51</f>
        <v>200.23440360000001</v>
      </c>
      <c r="O51" s="94">
        <f t="shared" ref="O51" si="177">I51+I52</f>
        <v>176.37799999999999</v>
      </c>
      <c r="P51" s="94">
        <f t="shared" ref="P51" si="178">N51-O51</f>
        <v>23.856403600000021</v>
      </c>
      <c r="Q51" s="99">
        <f t="shared" ref="Q51" si="179">O51/N51</f>
        <v>0.88085761901507709</v>
      </c>
    </row>
    <row r="52" spans="2:17" x14ac:dyDescent="0.25">
      <c r="B52" s="113"/>
      <c r="C52" s="115"/>
      <c r="D52" s="15" t="s">
        <v>53</v>
      </c>
      <c r="E52" s="116"/>
      <c r="F52" s="16">
        <f t="shared" ref="F52" si="180">E51/100*$D$5</f>
        <v>20.0605896</v>
      </c>
      <c r="G52" s="16"/>
      <c r="H52" s="16">
        <f t="shared" ref="H52" si="181">F52+G52+J51</f>
        <v>50.016403600000004</v>
      </c>
      <c r="I52" s="65">
        <v>26.16</v>
      </c>
      <c r="J52" s="16">
        <f t="shared" si="3"/>
        <v>23.856403600000004</v>
      </c>
      <c r="K52" s="17">
        <f t="shared" si="4"/>
        <v>0.52302840902379466</v>
      </c>
      <c r="L52" s="80"/>
      <c r="M52" s="80"/>
      <c r="N52" s="80"/>
      <c r="O52" s="80"/>
      <c r="P52" s="80"/>
      <c r="Q52" s="99"/>
    </row>
    <row r="53" spans="2:17" x14ac:dyDescent="0.25">
      <c r="B53" s="113"/>
      <c r="C53" s="115" t="s">
        <v>32</v>
      </c>
      <c r="D53" s="15" t="s">
        <v>52</v>
      </c>
      <c r="E53" s="116">
        <v>0.1</v>
      </c>
      <c r="F53" s="16">
        <f t="shared" ref="F53" si="182">E53/100*$D$4</f>
        <v>0.97</v>
      </c>
      <c r="G53" s="16"/>
      <c r="H53" s="16">
        <f t="shared" ref="H53" si="183">F53+G53</f>
        <v>0.97</v>
      </c>
      <c r="I53" s="65"/>
      <c r="J53" s="16">
        <f t="shared" si="3"/>
        <v>0.97</v>
      </c>
      <c r="K53" s="17">
        <f t="shared" si="4"/>
        <v>0</v>
      </c>
      <c r="L53" s="94">
        <f t="shared" ref="L53" si="184">F53+F54</f>
        <v>1.0780000000000001</v>
      </c>
      <c r="M53" s="94">
        <f t="shared" ref="M53" si="185">G53+G54</f>
        <v>0</v>
      </c>
      <c r="N53" s="94">
        <f t="shared" ref="N53" si="186">L53+M53</f>
        <v>1.0780000000000001</v>
      </c>
      <c r="O53" s="94">
        <f t="shared" ref="O53" si="187">I53+I54</f>
        <v>3.9E-2</v>
      </c>
      <c r="P53" s="94">
        <f t="shared" ref="P53" si="188">N53-O53</f>
        <v>1.0390000000000001</v>
      </c>
      <c r="Q53" s="99">
        <f t="shared" ref="Q53" si="189">O53/N53</f>
        <v>3.6178107606679034E-2</v>
      </c>
    </row>
    <row r="54" spans="2:17" x14ac:dyDescent="0.25">
      <c r="B54" s="113"/>
      <c r="C54" s="115"/>
      <c r="D54" s="15" t="s">
        <v>53</v>
      </c>
      <c r="E54" s="116"/>
      <c r="F54" s="16">
        <f t="shared" ref="F54" si="190">E53/100*$D$5</f>
        <v>0.108</v>
      </c>
      <c r="G54" s="16"/>
      <c r="H54" s="16">
        <f t="shared" ref="H54" si="191">F54+G54+J53</f>
        <v>1.0780000000000001</v>
      </c>
      <c r="I54" s="65">
        <v>3.9E-2</v>
      </c>
      <c r="J54" s="16">
        <f t="shared" si="3"/>
        <v>1.0390000000000001</v>
      </c>
      <c r="K54" s="17">
        <f t="shared" si="4"/>
        <v>3.6178107606679034E-2</v>
      </c>
      <c r="L54" s="80"/>
      <c r="M54" s="80"/>
      <c r="N54" s="80"/>
      <c r="O54" s="80"/>
      <c r="P54" s="80"/>
      <c r="Q54" s="99"/>
    </row>
    <row r="55" spans="2:17" x14ac:dyDescent="0.25">
      <c r="B55" s="113"/>
      <c r="C55" s="115" t="s">
        <v>33</v>
      </c>
      <c r="D55" s="15" t="s">
        <v>52</v>
      </c>
      <c r="E55" s="116">
        <v>2.5799999999999998E-3</v>
      </c>
      <c r="F55" s="16">
        <f t="shared" ref="F55" si="192">E55/100*$D$4</f>
        <v>2.5025999999999996E-2</v>
      </c>
      <c r="G55" s="16"/>
      <c r="H55" s="16">
        <f t="shared" ref="H55" si="193">F55+G55</f>
        <v>2.5025999999999996E-2</v>
      </c>
      <c r="I55" s="65"/>
      <c r="J55" s="16">
        <f t="shared" si="3"/>
        <v>2.5025999999999996E-2</v>
      </c>
      <c r="K55" s="17">
        <f t="shared" si="4"/>
        <v>0</v>
      </c>
      <c r="L55" s="94">
        <f t="shared" ref="L55" si="194">F55+F56</f>
        <v>2.7812399999999994E-2</v>
      </c>
      <c r="M55" s="94">
        <f t="shared" ref="M55" si="195">G55+G56</f>
        <v>0</v>
      </c>
      <c r="N55" s="94">
        <f t="shared" ref="N55" si="196">L55+M55</f>
        <v>2.7812399999999994E-2</v>
      </c>
      <c r="O55" s="94">
        <f t="shared" ref="O55" si="197">I55+I56</f>
        <v>0</v>
      </c>
      <c r="P55" s="94">
        <f t="shared" ref="P55" si="198">N55-O55</f>
        <v>2.7812399999999994E-2</v>
      </c>
      <c r="Q55" s="99">
        <f t="shared" ref="Q55" si="199">O55/N55</f>
        <v>0</v>
      </c>
    </row>
    <row r="56" spans="2:17" x14ac:dyDescent="0.25">
      <c r="B56" s="113"/>
      <c r="C56" s="115"/>
      <c r="D56" s="15" t="s">
        <v>53</v>
      </c>
      <c r="E56" s="116"/>
      <c r="F56" s="16">
        <f t="shared" ref="F56" si="200">E55/100*$D$5</f>
        <v>2.7863999999999996E-3</v>
      </c>
      <c r="G56" s="16"/>
      <c r="H56" s="16">
        <f t="shared" ref="H56" si="201">F56+G56+J55</f>
        <v>2.7812399999999994E-2</v>
      </c>
      <c r="I56" s="65"/>
      <c r="J56" s="16">
        <f t="shared" si="3"/>
        <v>2.7812399999999994E-2</v>
      </c>
      <c r="K56" s="17">
        <f t="shared" si="4"/>
        <v>0</v>
      </c>
      <c r="L56" s="80"/>
      <c r="M56" s="80"/>
      <c r="N56" s="80"/>
      <c r="O56" s="80"/>
      <c r="P56" s="80"/>
      <c r="Q56" s="99"/>
    </row>
    <row r="57" spans="2:17" x14ac:dyDescent="0.25">
      <c r="B57" s="113"/>
      <c r="C57" s="115" t="s">
        <v>35</v>
      </c>
      <c r="D57" s="15" t="s">
        <v>52</v>
      </c>
      <c r="E57" s="116">
        <v>15.156136999999999</v>
      </c>
      <c r="F57" s="16">
        <f t="shared" ref="F57" si="202">E57/100*$D$4</f>
        <v>147.01452889999999</v>
      </c>
      <c r="G57" s="16">
        <f>-115.2382</f>
        <v>-115.23820000000001</v>
      </c>
      <c r="H57" s="16">
        <f t="shared" ref="H57" si="203">F57+G57</f>
        <v>31.776328899999982</v>
      </c>
      <c r="I57" s="65">
        <v>3.3460000000000001</v>
      </c>
      <c r="J57" s="16">
        <f t="shared" si="3"/>
        <v>28.430328899999981</v>
      </c>
      <c r="K57" s="17">
        <f t="shared" si="4"/>
        <v>0.10529850727973809</v>
      </c>
      <c r="L57" s="94">
        <f t="shared" ref="L57" si="204">F57+F58</f>
        <v>163.38315685999999</v>
      </c>
      <c r="M57" s="94">
        <f t="shared" ref="M57" si="205">G57+G58</f>
        <v>-143.8922</v>
      </c>
      <c r="N57" s="94">
        <f t="shared" ref="N57" si="206">L57+M57</f>
        <v>19.490956859999983</v>
      </c>
      <c r="O57" s="94">
        <f t="shared" ref="O57" si="207">I57+I58</f>
        <v>17.615000000000002</v>
      </c>
      <c r="P57" s="94">
        <f t="shared" ref="P57" si="208">N57-O57</f>
        <v>1.875956859999981</v>
      </c>
      <c r="Q57" s="99">
        <f t="shared" ref="Q57" si="209">O57/N57</f>
        <v>0.90375244922685738</v>
      </c>
    </row>
    <row r="58" spans="2:17" x14ac:dyDescent="0.25">
      <c r="B58" s="113"/>
      <c r="C58" s="115"/>
      <c r="D58" s="15" t="s">
        <v>53</v>
      </c>
      <c r="E58" s="116"/>
      <c r="F58" s="16">
        <f t="shared" ref="F58" si="210">E57/100*$D$5</f>
        <v>16.368627960000001</v>
      </c>
      <c r="G58" s="16">
        <f>-31.654+3</f>
        <v>-28.654</v>
      </c>
      <c r="H58" s="16">
        <f t="shared" ref="H58" si="211">F58+G58+J57</f>
        <v>16.144956859999983</v>
      </c>
      <c r="I58" s="65">
        <v>14.269</v>
      </c>
      <c r="J58" s="16">
        <f t="shared" si="3"/>
        <v>1.8759568599999827</v>
      </c>
      <c r="K58" s="17">
        <f t="shared" si="4"/>
        <v>0.88380539655403056</v>
      </c>
      <c r="L58" s="80"/>
      <c r="M58" s="80"/>
      <c r="N58" s="80"/>
      <c r="O58" s="80"/>
      <c r="P58" s="80"/>
      <c r="Q58" s="99"/>
    </row>
    <row r="59" spans="2:17" x14ac:dyDescent="0.25">
      <c r="B59" s="113"/>
      <c r="C59" s="115" t="s">
        <v>36</v>
      </c>
      <c r="D59" s="15" t="s">
        <v>52</v>
      </c>
      <c r="E59" s="116">
        <v>2.0100000000000001E-3</v>
      </c>
      <c r="F59" s="16">
        <f t="shared" ref="F59" si="212">E59/100*$D$4</f>
        <v>1.9497E-2</v>
      </c>
      <c r="G59" s="16"/>
      <c r="H59" s="16">
        <f t="shared" ref="H59" si="213">F59+G59</f>
        <v>1.9497E-2</v>
      </c>
      <c r="I59" s="65"/>
      <c r="J59" s="16">
        <f t="shared" si="3"/>
        <v>1.9497E-2</v>
      </c>
      <c r="K59" s="17">
        <f t="shared" si="4"/>
        <v>0</v>
      </c>
      <c r="L59" s="94">
        <f t="shared" ref="L59" si="214">F59+F60</f>
        <v>2.1667800000000001E-2</v>
      </c>
      <c r="M59" s="94">
        <f t="shared" ref="M59" si="215">G59+G60</f>
        <v>0</v>
      </c>
      <c r="N59" s="94">
        <f t="shared" ref="N59" si="216">L59+M59</f>
        <v>2.1667800000000001E-2</v>
      </c>
      <c r="O59" s="94">
        <f t="shared" ref="O59" si="217">I59+I60</f>
        <v>0</v>
      </c>
      <c r="P59" s="94">
        <f t="shared" ref="P59" si="218">N59-O59</f>
        <v>2.1667800000000001E-2</v>
      </c>
      <c r="Q59" s="99">
        <f t="shared" ref="Q59" si="219">O59/N59</f>
        <v>0</v>
      </c>
    </row>
    <row r="60" spans="2:17" x14ac:dyDescent="0.25">
      <c r="B60" s="113"/>
      <c r="C60" s="115"/>
      <c r="D60" s="15" t="s">
        <v>53</v>
      </c>
      <c r="E60" s="116"/>
      <c r="F60" s="16">
        <f t="shared" ref="F60" si="220">E59/100*$D$5</f>
        <v>2.1708000000000001E-3</v>
      </c>
      <c r="G60" s="16"/>
      <c r="H60" s="16">
        <f t="shared" ref="H60" si="221">F60+G60+J59</f>
        <v>2.1667800000000001E-2</v>
      </c>
      <c r="I60" s="65"/>
      <c r="J60" s="16">
        <f t="shared" si="3"/>
        <v>2.1667800000000001E-2</v>
      </c>
      <c r="K60" s="17">
        <f t="shared" si="4"/>
        <v>0</v>
      </c>
      <c r="L60" s="80"/>
      <c r="M60" s="80"/>
      <c r="N60" s="80"/>
      <c r="O60" s="80"/>
      <c r="P60" s="80"/>
      <c r="Q60" s="99"/>
    </row>
    <row r="61" spans="2:17" x14ac:dyDescent="0.25">
      <c r="B61" s="113"/>
      <c r="C61" s="115" t="s">
        <v>37</v>
      </c>
      <c r="D61" s="15" t="s">
        <v>52</v>
      </c>
      <c r="E61" s="116">
        <v>0.36196499999999998</v>
      </c>
      <c r="F61" s="16">
        <f t="shared" ref="F61" si="222">E61/100*$D$4</f>
        <v>3.5110604999999997</v>
      </c>
      <c r="G61" s="16"/>
      <c r="H61" s="16">
        <f t="shared" ref="H61" si="223">F61+G61</f>
        <v>3.5110604999999997</v>
      </c>
      <c r="I61" s="65"/>
      <c r="J61" s="16">
        <f t="shared" si="3"/>
        <v>3.5110604999999997</v>
      </c>
      <c r="K61" s="17">
        <f t="shared" si="4"/>
        <v>0</v>
      </c>
      <c r="L61" s="94">
        <f t="shared" ref="L61" si="224">F61+F62</f>
        <v>3.9019826999999996</v>
      </c>
      <c r="M61" s="94">
        <f t="shared" ref="M61" si="225">G61+G62</f>
        <v>0</v>
      </c>
      <c r="N61" s="94">
        <f t="shared" ref="N61" si="226">L61+M61</f>
        <v>3.9019826999999996</v>
      </c>
      <c r="O61" s="94">
        <f t="shared" ref="O61" si="227">I61+I62</f>
        <v>0</v>
      </c>
      <c r="P61" s="94">
        <f t="shared" ref="P61" si="228">N61-O61</f>
        <v>3.9019826999999996</v>
      </c>
      <c r="Q61" s="99">
        <f t="shared" ref="Q61" si="229">O61/N61</f>
        <v>0</v>
      </c>
    </row>
    <row r="62" spans="2:17" x14ac:dyDescent="0.25">
      <c r="B62" s="113"/>
      <c r="C62" s="115"/>
      <c r="D62" s="15" t="s">
        <v>53</v>
      </c>
      <c r="E62" s="116"/>
      <c r="F62" s="16">
        <f t="shared" ref="F62" si="230">E61/100*$D$5</f>
        <v>0.3909222</v>
      </c>
      <c r="G62" s="16"/>
      <c r="H62" s="16">
        <f t="shared" ref="H62" si="231">F62+G62+J61</f>
        <v>3.9019826999999996</v>
      </c>
      <c r="I62" s="65"/>
      <c r="J62" s="16">
        <f t="shared" si="3"/>
        <v>3.9019826999999996</v>
      </c>
      <c r="K62" s="17">
        <f t="shared" si="4"/>
        <v>0</v>
      </c>
      <c r="L62" s="80"/>
      <c r="M62" s="80"/>
      <c r="N62" s="80"/>
      <c r="O62" s="80"/>
      <c r="P62" s="80"/>
      <c r="Q62" s="99"/>
    </row>
    <row r="63" spans="2:17" x14ac:dyDescent="0.25">
      <c r="B63" s="113"/>
      <c r="C63" s="115" t="s">
        <v>38</v>
      </c>
      <c r="D63" s="15" t="s">
        <v>52</v>
      </c>
      <c r="E63" s="116">
        <v>0</v>
      </c>
      <c r="F63" s="16">
        <f t="shared" ref="F63" si="232">E63/100*$D$4</f>
        <v>0</v>
      </c>
      <c r="G63" s="16"/>
      <c r="H63" s="16">
        <f t="shared" ref="H63:H67" si="233">F63+G63</f>
        <v>0</v>
      </c>
      <c r="I63" s="65"/>
      <c r="J63" s="16">
        <f t="shared" si="3"/>
        <v>0</v>
      </c>
      <c r="K63" s="17" t="e">
        <f t="shared" si="4"/>
        <v>#DIV/0!</v>
      </c>
      <c r="L63" s="94">
        <f t="shared" ref="L63" si="234">F63+F64</f>
        <v>0</v>
      </c>
      <c r="M63" s="94">
        <f t="shared" ref="M63" si="235">G63+G64</f>
        <v>0</v>
      </c>
      <c r="N63" s="94">
        <f t="shared" ref="N63" si="236">L63+M63</f>
        <v>0</v>
      </c>
      <c r="O63" s="94">
        <f t="shared" ref="O63" si="237">I63+I64</f>
        <v>0</v>
      </c>
      <c r="P63" s="94">
        <f t="shared" ref="P63" si="238">N63-O63</f>
        <v>0</v>
      </c>
      <c r="Q63" s="99">
        <v>0</v>
      </c>
    </row>
    <row r="64" spans="2:17" x14ac:dyDescent="0.25">
      <c r="B64" s="113"/>
      <c r="C64" s="115"/>
      <c r="D64" s="15" t="s">
        <v>53</v>
      </c>
      <c r="E64" s="116"/>
      <c r="F64" s="16">
        <f t="shared" ref="F64" si="239">E63/100*$D$5</f>
        <v>0</v>
      </c>
      <c r="G64" s="16"/>
      <c r="H64" s="16">
        <f t="shared" ref="H64:H68" si="240">F64+G64+J63</f>
        <v>0</v>
      </c>
      <c r="I64" s="65"/>
      <c r="J64" s="16">
        <f>H64-I64</f>
        <v>0</v>
      </c>
      <c r="K64" s="17" t="e">
        <f t="shared" si="4"/>
        <v>#DIV/0!</v>
      </c>
      <c r="L64" s="80"/>
      <c r="M64" s="80"/>
      <c r="N64" s="80"/>
      <c r="O64" s="80"/>
      <c r="P64" s="80"/>
      <c r="Q64" s="99"/>
    </row>
    <row r="65" spans="2:17" x14ac:dyDescent="0.25">
      <c r="B65" s="113"/>
      <c r="C65" s="108" t="s">
        <v>114</v>
      </c>
      <c r="D65" s="48" t="s">
        <v>52</v>
      </c>
      <c r="E65" s="110"/>
      <c r="F65" s="47">
        <v>0</v>
      </c>
      <c r="G65" s="47">
        <f>60.956</f>
        <v>60.956000000000003</v>
      </c>
      <c r="H65" s="47">
        <f t="shared" si="233"/>
        <v>60.956000000000003</v>
      </c>
      <c r="I65" s="65">
        <v>21.645</v>
      </c>
      <c r="J65" s="47">
        <f t="shared" si="3"/>
        <v>39.311000000000007</v>
      </c>
      <c r="K65" s="46">
        <f t="shared" si="4"/>
        <v>0.35509219765076444</v>
      </c>
      <c r="L65" s="94">
        <f t="shared" ref="L65" si="241">F65+F66</f>
        <v>0</v>
      </c>
      <c r="M65" s="94">
        <f t="shared" ref="M65" si="242">G65+G66</f>
        <v>60.956000000000003</v>
      </c>
      <c r="N65" s="94">
        <f t="shared" ref="N65" si="243">L65+M65</f>
        <v>60.956000000000003</v>
      </c>
      <c r="O65" s="94">
        <f t="shared" ref="O65" si="244">I65+I66</f>
        <v>59.91</v>
      </c>
      <c r="P65" s="94">
        <f t="shared" ref="P65" si="245">N65-O65</f>
        <v>1.0460000000000065</v>
      </c>
      <c r="Q65" s="99">
        <f t="shared" ref="Q65" si="246">O65/N65</f>
        <v>0.98284008137016854</v>
      </c>
    </row>
    <row r="66" spans="2:17" x14ac:dyDescent="0.25">
      <c r="B66" s="113"/>
      <c r="C66" s="109"/>
      <c r="D66" s="48" t="s">
        <v>53</v>
      </c>
      <c r="E66" s="111"/>
      <c r="F66" s="47">
        <v>0</v>
      </c>
      <c r="G66" s="47"/>
      <c r="H66" s="47">
        <f t="shared" si="240"/>
        <v>39.311000000000007</v>
      </c>
      <c r="I66" s="65">
        <v>38.265000000000001</v>
      </c>
      <c r="J66" s="47">
        <f t="shared" si="3"/>
        <v>1.0460000000000065</v>
      </c>
      <c r="K66" s="46">
        <f t="shared" si="4"/>
        <v>0.97339167154231621</v>
      </c>
      <c r="L66" s="80"/>
      <c r="M66" s="80"/>
      <c r="N66" s="80"/>
      <c r="O66" s="80"/>
      <c r="P66" s="80"/>
      <c r="Q66" s="99"/>
    </row>
    <row r="67" spans="2:17" x14ac:dyDescent="0.25">
      <c r="B67" s="113"/>
      <c r="C67" s="108" t="s">
        <v>115</v>
      </c>
      <c r="D67" s="48" t="s">
        <v>52</v>
      </c>
      <c r="E67" s="110"/>
      <c r="F67" s="47">
        <v>0</v>
      </c>
      <c r="G67" s="47">
        <f>27.44</f>
        <v>27.44</v>
      </c>
      <c r="H67" s="47">
        <f t="shared" si="233"/>
        <v>27.44</v>
      </c>
      <c r="I67" s="65">
        <v>1.3240000000000001</v>
      </c>
      <c r="J67" s="47">
        <f t="shared" si="3"/>
        <v>26.116</v>
      </c>
      <c r="K67" s="46">
        <f t="shared" si="4"/>
        <v>4.8250728862973762E-2</v>
      </c>
      <c r="L67" s="94">
        <f t="shared" ref="L67" si="247">F67+F68</f>
        <v>0</v>
      </c>
      <c r="M67" s="94">
        <f t="shared" ref="M67" si="248">G67+G68</f>
        <v>17.440000000000001</v>
      </c>
      <c r="N67" s="94">
        <f t="shared" ref="N67" si="249">L67+M67</f>
        <v>17.440000000000001</v>
      </c>
      <c r="O67" s="94">
        <f t="shared" ref="O67" si="250">I67+I68</f>
        <v>14.891999999999999</v>
      </c>
      <c r="P67" s="94">
        <f t="shared" ref="P67" si="251">N67-O67</f>
        <v>2.5480000000000018</v>
      </c>
      <c r="Q67" s="99">
        <f t="shared" ref="Q67" si="252">O67/N67</f>
        <v>0.8538990825688072</v>
      </c>
    </row>
    <row r="68" spans="2:17" x14ac:dyDescent="0.25">
      <c r="B68" s="114"/>
      <c r="C68" s="109"/>
      <c r="D68" s="48" t="s">
        <v>53</v>
      </c>
      <c r="E68" s="111"/>
      <c r="F68" s="47">
        <v>0</v>
      </c>
      <c r="G68" s="47">
        <f>-10</f>
        <v>-10</v>
      </c>
      <c r="H68" s="47">
        <f t="shared" si="240"/>
        <v>16.116</v>
      </c>
      <c r="I68" s="65">
        <v>13.568</v>
      </c>
      <c r="J68" s="47">
        <f t="shared" si="3"/>
        <v>2.548</v>
      </c>
      <c r="K68" s="46">
        <f t="shared" si="4"/>
        <v>0.84189625217175479</v>
      </c>
      <c r="L68" s="80"/>
      <c r="M68" s="80"/>
      <c r="N68" s="80"/>
      <c r="O68" s="80"/>
      <c r="P68" s="80"/>
      <c r="Q68" s="99"/>
    </row>
    <row r="69" spans="2:17" x14ac:dyDescent="0.25">
      <c r="B69" s="117" t="s">
        <v>13</v>
      </c>
      <c r="C69" s="117"/>
      <c r="D69" s="13" t="s">
        <v>54</v>
      </c>
      <c r="E69" s="29">
        <f>SUM(E39:E64)</f>
        <v>100.00029989999999</v>
      </c>
      <c r="F69" s="29">
        <f>SUM(F13:F68)</f>
        <v>1960.00587804</v>
      </c>
      <c r="G69" s="29">
        <f>SUM(G13:G68)</f>
        <v>1.0000000002108322E-4</v>
      </c>
      <c r="H69" s="29">
        <f>F69+G69</f>
        <v>1960.0059780399999</v>
      </c>
      <c r="I69" s="29">
        <f>SUM(I13:I68)</f>
        <v>1848.7780000000007</v>
      </c>
      <c r="J69" s="29">
        <f>H69-I69</f>
        <v>111.22797803999924</v>
      </c>
      <c r="K69" s="30">
        <f>I69/H69</f>
        <v>0.94325120469722912</v>
      </c>
      <c r="L69" s="29">
        <f>SUM(L13:L68)</f>
        <v>1960.00587804</v>
      </c>
      <c r="M69" s="29">
        <f>SUM(M13:M68)</f>
        <v>1.0000000002108322E-4</v>
      </c>
      <c r="N69" s="29">
        <f>L69+M69</f>
        <v>1960.0059780399999</v>
      </c>
      <c r="O69" s="29">
        <f>SUM(O13:O68)</f>
        <v>1848.778</v>
      </c>
      <c r="P69" s="29">
        <f>N69-O69</f>
        <v>111.22797803999993</v>
      </c>
      <c r="Q69" s="30">
        <f>O69/N69</f>
        <v>0.94325120469722878</v>
      </c>
    </row>
  </sheetData>
  <mergeCells count="229">
    <mergeCell ref="B69:C69"/>
    <mergeCell ref="B9:Q9"/>
    <mergeCell ref="B10:Q10"/>
    <mergeCell ref="L63:L64"/>
    <mergeCell ref="M63:M64"/>
    <mergeCell ref="N63:N64"/>
    <mergeCell ref="O63:O64"/>
    <mergeCell ref="P63:P64"/>
    <mergeCell ref="Q63:Q64"/>
    <mergeCell ref="Q57:Q58"/>
    <mergeCell ref="L59:L60"/>
    <mergeCell ref="M59:M60"/>
    <mergeCell ref="N59:N60"/>
    <mergeCell ref="O59:O60"/>
    <mergeCell ref="P59:P60"/>
    <mergeCell ref="Q59:Q60"/>
    <mergeCell ref="L61:L62"/>
    <mergeCell ref="M61:M62"/>
    <mergeCell ref="N61:N62"/>
    <mergeCell ref="O61:O62"/>
    <mergeCell ref="P61:P62"/>
    <mergeCell ref="Q61:Q62"/>
    <mergeCell ref="Q51:Q52"/>
    <mergeCell ref="L53:L54"/>
    <mergeCell ref="N53:N54"/>
    <mergeCell ref="O53:O54"/>
    <mergeCell ref="P53:P54"/>
    <mergeCell ref="Q53:Q54"/>
    <mergeCell ref="L55:L56"/>
    <mergeCell ref="M55:M56"/>
    <mergeCell ref="N55:N56"/>
    <mergeCell ref="O55:O56"/>
    <mergeCell ref="P55:P56"/>
    <mergeCell ref="Q55:Q56"/>
    <mergeCell ref="Q45:Q46"/>
    <mergeCell ref="L47:L48"/>
    <mergeCell ref="M47:M48"/>
    <mergeCell ref="N47:N48"/>
    <mergeCell ref="O47:O48"/>
    <mergeCell ref="P47:P48"/>
    <mergeCell ref="Q47:Q48"/>
    <mergeCell ref="L49:L50"/>
    <mergeCell ref="M49:M50"/>
    <mergeCell ref="N49:N50"/>
    <mergeCell ref="O49:O50"/>
    <mergeCell ref="P49:P50"/>
    <mergeCell ref="Q49:Q50"/>
    <mergeCell ref="Q39:Q40"/>
    <mergeCell ref="L41:L42"/>
    <mergeCell ref="M41:M42"/>
    <mergeCell ref="N41:N42"/>
    <mergeCell ref="O41:O42"/>
    <mergeCell ref="P41:P42"/>
    <mergeCell ref="Q41:Q42"/>
    <mergeCell ref="L43:L44"/>
    <mergeCell ref="M43:M44"/>
    <mergeCell ref="N43:N44"/>
    <mergeCell ref="O43:O44"/>
    <mergeCell ref="P43:P44"/>
    <mergeCell ref="Q43:Q44"/>
    <mergeCell ref="E59:E60"/>
    <mergeCell ref="E61:E62"/>
    <mergeCell ref="E63:E64"/>
    <mergeCell ref="L39:L40"/>
    <mergeCell ref="M39:M40"/>
    <mergeCell ref="N39:N40"/>
    <mergeCell ref="O39:O40"/>
    <mergeCell ref="P39:P40"/>
    <mergeCell ref="L45:L46"/>
    <mergeCell ref="M45:M46"/>
    <mergeCell ref="N45:N46"/>
    <mergeCell ref="O45:O46"/>
    <mergeCell ref="P45:P46"/>
    <mergeCell ref="L51:L52"/>
    <mergeCell ref="M51:M52"/>
    <mergeCell ref="N51:N52"/>
    <mergeCell ref="O51:O52"/>
    <mergeCell ref="P51:P52"/>
    <mergeCell ref="L57:L58"/>
    <mergeCell ref="M57:M58"/>
    <mergeCell ref="N57:N58"/>
    <mergeCell ref="O57:O58"/>
    <mergeCell ref="P57:P58"/>
    <mergeCell ref="M53:M54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C33:C34"/>
    <mergeCell ref="C35:C36"/>
    <mergeCell ref="C13:C14"/>
    <mergeCell ref="C15:C16"/>
    <mergeCell ref="C17:C18"/>
    <mergeCell ref="C19:C20"/>
    <mergeCell ref="C21:C22"/>
    <mergeCell ref="C23:C24"/>
    <mergeCell ref="C39:C40"/>
    <mergeCell ref="C37:C38"/>
    <mergeCell ref="C25:C26"/>
    <mergeCell ref="C27:C28"/>
    <mergeCell ref="C29:C30"/>
    <mergeCell ref="C31:C32"/>
    <mergeCell ref="E29:E30"/>
    <mergeCell ref="E31:E32"/>
    <mergeCell ref="E33:E34"/>
    <mergeCell ref="E35:E36"/>
    <mergeCell ref="E37:E38"/>
    <mergeCell ref="L13:L14"/>
    <mergeCell ref="L19:L20"/>
    <mergeCell ref="L25:L26"/>
    <mergeCell ref="L31:L32"/>
    <mergeCell ref="L37:L38"/>
    <mergeCell ref="E13:E14"/>
    <mergeCell ref="E15:E16"/>
    <mergeCell ref="E17:E18"/>
    <mergeCell ref="E19:E20"/>
    <mergeCell ref="E21:E22"/>
    <mergeCell ref="E23:E24"/>
    <mergeCell ref="E25:E26"/>
    <mergeCell ref="E27:E28"/>
    <mergeCell ref="L17:L18"/>
    <mergeCell ref="M17:M18"/>
    <mergeCell ref="N17:N18"/>
    <mergeCell ref="O17:O18"/>
    <mergeCell ref="P17:P18"/>
    <mergeCell ref="Q17:Q18"/>
    <mergeCell ref="Q21:Q22"/>
    <mergeCell ref="L23:L24"/>
    <mergeCell ref="M23:M24"/>
    <mergeCell ref="N23:N24"/>
    <mergeCell ref="O23:O24"/>
    <mergeCell ref="P23:P24"/>
    <mergeCell ref="Q23:Q24"/>
    <mergeCell ref="M19:M20"/>
    <mergeCell ref="N19:N20"/>
    <mergeCell ref="O19:O20"/>
    <mergeCell ref="P19:P20"/>
    <mergeCell ref="Q19:Q20"/>
    <mergeCell ref="L21:L22"/>
    <mergeCell ref="M21:M22"/>
    <mergeCell ref="N21:N22"/>
    <mergeCell ref="O21:O22"/>
    <mergeCell ref="P21:P22"/>
    <mergeCell ref="M13:M14"/>
    <mergeCell ref="N13:N14"/>
    <mergeCell ref="O13:O14"/>
    <mergeCell ref="P13:P14"/>
    <mergeCell ref="Q13:Q14"/>
    <mergeCell ref="L15:L16"/>
    <mergeCell ref="M15:M16"/>
    <mergeCell ref="N15:N16"/>
    <mergeCell ref="O15:O16"/>
    <mergeCell ref="P15:P16"/>
    <mergeCell ref="Q15:Q16"/>
    <mergeCell ref="Q27:Q28"/>
    <mergeCell ref="L29:L30"/>
    <mergeCell ref="M29:M30"/>
    <mergeCell ref="N29:N30"/>
    <mergeCell ref="O29:O30"/>
    <mergeCell ref="P29:P30"/>
    <mergeCell ref="Q29:Q30"/>
    <mergeCell ref="M25:M26"/>
    <mergeCell ref="N25:N26"/>
    <mergeCell ref="O25:O26"/>
    <mergeCell ref="P25:P26"/>
    <mergeCell ref="Q25:Q26"/>
    <mergeCell ref="L27:L28"/>
    <mergeCell ref="M27:M28"/>
    <mergeCell ref="N27:N28"/>
    <mergeCell ref="O27:O28"/>
    <mergeCell ref="P27:P28"/>
    <mergeCell ref="Q37:Q38"/>
    <mergeCell ref="Q33:Q34"/>
    <mergeCell ref="L35:L36"/>
    <mergeCell ref="M35:M36"/>
    <mergeCell ref="N35:N36"/>
    <mergeCell ref="O35:O36"/>
    <mergeCell ref="P35:P36"/>
    <mergeCell ref="Q35:Q36"/>
    <mergeCell ref="M31:M32"/>
    <mergeCell ref="N31:N32"/>
    <mergeCell ref="O31:O32"/>
    <mergeCell ref="P31:P32"/>
    <mergeCell ref="Q31:Q32"/>
    <mergeCell ref="L33:L34"/>
    <mergeCell ref="M33:M34"/>
    <mergeCell ref="N33:N34"/>
    <mergeCell ref="O33:O34"/>
    <mergeCell ref="P33:P34"/>
    <mergeCell ref="B39:B68"/>
    <mergeCell ref="L65:L66"/>
    <mergeCell ref="M65:M66"/>
    <mergeCell ref="N65:N66"/>
    <mergeCell ref="O65:O66"/>
    <mergeCell ref="P65:P66"/>
    <mergeCell ref="M37:M38"/>
    <mergeCell ref="N37:N38"/>
    <mergeCell ref="O37:O38"/>
    <mergeCell ref="P37:P38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B13:B38"/>
    <mergeCell ref="E39:E40"/>
    <mergeCell ref="Q65:Q66"/>
    <mergeCell ref="L67:L68"/>
    <mergeCell ref="M67:M68"/>
    <mergeCell ref="N67:N68"/>
    <mergeCell ref="O67:O68"/>
    <mergeCell ref="P67:P68"/>
    <mergeCell ref="Q67:Q68"/>
    <mergeCell ref="C65:C66"/>
    <mergeCell ref="C67:C68"/>
    <mergeCell ref="E65:E66"/>
    <mergeCell ref="E67:E68"/>
  </mergeCells>
  <conditionalFormatting sqref="K13:K68">
    <cfRule type="cellIs" dxfId="1" priority="3" operator="greaterThan">
      <formula>0.95</formula>
    </cfRule>
  </conditionalFormatting>
  <conditionalFormatting sqref="Q13:Q68">
    <cfRule type="cellIs" dxfId="0" priority="1" operator="greaterThan">
      <formula>1</formula>
    </cfRule>
  </conditionalFormatting>
  <pageMargins left="0.7" right="0.7" top="0.75" bottom="0.75" header="0.3" footer="0.3"/>
  <ignoredErrors>
    <ignoredError sqref="F14:F63 N13:N64 H14:H64" formula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7"/>
  <sheetViews>
    <sheetView showGridLines="0" workbookViewId="0">
      <selection activeCell="M10" sqref="M10"/>
    </sheetView>
  </sheetViews>
  <sheetFormatPr baseColWidth="10" defaultColWidth="11.44140625" defaultRowHeight="12" x14ac:dyDescent="0.25"/>
  <cols>
    <col min="1" max="1" width="23.33203125" style="20" bestFit="1" customWidth="1"/>
    <col min="2" max="2" width="18.88671875" style="20" bestFit="1" customWidth="1"/>
    <col min="3" max="3" width="4.88671875" style="20" bestFit="1" customWidth="1"/>
    <col min="4" max="4" width="14.44140625" style="20" bestFit="1" customWidth="1"/>
    <col min="5" max="5" width="33" style="20" bestFit="1" customWidth="1"/>
    <col min="6" max="6" width="10.88671875" style="20" bestFit="1" customWidth="1"/>
    <col min="7" max="7" width="10.33203125" style="20" bestFit="1" customWidth="1"/>
    <col min="8" max="8" width="8.109375" style="21" bestFit="1" customWidth="1"/>
    <col min="9" max="9" width="16" style="21" bestFit="1" customWidth="1"/>
    <col min="10" max="10" width="11.6640625" style="21" bestFit="1" customWidth="1"/>
    <col min="11" max="11" width="6.5546875" style="21" bestFit="1" customWidth="1"/>
    <col min="12" max="12" width="7.44140625" style="21" bestFit="1" customWidth="1"/>
    <col min="13" max="13" width="15.88671875" style="43" bestFit="1" customWidth="1"/>
    <col min="14" max="14" width="8.109375" style="56" bestFit="1" customWidth="1"/>
    <col min="15" max="15" width="9" style="20" bestFit="1" customWidth="1"/>
    <col min="16" max="16" width="4.44140625" style="20" bestFit="1" customWidth="1"/>
    <col min="17" max="16384" width="11.44140625" style="20"/>
  </cols>
  <sheetData>
    <row r="1" spans="1:17" x14ac:dyDescent="0.25">
      <c r="A1" s="7" t="s">
        <v>65</v>
      </c>
      <c r="B1" s="7" t="s">
        <v>66</v>
      </c>
      <c r="C1" s="7" t="s">
        <v>67</v>
      </c>
      <c r="D1" s="8" t="s">
        <v>68</v>
      </c>
      <c r="E1" s="7" t="s">
        <v>69</v>
      </c>
      <c r="F1" s="7" t="s">
        <v>70</v>
      </c>
      <c r="G1" s="7" t="s">
        <v>71</v>
      </c>
      <c r="H1" s="9" t="s">
        <v>72</v>
      </c>
      <c r="I1" s="9" t="s">
        <v>73</v>
      </c>
      <c r="J1" s="9" t="s">
        <v>74</v>
      </c>
      <c r="K1" s="9" t="s">
        <v>75</v>
      </c>
      <c r="L1" s="9" t="s">
        <v>76</v>
      </c>
      <c r="M1" s="40" t="s">
        <v>77</v>
      </c>
      <c r="N1" s="10" t="s">
        <v>78</v>
      </c>
      <c r="O1" s="11" t="s">
        <v>79</v>
      </c>
      <c r="P1" s="12" t="s">
        <v>80</v>
      </c>
      <c r="Q1" s="12" t="s">
        <v>81</v>
      </c>
    </row>
    <row r="2" spans="1:17" x14ac:dyDescent="0.25">
      <c r="A2" s="22" t="s">
        <v>47</v>
      </c>
      <c r="B2" s="22" t="s">
        <v>82</v>
      </c>
      <c r="C2" s="22" t="s">
        <v>83</v>
      </c>
      <c r="D2" s="22" t="s">
        <v>84</v>
      </c>
      <c r="E2" s="22" t="s">
        <v>84</v>
      </c>
      <c r="F2" s="22" t="s">
        <v>85</v>
      </c>
      <c r="G2" s="22" t="s">
        <v>86</v>
      </c>
      <c r="H2" s="23">
        <f>'CUOTA ARTESANAL'!E6</f>
        <v>9</v>
      </c>
      <c r="I2" s="23">
        <f>'CUOTA ARTESANAL'!F6</f>
        <v>0</v>
      </c>
      <c r="J2" s="23">
        <f>'CUOTA ARTESANAL'!G6</f>
        <v>9</v>
      </c>
      <c r="K2" s="23">
        <f>'CUOTA ARTESANAL'!H6</f>
        <v>0</v>
      </c>
      <c r="L2" s="23">
        <f>'CUOTA ARTESANAL'!I6</f>
        <v>9</v>
      </c>
      <c r="M2" s="41">
        <f>'CUOTA ARTESANAL'!J6</f>
        <v>0</v>
      </c>
      <c r="N2" s="24" t="str">
        <f>'CUOTA ARTESANAL'!K6</f>
        <v>-</v>
      </c>
      <c r="O2" s="24">
        <f>'RESUMEN '!$B$3</f>
        <v>44200</v>
      </c>
      <c r="P2" s="22">
        <v>2020</v>
      </c>
      <c r="Q2" s="22"/>
    </row>
    <row r="3" spans="1:17" x14ac:dyDescent="0.25">
      <c r="A3" s="22" t="s">
        <v>47</v>
      </c>
      <c r="B3" s="22" t="s">
        <v>82</v>
      </c>
      <c r="C3" s="22" t="s">
        <v>83</v>
      </c>
      <c r="D3" s="22" t="s">
        <v>84</v>
      </c>
      <c r="E3" s="22" t="s">
        <v>84</v>
      </c>
      <c r="F3" s="22" t="s">
        <v>87</v>
      </c>
      <c r="G3" s="22" t="s">
        <v>88</v>
      </c>
      <c r="H3" s="23">
        <f>'CUOTA ARTESANAL'!E7</f>
        <v>1</v>
      </c>
      <c r="I3" s="23">
        <f>'CUOTA ARTESANAL'!F7</f>
        <v>0</v>
      </c>
      <c r="J3" s="23">
        <f>'CUOTA ARTESANAL'!G7</f>
        <v>10</v>
      </c>
      <c r="K3" s="23">
        <f>'CUOTA ARTESANAL'!H7</f>
        <v>0</v>
      </c>
      <c r="L3" s="23">
        <f>'CUOTA ARTESANAL'!I7</f>
        <v>10</v>
      </c>
      <c r="M3" s="41">
        <f>'CUOTA ARTESANAL'!J7</f>
        <v>0</v>
      </c>
      <c r="N3" s="24" t="str">
        <f>'CUOTA ARTESANAL'!K7</f>
        <v>-</v>
      </c>
      <c r="O3" s="24">
        <f>'RESUMEN '!$B$3</f>
        <v>44200</v>
      </c>
      <c r="P3" s="22">
        <v>2020</v>
      </c>
      <c r="Q3" s="22"/>
    </row>
    <row r="4" spans="1:17" x14ac:dyDescent="0.25">
      <c r="A4" s="22" t="s">
        <v>47</v>
      </c>
      <c r="B4" s="22" t="s">
        <v>82</v>
      </c>
      <c r="C4" s="22" t="s">
        <v>83</v>
      </c>
      <c r="D4" s="22" t="s">
        <v>84</v>
      </c>
      <c r="E4" s="22" t="s">
        <v>84</v>
      </c>
      <c r="F4" s="22" t="s">
        <v>89</v>
      </c>
      <c r="G4" s="22" t="s">
        <v>88</v>
      </c>
      <c r="H4" s="23">
        <f>'CUOTA ARTESANAL'!L6</f>
        <v>10</v>
      </c>
      <c r="I4" s="23">
        <f>'CUOTA ARTESANAL'!M6</f>
        <v>0</v>
      </c>
      <c r="J4" s="23">
        <f>'CUOTA ARTESANAL'!N6</f>
        <v>10</v>
      </c>
      <c r="K4" s="23">
        <f>'CUOTA ARTESANAL'!O6</f>
        <v>0</v>
      </c>
      <c r="L4" s="23">
        <f>'CUOTA ARTESANAL'!P6</f>
        <v>10</v>
      </c>
      <c r="M4" s="41">
        <f>'CUOTA ARTESANAL'!Q6</f>
        <v>0</v>
      </c>
      <c r="N4" s="24" t="s">
        <v>92</v>
      </c>
      <c r="O4" s="24">
        <f>'RESUMEN '!$B$3</f>
        <v>44200</v>
      </c>
      <c r="P4" s="22">
        <v>2020</v>
      </c>
      <c r="Q4" s="22"/>
    </row>
    <row r="5" spans="1:17" x14ac:dyDescent="0.25">
      <c r="A5" s="22" t="s">
        <v>47</v>
      </c>
      <c r="B5" s="22" t="s">
        <v>82</v>
      </c>
      <c r="C5" s="22" t="s">
        <v>90</v>
      </c>
      <c r="D5" s="22" t="s">
        <v>91</v>
      </c>
      <c r="E5" s="22" t="str">
        <f>'CUOTA ARTESANAL'!C8</f>
        <v>PUNTA TALCA</v>
      </c>
      <c r="F5" s="22" t="s">
        <v>85</v>
      </c>
      <c r="G5" s="22" t="s">
        <v>86</v>
      </c>
      <c r="H5" s="23">
        <f>'CUOTA ARTESANAL'!E8</f>
        <v>123.51600000000001</v>
      </c>
      <c r="I5" s="23">
        <f>'CUOTA ARTESANAL'!F8</f>
        <v>-68.667000000000002</v>
      </c>
      <c r="J5" s="23">
        <f>'CUOTA ARTESANAL'!G8</f>
        <v>54.849000000000004</v>
      </c>
      <c r="K5" s="23">
        <f>'CUOTA ARTESANAL'!H8</f>
        <v>49.673000000000002</v>
      </c>
      <c r="L5" s="23">
        <f>'CUOTA ARTESANAL'!I8</f>
        <v>5.1760000000000019</v>
      </c>
      <c r="M5" s="41">
        <f>'CUOTA ARTESANAL'!J8</f>
        <v>0.90563182555743948</v>
      </c>
      <c r="N5" s="24" t="str">
        <f>'CUOTA ARTESANAL'!K8</f>
        <v>-</v>
      </c>
      <c r="O5" s="24">
        <f>'RESUMEN '!$B$3</f>
        <v>44200</v>
      </c>
      <c r="P5" s="22">
        <v>2020</v>
      </c>
      <c r="Q5" s="22"/>
    </row>
    <row r="6" spans="1:17" x14ac:dyDescent="0.25">
      <c r="A6" s="22" t="s">
        <v>47</v>
      </c>
      <c r="B6" s="22" t="s">
        <v>82</v>
      </c>
      <c r="C6" s="22" t="s">
        <v>90</v>
      </c>
      <c r="D6" s="22" t="s">
        <v>91</v>
      </c>
      <c r="E6" s="22" t="str">
        <f>'CUOTA ARTESANAL'!C8</f>
        <v>PUNTA TALCA</v>
      </c>
      <c r="F6" s="22" t="s">
        <v>87</v>
      </c>
      <c r="G6" s="22" t="s">
        <v>88</v>
      </c>
      <c r="H6" s="23">
        <f>'CUOTA ARTESANAL'!E9</f>
        <v>13.818</v>
      </c>
      <c r="I6" s="23">
        <f>'CUOTA ARTESANAL'!F9</f>
        <v>0</v>
      </c>
      <c r="J6" s="23">
        <f>'CUOTA ARTESANAL'!G9</f>
        <v>18.994</v>
      </c>
      <c r="K6" s="23">
        <f>'CUOTA ARTESANAL'!H9</f>
        <v>18.338999999999999</v>
      </c>
      <c r="L6" s="23">
        <f>'CUOTA ARTESANAL'!I9</f>
        <v>0.65500000000000114</v>
      </c>
      <c r="M6" s="41">
        <f>'CUOTA ARTESANAL'!J9</f>
        <v>0.96551542592397588</v>
      </c>
      <c r="N6" s="24" t="str">
        <f>'CUOTA ARTESANAL'!K9</f>
        <v>-</v>
      </c>
      <c r="O6" s="24">
        <f>'RESUMEN '!$B$3</f>
        <v>44200</v>
      </c>
      <c r="P6" s="22">
        <v>2020</v>
      </c>
      <c r="Q6" s="22"/>
    </row>
    <row r="7" spans="1:17" x14ac:dyDescent="0.25">
      <c r="A7" s="22" t="s">
        <v>47</v>
      </c>
      <c r="B7" s="22" t="s">
        <v>82</v>
      </c>
      <c r="C7" s="22" t="s">
        <v>90</v>
      </c>
      <c r="D7" s="22" t="s">
        <v>91</v>
      </c>
      <c r="E7" s="22" t="str">
        <f>'CUOTA ARTESANAL'!C8</f>
        <v>PUNTA TALCA</v>
      </c>
      <c r="F7" s="22" t="s">
        <v>89</v>
      </c>
      <c r="G7" s="22" t="s">
        <v>88</v>
      </c>
      <c r="H7" s="23">
        <f>'CUOTA ARTESANAL'!L8</f>
        <v>137.334</v>
      </c>
      <c r="I7" s="23">
        <f>'CUOTA ARTESANAL'!M8</f>
        <v>-68.667000000000002</v>
      </c>
      <c r="J7" s="23">
        <f>'CUOTA ARTESANAL'!N8</f>
        <v>68.667000000000002</v>
      </c>
      <c r="K7" s="23">
        <f>'CUOTA ARTESANAL'!O8</f>
        <v>68.012</v>
      </c>
      <c r="L7" s="23">
        <f>'CUOTA ARTESANAL'!P8</f>
        <v>0.65500000000000114</v>
      </c>
      <c r="M7" s="41">
        <f>'CUOTA ARTESANAL'!Q8</f>
        <v>0.99046121135334297</v>
      </c>
      <c r="N7" s="24" t="s">
        <v>92</v>
      </c>
      <c r="O7" s="24">
        <f>'RESUMEN '!$B$3</f>
        <v>44200</v>
      </c>
      <c r="P7" s="22">
        <v>2020</v>
      </c>
      <c r="Q7" s="22"/>
    </row>
    <row r="8" spans="1:17" x14ac:dyDescent="0.25">
      <c r="A8" s="22" t="s">
        <v>47</v>
      </c>
      <c r="B8" s="22" t="s">
        <v>82</v>
      </c>
      <c r="C8" s="22" t="s">
        <v>90</v>
      </c>
      <c r="D8" s="22" t="s">
        <v>91</v>
      </c>
      <c r="E8" s="22" t="str">
        <f>'CUOTA ARTESANAL'!C10</f>
        <v>TRAUWUN I</v>
      </c>
      <c r="F8" s="22" t="s">
        <v>85</v>
      </c>
      <c r="G8" s="22" t="s">
        <v>86</v>
      </c>
      <c r="H8" s="23">
        <f>'CUOTA ARTESANAL'!E10</f>
        <v>115.194</v>
      </c>
      <c r="I8" s="23">
        <f>'CUOTA ARTESANAL'!F10</f>
        <v>69.8</v>
      </c>
      <c r="J8" s="23">
        <f>'CUOTA ARTESANAL'!G10</f>
        <v>184.994</v>
      </c>
      <c r="K8" s="23">
        <f>'CUOTA ARTESANAL'!H10</f>
        <v>111.82</v>
      </c>
      <c r="L8" s="23">
        <f>'CUOTA ARTESANAL'!I10</f>
        <v>73.174000000000007</v>
      </c>
      <c r="M8" s="41">
        <f>'CUOTA ARTESANAL'!J10</f>
        <v>0.60445203628225774</v>
      </c>
      <c r="N8" s="24" t="str">
        <f>'CUOTA ARTESANAL'!K10</f>
        <v>-</v>
      </c>
      <c r="O8" s="24">
        <f>'RESUMEN '!$B$3</f>
        <v>44200</v>
      </c>
      <c r="P8" s="22">
        <v>2020</v>
      </c>
      <c r="Q8" s="22"/>
    </row>
    <row r="9" spans="1:17" x14ac:dyDescent="0.25">
      <c r="A9" s="22" t="s">
        <v>47</v>
      </c>
      <c r="B9" s="22" t="s">
        <v>82</v>
      </c>
      <c r="C9" s="22" t="s">
        <v>90</v>
      </c>
      <c r="D9" s="22" t="s">
        <v>91</v>
      </c>
      <c r="E9" s="22" t="str">
        <f>'CUOTA ARTESANAL'!C10</f>
        <v>TRAUWUN I</v>
      </c>
      <c r="F9" s="22" t="s">
        <v>87</v>
      </c>
      <c r="G9" s="22" t="s">
        <v>88</v>
      </c>
      <c r="H9" s="23">
        <f>'CUOTA ARTESANAL'!E11</f>
        <v>12.887</v>
      </c>
      <c r="I9" s="23">
        <f>'CUOTA ARTESANAL'!F11</f>
        <v>0</v>
      </c>
      <c r="J9" s="23">
        <f>'CUOTA ARTESANAL'!G11</f>
        <v>86.061000000000007</v>
      </c>
      <c r="K9" s="23">
        <f>'CUOTA ARTESANAL'!H11</f>
        <v>80.989000000000004</v>
      </c>
      <c r="L9" s="23">
        <f>'CUOTA ARTESANAL'!I11</f>
        <v>5.0720000000000027</v>
      </c>
      <c r="M9" s="41">
        <f>'CUOTA ARTESANAL'!J11</f>
        <v>0.94106505850501387</v>
      </c>
      <c r="N9" s="24" t="str">
        <f>'CUOTA ARTESANAL'!K11</f>
        <v>-</v>
      </c>
      <c r="O9" s="24">
        <f>'RESUMEN '!$B$3</f>
        <v>44200</v>
      </c>
      <c r="P9" s="22">
        <v>2020</v>
      </c>
      <c r="Q9" s="22"/>
    </row>
    <row r="10" spans="1:17" x14ac:dyDescent="0.25">
      <c r="A10" s="22" t="s">
        <v>47</v>
      </c>
      <c r="B10" s="22" t="s">
        <v>82</v>
      </c>
      <c r="C10" s="22" t="s">
        <v>90</v>
      </c>
      <c r="D10" s="22" t="s">
        <v>91</v>
      </c>
      <c r="E10" s="22" t="str">
        <f>'CUOTA ARTESANAL'!C10</f>
        <v>TRAUWUN I</v>
      </c>
      <c r="F10" s="22" t="s">
        <v>89</v>
      </c>
      <c r="G10" s="22" t="s">
        <v>88</v>
      </c>
      <c r="H10" s="23">
        <f>'CUOTA ARTESANAL'!L10</f>
        <v>128.08100000000002</v>
      </c>
      <c r="I10" s="23">
        <f>'CUOTA ARTESANAL'!M10</f>
        <v>69.8</v>
      </c>
      <c r="J10" s="23">
        <f>'CUOTA ARTESANAL'!N10</f>
        <v>197.88100000000003</v>
      </c>
      <c r="K10" s="23">
        <f>'CUOTA ARTESANAL'!O10</f>
        <v>192.809</v>
      </c>
      <c r="L10" s="23">
        <f>'CUOTA ARTESANAL'!P10</f>
        <v>5.0720000000000312</v>
      </c>
      <c r="M10" s="41">
        <f>'CUOTA ARTESANAL'!Q10</f>
        <v>0.97436843355349922</v>
      </c>
      <c r="N10" s="24" t="s">
        <v>92</v>
      </c>
      <c r="O10" s="24">
        <f>'RESUMEN '!$B$3</f>
        <v>44200</v>
      </c>
      <c r="P10" s="22">
        <v>2020</v>
      </c>
      <c r="Q10" s="22"/>
    </row>
    <row r="11" spans="1:17" x14ac:dyDescent="0.25">
      <c r="A11" s="22" t="s">
        <v>47</v>
      </c>
      <c r="B11" s="22" t="s">
        <v>82</v>
      </c>
      <c r="C11" s="22" t="s">
        <v>90</v>
      </c>
      <c r="D11" s="22" t="s">
        <v>91</v>
      </c>
      <c r="E11" s="22" t="str">
        <f>'CUOTA ARTESANAL'!C12</f>
        <v>CHAFIC I</v>
      </c>
      <c r="F11" s="22" t="s">
        <v>85</v>
      </c>
      <c r="G11" s="22" t="s">
        <v>86</v>
      </c>
      <c r="H11" s="23">
        <f>'CUOTA ARTESANAL'!E12</f>
        <v>88.914000000000001</v>
      </c>
      <c r="I11" s="23">
        <f>'CUOTA ARTESANAL'!F12</f>
        <v>0</v>
      </c>
      <c r="J11" s="23">
        <f>'CUOTA ARTESANAL'!G12</f>
        <v>88.914000000000001</v>
      </c>
      <c r="K11" s="23">
        <f>'CUOTA ARTESANAL'!H12</f>
        <v>72.927999999999997</v>
      </c>
      <c r="L11" s="23">
        <f>'CUOTA ARTESANAL'!I12</f>
        <v>15.986000000000004</v>
      </c>
      <c r="M11" s="41">
        <f>'CUOTA ARTESANAL'!J12</f>
        <v>0.82020829115774785</v>
      </c>
      <c r="N11" s="24" t="str">
        <f>'CUOTA ARTESANAL'!K12</f>
        <v>-</v>
      </c>
      <c r="O11" s="24">
        <f>'RESUMEN '!$B$3</f>
        <v>44200</v>
      </c>
      <c r="P11" s="22">
        <v>2020</v>
      </c>
      <c r="Q11" s="22"/>
    </row>
    <row r="12" spans="1:17" x14ac:dyDescent="0.25">
      <c r="A12" s="22" t="s">
        <v>47</v>
      </c>
      <c r="B12" s="22" t="s">
        <v>82</v>
      </c>
      <c r="C12" s="22" t="s">
        <v>90</v>
      </c>
      <c r="D12" s="22" t="s">
        <v>91</v>
      </c>
      <c r="E12" s="22" t="str">
        <f>'CUOTA ARTESANAL'!C12</f>
        <v>CHAFIC I</v>
      </c>
      <c r="F12" s="22" t="s">
        <v>87</v>
      </c>
      <c r="G12" s="22" t="s">
        <v>88</v>
      </c>
      <c r="H12" s="23">
        <f>'CUOTA ARTESANAL'!E13</f>
        <v>9.9469999999999992</v>
      </c>
      <c r="I12" s="23">
        <f>'CUOTA ARTESANAL'!F13</f>
        <v>0</v>
      </c>
      <c r="J12" s="23">
        <f>'CUOTA ARTESANAL'!G13</f>
        <v>25.933000000000003</v>
      </c>
      <c r="K12" s="23">
        <f>'CUOTA ARTESANAL'!H13</f>
        <v>23.765000000000001</v>
      </c>
      <c r="L12" s="23">
        <f>'CUOTA ARTESANAL'!I13</f>
        <v>2.1680000000000028</v>
      </c>
      <c r="M12" s="41">
        <f>'CUOTA ARTESANAL'!J13</f>
        <v>0.91639995372691152</v>
      </c>
      <c r="N12" s="24" t="str">
        <f>'CUOTA ARTESANAL'!K13</f>
        <v>-</v>
      </c>
      <c r="O12" s="24">
        <f>'RESUMEN '!$B$3</f>
        <v>44200</v>
      </c>
      <c r="P12" s="22">
        <v>2020</v>
      </c>
      <c r="Q12" s="22"/>
    </row>
    <row r="13" spans="1:17" x14ac:dyDescent="0.25">
      <c r="A13" s="22" t="s">
        <v>47</v>
      </c>
      <c r="B13" s="22" t="s">
        <v>82</v>
      </c>
      <c r="C13" s="22" t="s">
        <v>90</v>
      </c>
      <c r="D13" s="22" t="s">
        <v>91</v>
      </c>
      <c r="E13" s="22" t="str">
        <f>'CUOTA ARTESANAL'!C12</f>
        <v>CHAFIC I</v>
      </c>
      <c r="F13" s="22" t="s">
        <v>89</v>
      </c>
      <c r="G13" s="22" t="s">
        <v>88</v>
      </c>
      <c r="H13" s="23">
        <f>'CUOTA ARTESANAL'!L12</f>
        <v>98.861000000000004</v>
      </c>
      <c r="I13" s="23">
        <f>'CUOTA ARTESANAL'!M12</f>
        <v>0</v>
      </c>
      <c r="J13" s="23">
        <f>'CUOTA ARTESANAL'!N12</f>
        <v>98.861000000000004</v>
      </c>
      <c r="K13" s="23">
        <f>'CUOTA ARTESANAL'!O12</f>
        <v>96.692999999999998</v>
      </c>
      <c r="L13" s="23">
        <f>'CUOTA ARTESANAL'!P12</f>
        <v>2.1680000000000064</v>
      </c>
      <c r="M13" s="41">
        <f>'CUOTA ARTESANAL'!Q12</f>
        <v>0.97807021980356257</v>
      </c>
      <c r="N13" s="24" t="s">
        <v>92</v>
      </c>
      <c r="O13" s="24">
        <f>'RESUMEN '!$B$3</f>
        <v>44200</v>
      </c>
      <c r="P13" s="22">
        <v>2020</v>
      </c>
      <c r="Q13" s="22"/>
    </row>
    <row r="14" spans="1:17" x14ac:dyDescent="0.25">
      <c r="A14" s="22" t="s">
        <v>47</v>
      </c>
      <c r="B14" s="22" t="s">
        <v>82</v>
      </c>
      <c r="C14" s="22" t="s">
        <v>90</v>
      </c>
      <c r="D14" s="22" t="s">
        <v>91</v>
      </c>
      <c r="E14" s="22" t="str">
        <f>'CUOTA ARTESANAL'!C14:C15</f>
        <v>ISLA TABON</v>
      </c>
      <c r="F14" s="22" t="s">
        <v>85</v>
      </c>
      <c r="G14" s="22" t="s">
        <v>86</v>
      </c>
      <c r="H14" s="23">
        <f>'CUOTA ARTESANAL'!E14</f>
        <v>84.096000000000004</v>
      </c>
      <c r="I14" s="23">
        <f>'CUOTA ARTESANAL'!F14</f>
        <v>-31</v>
      </c>
      <c r="J14" s="23">
        <f>'CUOTA ARTESANAL'!G14</f>
        <v>53.096000000000004</v>
      </c>
      <c r="K14" s="23">
        <f>'CUOTA ARTESANAL'!H14</f>
        <v>53.256999999999998</v>
      </c>
      <c r="L14" s="23">
        <f>'CUOTA ARTESANAL'!I14</f>
        <v>-0.16099999999999426</v>
      </c>
      <c r="M14" s="41">
        <f>'CUOTA ARTESANAL'!J14</f>
        <v>1.0030322434835015</v>
      </c>
      <c r="N14" s="24">
        <f>'CUOTA ARTESANAL'!K14</f>
        <v>44032</v>
      </c>
      <c r="O14" s="24">
        <f>'RESUMEN '!$B$3</f>
        <v>44200</v>
      </c>
      <c r="P14" s="22">
        <v>2020</v>
      </c>
      <c r="Q14" s="22"/>
    </row>
    <row r="15" spans="1:17" x14ac:dyDescent="0.25">
      <c r="A15" s="22" t="s">
        <v>47</v>
      </c>
      <c r="B15" s="22" t="s">
        <v>82</v>
      </c>
      <c r="C15" s="22" t="s">
        <v>90</v>
      </c>
      <c r="D15" s="22" t="s">
        <v>91</v>
      </c>
      <c r="E15" s="22" t="str">
        <f>'CUOTA ARTESANAL'!C14</f>
        <v>ISLA TABON</v>
      </c>
      <c r="F15" s="22" t="s">
        <v>87</v>
      </c>
      <c r="G15" s="22" t="s">
        <v>88</v>
      </c>
      <c r="H15" s="23">
        <f>'CUOTA ARTESANAL'!E15</f>
        <v>9.4079999999999995</v>
      </c>
      <c r="I15" s="23">
        <f>'CUOTA ARTESANAL'!F15</f>
        <v>0</v>
      </c>
      <c r="J15" s="23">
        <f>'CUOTA ARTESANAL'!G15</f>
        <v>9.2470000000000052</v>
      </c>
      <c r="K15" s="23">
        <f>'CUOTA ARTESANAL'!H15</f>
        <v>8.6690000000000005</v>
      </c>
      <c r="L15" s="23">
        <f>'CUOTA ARTESANAL'!I15</f>
        <v>0.57800000000000473</v>
      </c>
      <c r="M15" s="41">
        <f>'CUOTA ARTESANAL'!J15</f>
        <v>0.93749324105115128</v>
      </c>
      <c r="N15" s="24">
        <f>'CUOTA ARTESANAL'!K15</f>
        <v>44130</v>
      </c>
      <c r="O15" s="24">
        <f>'RESUMEN '!$B$3</f>
        <v>44200</v>
      </c>
      <c r="P15" s="22">
        <v>2020</v>
      </c>
      <c r="Q15" s="22"/>
    </row>
    <row r="16" spans="1:17" x14ac:dyDescent="0.25">
      <c r="A16" s="22" t="s">
        <v>47</v>
      </c>
      <c r="B16" s="22" t="s">
        <v>82</v>
      </c>
      <c r="C16" s="22" t="s">
        <v>90</v>
      </c>
      <c r="D16" s="22" t="s">
        <v>91</v>
      </c>
      <c r="E16" s="22" t="str">
        <f>'CUOTA ARTESANAL'!C14</f>
        <v>ISLA TABON</v>
      </c>
      <c r="F16" s="22" t="s">
        <v>89</v>
      </c>
      <c r="G16" s="22" t="s">
        <v>88</v>
      </c>
      <c r="H16" s="23">
        <f>'CUOTA ARTESANAL'!L14</f>
        <v>93.504000000000005</v>
      </c>
      <c r="I16" s="23">
        <f>'CUOTA ARTESANAL'!M14</f>
        <v>-31</v>
      </c>
      <c r="J16" s="23">
        <f>'CUOTA ARTESANAL'!N14</f>
        <v>62.504000000000005</v>
      </c>
      <c r="K16" s="23">
        <f>'CUOTA ARTESANAL'!O14</f>
        <v>61.926000000000002</v>
      </c>
      <c r="L16" s="23">
        <f>'CUOTA ARTESANAL'!P14</f>
        <v>0.57800000000000296</v>
      </c>
      <c r="M16" s="41">
        <f>'CUOTA ARTESANAL'!Q14</f>
        <v>0.99075259183412256</v>
      </c>
      <c r="N16" s="24" t="s">
        <v>92</v>
      </c>
      <c r="O16" s="24">
        <f>'RESUMEN '!$B$3</f>
        <v>44200</v>
      </c>
      <c r="P16" s="22">
        <v>2020</v>
      </c>
      <c r="Q16" s="22"/>
    </row>
    <row r="17" spans="1:17" x14ac:dyDescent="0.25">
      <c r="A17" s="22" t="s">
        <v>47</v>
      </c>
      <c r="B17" s="22" t="s">
        <v>82</v>
      </c>
      <c r="C17" s="22" t="s">
        <v>90</v>
      </c>
      <c r="D17" s="22" t="s">
        <v>91</v>
      </c>
      <c r="E17" s="22" t="str">
        <f>'CUOTA ARTESANAL'!C16</f>
        <v>RESIDUAL</v>
      </c>
      <c r="F17" s="22" t="s">
        <v>85</v>
      </c>
      <c r="G17" s="22" t="s">
        <v>86</v>
      </c>
      <c r="H17" s="23">
        <f>'CUOTA ARTESANAL'!E16</f>
        <v>26.28</v>
      </c>
      <c r="I17" s="23">
        <f>'CUOTA ARTESANAL'!F16</f>
        <v>0</v>
      </c>
      <c r="J17" s="23">
        <f>'CUOTA ARTESANAL'!G16</f>
        <v>26.28</v>
      </c>
      <c r="K17" s="23">
        <f>'CUOTA ARTESANAL'!H16</f>
        <v>18.954999999999998</v>
      </c>
      <c r="L17" s="23">
        <f>'CUOTA ARTESANAL'!I16</f>
        <v>7.3250000000000028</v>
      </c>
      <c r="M17" s="41">
        <f>'CUOTA ARTESANAL'!J16</f>
        <v>0.72127092846270924</v>
      </c>
      <c r="N17" s="24" t="str">
        <f>'CUOTA ARTESANAL'!K16</f>
        <v>-</v>
      </c>
      <c r="O17" s="24">
        <f>'RESUMEN '!$B$3</f>
        <v>44200</v>
      </c>
      <c r="P17" s="22">
        <v>2020</v>
      </c>
      <c r="Q17" s="22"/>
    </row>
    <row r="18" spans="1:17" x14ac:dyDescent="0.25">
      <c r="A18" s="22" t="s">
        <v>47</v>
      </c>
      <c r="B18" s="22" t="s">
        <v>82</v>
      </c>
      <c r="C18" s="22" t="s">
        <v>90</v>
      </c>
      <c r="D18" s="22" t="s">
        <v>91</v>
      </c>
      <c r="E18" s="22" t="str">
        <f>'CUOTA ARTESANAL'!C16</f>
        <v>RESIDUAL</v>
      </c>
      <c r="F18" s="22" t="s">
        <v>87</v>
      </c>
      <c r="G18" s="22" t="s">
        <v>88</v>
      </c>
      <c r="H18" s="23">
        <f>'CUOTA ARTESANAL'!E17</f>
        <v>2.94</v>
      </c>
      <c r="I18" s="23">
        <f>'CUOTA ARTESANAL'!F17</f>
        <v>0</v>
      </c>
      <c r="J18" s="23">
        <f>'CUOTA ARTESANAL'!G17</f>
        <v>10.265000000000002</v>
      </c>
      <c r="K18" s="23">
        <f>'CUOTA ARTESANAL'!H17</f>
        <v>7.3440000000000003</v>
      </c>
      <c r="L18" s="23">
        <f>'CUOTA ARTESANAL'!I17</f>
        <v>2.921000000000002</v>
      </c>
      <c r="M18" s="41">
        <f>'CUOTA ARTESANAL'!J17</f>
        <v>0.71544081831466133</v>
      </c>
      <c r="N18" s="24" t="str">
        <f>'CUOTA ARTESANAL'!K17</f>
        <v>-</v>
      </c>
      <c r="O18" s="24">
        <f>'RESUMEN '!$B$3</f>
        <v>44200</v>
      </c>
      <c r="P18" s="22">
        <v>2020</v>
      </c>
      <c r="Q18" s="22"/>
    </row>
    <row r="19" spans="1:17" x14ac:dyDescent="0.25">
      <c r="A19" s="22" t="s">
        <v>47</v>
      </c>
      <c r="B19" s="22" t="s">
        <v>82</v>
      </c>
      <c r="C19" s="22" t="s">
        <v>90</v>
      </c>
      <c r="D19" s="22" t="s">
        <v>91</v>
      </c>
      <c r="E19" s="22" t="str">
        <f>'CUOTA ARTESANAL'!C16</f>
        <v>RESIDUAL</v>
      </c>
      <c r="F19" s="22" t="s">
        <v>89</v>
      </c>
      <c r="G19" s="22" t="s">
        <v>88</v>
      </c>
      <c r="H19" s="23">
        <f>'CUOTA ARTESANAL'!L16</f>
        <v>29.220000000000002</v>
      </c>
      <c r="I19" s="23">
        <f>'CUOTA ARTESANAL'!M16</f>
        <v>0</v>
      </c>
      <c r="J19" s="23">
        <f>'CUOTA ARTESANAL'!N16</f>
        <v>29.220000000000002</v>
      </c>
      <c r="K19" s="23">
        <f>'CUOTA ARTESANAL'!O16</f>
        <v>26.298999999999999</v>
      </c>
      <c r="L19" s="23">
        <f>'CUOTA ARTESANAL'!P16</f>
        <v>2.9210000000000029</v>
      </c>
      <c r="M19" s="41">
        <f>'CUOTA ARTESANAL'!Q16</f>
        <v>0.90003422313483905</v>
      </c>
      <c r="N19" s="24" t="s">
        <v>92</v>
      </c>
      <c r="O19" s="24">
        <f>'RESUMEN '!$B$3</f>
        <v>44200</v>
      </c>
      <c r="P19" s="22">
        <v>2020</v>
      </c>
      <c r="Q19" s="22"/>
    </row>
    <row r="20" spans="1:17" x14ac:dyDescent="0.25">
      <c r="A20" s="22" t="s">
        <v>47</v>
      </c>
      <c r="B20" s="22" t="s">
        <v>82</v>
      </c>
      <c r="C20" s="22" t="s">
        <v>93</v>
      </c>
      <c r="D20" s="22" t="s">
        <v>14</v>
      </c>
      <c r="E20" s="22" t="s">
        <v>10</v>
      </c>
      <c r="F20" s="22" t="s">
        <v>89</v>
      </c>
      <c r="G20" s="22" t="s">
        <v>88</v>
      </c>
      <c r="H20" s="23">
        <f>'CUOTA ARTESANAL'!E18</f>
        <v>10</v>
      </c>
      <c r="I20" s="23">
        <f>'CUOTA ARTESANAL'!F18</f>
        <v>0</v>
      </c>
      <c r="J20" s="23">
        <f>'CUOTA ARTESANAL'!G18</f>
        <v>10</v>
      </c>
      <c r="K20" s="23">
        <f>'CUOTA ARTESANAL'!H18</f>
        <v>0</v>
      </c>
      <c r="L20" s="23">
        <f>'CUOTA ARTESANAL'!I18</f>
        <v>10</v>
      </c>
      <c r="M20" s="41">
        <f>'CUOTA ARTESANAL'!J18</f>
        <v>0</v>
      </c>
      <c r="N20" s="24" t="str">
        <f>'CUOTA ARTESANAL'!K18</f>
        <v>-</v>
      </c>
      <c r="O20" s="24">
        <f>'RESUMEN '!$B$3</f>
        <v>44200</v>
      </c>
      <c r="P20" s="22">
        <v>2020</v>
      </c>
      <c r="Q20" s="22"/>
    </row>
    <row r="21" spans="1:17" x14ac:dyDescent="0.25">
      <c r="A21" s="37" t="s">
        <v>47</v>
      </c>
      <c r="B21" s="37" t="s">
        <v>82</v>
      </c>
      <c r="C21" s="37" t="s">
        <v>93</v>
      </c>
      <c r="D21" s="37" t="s">
        <v>94</v>
      </c>
      <c r="E21" s="37" t="s">
        <v>95</v>
      </c>
      <c r="F21" s="37" t="s">
        <v>89</v>
      </c>
      <c r="G21" s="37" t="s">
        <v>88</v>
      </c>
      <c r="H21" s="38">
        <f>'CUOTA ARTESANAL'!E19</f>
        <v>507.00000000000006</v>
      </c>
      <c r="I21" s="38">
        <f>'CUOTA ARTESANAL'!F19</f>
        <v>-29.867000000000004</v>
      </c>
      <c r="J21" s="38">
        <f>'CUOTA ARTESANAL'!G19</f>
        <v>477.13300000000004</v>
      </c>
      <c r="K21" s="38">
        <f>'CUOTA ARTESANAL'!H19</f>
        <v>445.73899999999998</v>
      </c>
      <c r="L21" s="38">
        <f>'CUOTA ARTESANAL'!I19</f>
        <v>31.394000000000062</v>
      </c>
      <c r="M21" s="42">
        <f>'CUOTA ARTESANAL'!J19</f>
        <v>0.93420283233396129</v>
      </c>
      <c r="N21" s="39" t="str">
        <f>'CUOTA ARTESANAL'!K19</f>
        <v>-</v>
      </c>
      <c r="O21" s="39">
        <f>'RESUMEN '!$B$3</f>
        <v>44200</v>
      </c>
      <c r="P21" s="37">
        <v>2020</v>
      </c>
      <c r="Q21" s="22"/>
    </row>
    <row r="22" spans="1:17" x14ac:dyDescent="0.25">
      <c r="A22" s="22" t="s">
        <v>47</v>
      </c>
      <c r="B22" s="22" t="s">
        <v>82</v>
      </c>
      <c r="C22" s="22" t="s">
        <v>83</v>
      </c>
      <c r="D22" s="22" t="s">
        <v>96</v>
      </c>
      <c r="E22" s="22" t="str">
        <f>'CUOTA LTP'!C6</f>
        <v>ANTARTIC SEAFOOD S.A.</v>
      </c>
      <c r="F22" s="22" t="s">
        <v>85</v>
      </c>
      <c r="G22" s="22" t="s">
        <v>86</v>
      </c>
      <c r="H22" s="23">
        <f>'CUOTA LTP'!E6</f>
        <v>33.140730000000005</v>
      </c>
      <c r="I22" s="23">
        <f>'CUOTA LTP'!F6</f>
        <v>0</v>
      </c>
      <c r="J22" s="23">
        <f>'CUOTA LTP'!G6</f>
        <v>33.140730000000005</v>
      </c>
      <c r="K22" s="23">
        <f>'CUOTA LTP'!H6</f>
        <v>0</v>
      </c>
      <c r="L22" s="23">
        <f>'CUOTA LTP'!I6</f>
        <v>33.140730000000005</v>
      </c>
      <c r="M22" s="41">
        <f>'CUOTA LTP'!J6</f>
        <v>0</v>
      </c>
      <c r="N22" s="24" t="s">
        <v>92</v>
      </c>
      <c r="O22" s="24">
        <f>'RESUMEN '!$B$3</f>
        <v>44200</v>
      </c>
      <c r="P22" s="22">
        <v>2020</v>
      </c>
      <c r="Q22" s="22"/>
    </row>
    <row r="23" spans="1:17" x14ac:dyDescent="0.25">
      <c r="A23" s="22" t="s">
        <v>47</v>
      </c>
      <c r="B23" s="22" t="s">
        <v>82</v>
      </c>
      <c r="C23" s="22" t="s">
        <v>83</v>
      </c>
      <c r="D23" s="22" t="s">
        <v>96</v>
      </c>
      <c r="E23" s="22" t="str">
        <f>'CUOTA LTP'!C6</f>
        <v>ANTARTIC SEAFOOD S.A.</v>
      </c>
      <c r="F23" s="22" t="s">
        <v>87</v>
      </c>
      <c r="G23" s="22" t="s">
        <v>88</v>
      </c>
      <c r="H23" s="23">
        <f>'CUOTA LTP'!E7</f>
        <v>3.6823000000000006</v>
      </c>
      <c r="I23" s="23">
        <f>'CUOTA LTP'!F7</f>
        <v>0</v>
      </c>
      <c r="J23" s="23">
        <f>'CUOTA LTP'!G7</f>
        <v>36.823030000000003</v>
      </c>
      <c r="K23" s="23">
        <f>'CUOTA LTP'!H7</f>
        <v>35.712000000000003</v>
      </c>
      <c r="L23" s="23">
        <f>'CUOTA LTP'!I7</f>
        <v>1.1110299999999995</v>
      </c>
      <c r="M23" s="41">
        <f>'CUOTA LTP'!J7</f>
        <v>0.96982784958217727</v>
      </c>
      <c r="N23" s="24" t="s">
        <v>92</v>
      </c>
      <c r="O23" s="24">
        <f>'RESUMEN '!$B$3</f>
        <v>44200</v>
      </c>
      <c r="P23" s="22">
        <v>2020</v>
      </c>
      <c r="Q23" s="22"/>
    </row>
    <row r="24" spans="1:17" x14ac:dyDescent="0.25">
      <c r="A24" s="22" t="s">
        <v>47</v>
      </c>
      <c r="B24" s="22" t="s">
        <v>82</v>
      </c>
      <c r="C24" s="22" t="s">
        <v>83</v>
      </c>
      <c r="D24" s="22" t="s">
        <v>96</v>
      </c>
      <c r="E24" s="22" t="str">
        <f>'CUOTA LTP'!C6</f>
        <v>ANTARTIC SEAFOOD S.A.</v>
      </c>
      <c r="F24" s="22" t="s">
        <v>89</v>
      </c>
      <c r="G24" s="22" t="s">
        <v>88</v>
      </c>
      <c r="H24" s="23">
        <f>'CUOTA LTP'!K6</f>
        <v>36.823030000000003</v>
      </c>
      <c r="I24" s="23">
        <f>'CUOTA LTP'!L6</f>
        <v>0</v>
      </c>
      <c r="J24" s="23">
        <f>'CUOTA LTP'!M6</f>
        <v>36.823030000000003</v>
      </c>
      <c r="K24" s="23">
        <f>'CUOTA LTP'!N6</f>
        <v>35.712000000000003</v>
      </c>
      <c r="L24" s="23">
        <f>'CUOTA LTP'!O6</f>
        <v>1.1110299999999995</v>
      </c>
      <c r="M24" s="41">
        <f>'CUOTA LTP'!P6</f>
        <v>0.96982784958217727</v>
      </c>
      <c r="N24" s="24" t="s">
        <v>92</v>
      </c>
      <c r="O24" s="24">
        <f>'RESUMEN '!$B$3</f>
        <v>44200</v>
      </c>
      <c r="P24" s="22">
        <v>2020</v>
      </c>
      <c r="Q24" s="22"/>
    </row>
    <row r="25" spans="1:17" x14ac:dyDescent="0.25">
      <c r="A25" s="22" t="s">
        <v>47</v>
      </c>
      <c r="B25" s="22" t="s">
        <v>82</v>
      </c>
      <c r="C25" s="22" t="s">
        <v>83</v>
      </c>
      <c r="D25" s="22" t="s">
        <v>96</v>
      </c>
      <c r="E25" s="22" t="str">
        <f>'CUOTA LTP'!C8</f>
        <v>QUINTERO S.A. PESQ.</v>
      </c>
      <c r="F25" s="22" t="s">
        <v>85</v>
      </c>
      <c r="G25" s="22" t="s">
        <v>86</v>
      </c>
      <c r="H25" s="23">
        <f>'CUOTA LTP'!E8</f>
        <v>5.9919400000000005</v>
      </c>
      <c r="I25" s="23">
        <f>'CUOTA LTP'!F8</f>
        <v>0</v>
      </c>
      <c r="J25" s="23">
        <f>'CUOTA LTP'!G8</f>
        <v>5.9919400000000005</v>
      </c>
      <c r="K25" s="23">
        <f>'CUOTA LTP'!H8</f>
        <v>0</v>
      </c>
      <c r="L25" s="23">
        <f>'CUOTA LTP'!I8</f>
        <v>5.9919400000000005</v>
      </c>
      <c r="M25" s="41">
        <f>'CUOTA LTP'!J8</f>
        <v>0</v>
      </c>
      <c r="N25" s="24" t="s">
        <v>92</v>
      </c>
      <c r="O25" s="24">
        <f>'RESUMEN '!$B$3</f>
        <v>44200</v>
      </c>
      <c r="P25" s="22">
        <v>2020</v>
      </c>
      <c r="Q25" s="22"/>
    </row>
    <row r="26" spans="1:17" x14ac:dyDescent="0.25">
      <c r="A26" s="22" t="s">
        <v>47</v>
      </c>
      <c r="B26" s="22" t="s">
        <v>82</v>
      </c>
      <c r="C26" s="22" t="s">
        <v>83</v>
      </c>
      <c r="D26" s="22" t="s">
        <v>96</v>
      </c>
      <c r="E26" s="22" t="str">
        <f>'CUOTA LTP'!C8</f>
        <v>QUINTERO S.A. PESQ.</v>
      </c>
      <c r="F26" s="22" t="s">
        <v>87</v>
      </c>
      <c r="G26" s="22" t="s">
        <v>88</v>
      </c>
      <c r="H26" s="23">
        <f>'CUOTA LTP'!E9</f>
        <v>0.66576999999999997</v>
      </c>
      <c r="I26" s="23">
        <f>'CUOTA LTP'!F9</f>
        <v>0</v>
      </c>
      <c r="J26" s="23">
        <f>'CUOTA LTP'!G9</f>
        <v>6.6577100000000007</v>
      </c>
      <c r="K26" s="23">
        <f>'CUOTA LTP'!H9</f>
        <v>0</v>
      </c>
      <c r="L26" s="23">
        <f>'CUOTA LTP'!I9</f>
        <v>6.6577100000000007</v>
      </c>
      <c r="M26" s="41">
        <f>'CUOTA LTP'!J9</f>
        <v>0</v>
      </c>
      <c r="N26" s="24" t="s">
        <v>92</v>
      </c>
      <c r="O26" s="24">
        <f>'RESUMEN '!$B$3</f>
        <v>44200</v>
      </c>
      <c r="P26" s="22">
        <v>2020</v>
      </c>
      <c r="Q26" s="22"/>
    </row>
    <row r="27" spans="1:17" x14ac:dyDescent="0.25">
      <c r="A27" s="22" t="s">
        <v>47</v>
      </c>
      <c r="B27" s="22" t="s">
        <v>82</v>
      </c>
      <c r="C27" s="22" t="s">
        <v>83</v>
      </c>
      <c r="D27" s="22" t="s">
        <v>96</v>
      </c>
      <c r="E27" s="22" t="str">
        <f>'CUOTA LTP'!C8</f>
        <v>QUINTERO S.A. PESQ.</v>
      </c>
      <c r="F27" s="22" t="s">
        <v>89</v>
      </c>
      <c r="G27" s="22" t="s">
        <v>88</v>
      </c>
      <c r="H27" s="23">
        <f>'CUOTA LTP'!K8</f>
        <v>6.6577100000000007</v>
      </c>
      <c r="I27" s="23">
        <f>'CUOTA LTP'!L8</f>
        <v>0</v>
      </c>
      <c r="J27" s="23">
        <f>'CUOTA LTP'!M8</f>
        <v>6.6577100000000007</v>
      </c>
      <c r="K27" s="23">
        <f>'CUOTA LTP'!N8</f>
        <v>0</v>
      </c>
      <c r="L27" s="23">
        <f>'CUOTA LTP'!O8</f>
        <v>6.6577100000000007</v>
      </c>
      <c r="M27" s="41">
        <f>'CUOTA LTP'!P8</f>
        <v>0</v>
      </c>
      <c r="N27" s="24" t="s">
        <v>92</v>
      </c>
      <c r="O27" s="24">
        <f>'RESUMEN '!$B$3</f>
        <v>44200</v>
      </c>
      <c r="P27" s="22">
        <v>2020</v>
      </c>
      <c r="Q27" s="22"/>
    </row>
    <row r="28" spans="1:17" x14ac:dyDescent="0.25">
      <c r="A28" s="22" t="s">
        <v>47</v>
      </c>
      <c r="B28" s="22" t="s">
        <v>82</v>
      </c>
      <c r="C28" s="22" t="s">
        <v>83</v>
      </c>
      <c r="D28" s="22" t="s">
        <v>96</v>
      </c>
      <c r="E28" s="22" t="str">
        <f>'CUOTA LTP'!C10</f>
        <v>BAYCIC BAYCIC MARIA</v>
      </c>
      <c r="F28" s="22" t="s">
        <v>85</v>
      </c>
      <c r="G28" s="22" t="s">
        <v>86</v>
      </c>
      <c r="H28" s="23">
        <f>'CUOTA LTP'!E10</f>
        <v>2.7000000000000001E-3</v>
      </c>
      <c r="I28" s="23">
        <f>'CUOTA LTP'!F10</f>
        <v>0</v>
      </c>
      <c r="J28" s="23">
        <f>'CUOTA LTP'!G10</f>
        <v>2.7000000000000001E-3</v>
      </c>
      <c r="K28" s="23">
        <f>'CUOTA LTP'!H10</f>
        <v>0</v>
      </c>
      <c r="L28" s="23">
        <f>'CUOTA LTP'!I10</f>
        <v>2.7000000000000001E-3</v>
      </c>
      <c r="M28" s="41">
        <f>'CUOTA LTP'!J10</f>
        <v>0</v>
      </c>
      <c r="N28" s="24" t="s">
        <v>92</v>
      </c>
      <c r="O28" s="24">
        <f>'RESUMEN '!$B$3</f>
        <v>44200</v>
      </c>
      <c r="P28" s="22">
        <v>2020</v>
      </c>
      <c r="Q28" s="22"/>
    </row>
    <row r="29" spans="1:17" x14ac:dyDescent="0.25">
      <c r="A29" s="22" t="s">
        <v>47</v>
      </c>
      <c r="B29" s="22" t="s">
        <v>82</v>
      </c>
      <c r="C29" s="22" t="s">
        <v>83</v>
      </c>
      <c r="D29" s="22" t="s">
        <v>96</v>
      </c>
      <c r="E29" s="22" t="str">
        <f>'CUOTA LTP'!C10</f>
        <v>BAYCIC BAYCIC MARIA</v>
      </c>
      <c r="F29" s="22" t="s">
        <v>87</v>
      </c>
      <c r="G29" s="22" t="s">
        <v>88</v>
      </c>
      <c r="H29" s="23">
        <f>'CUOTA LTP'!E11</f>
        <v>2.9999999999999997E-4</v>
      </c>
      <c r="I29" s="23">
        <f>'CUOTA LTP'!F11</f>
        <v>0</v>
      </c>
      <c r="J29" s="23">
        <f>'CUOTA LTP'!G11</f>
        <v>3.0000000000000001E-3</v>
      </c>
      <c r="K29" s="23">
        <f>'CUOTA LTP'!H11</f>
        <v>0</v>
      </c>
      <c r="L29" s="23">
        <f>'CUOTA LTP'!I11</f>
        <v>3.0000000000000001E-3</v>
      </c>
      <c r="M29" s="41">
        <f>'CUOTA LTP'!J11</f>
        <v>0</v>
      </c>
      <c r="N29" s="24" t="s">
        <v>92</v>
      </c>
      <c r="O29" s="24">
        <f>'RESUMEN '!$B$3</f>
        <v>44200</v>
      </c>
      <c r="P29" s="22">
        <v>2020</v>
      </c>
      <c r="Q29" s="22"/>
    </row>
    <row r="30" spans="1:17" x14ac:dyDescent="0.25">
      <c r="A30" s="22" t="s">
        <v>47</v>
      </c>
      <c r="B30" s="22" t="s">
        <v>82</v>
      </c>
      <c r="C30" s="22" t="s">
        <v>83</v>
      </c>
      <c r="D30" s="22" t="s">
        <v>96</v>
      </c>
      <c r="E30" s="22" t="str">
        <f>'CUOTA LTP'!C10</f>
        <v>BAYCIC BAYCIC MARIA</v>
      </c>
      <c r="F30" s="22" t="s">
        <v>89</v>
      </c>
      <c r="G30" s="22" t="s">
        <v>88</v>
      </c>
      <c r="H30" s="23">
        <f>'CUOTA LTP'!K10</f>
        <v>3.0000000000000001E-3</v>
      </c>
      <c r="I30" s="23">
        <f>'CUOTA LTP'!L10</f>
        <v>0</v>
      </c>
      <c r="J30" s="23">
        <f>'CUOTA LTP'!M10</f>
        <v>3.0000000000000001E-3</v>
      </c>
      <c r="K30" s="23">
        <f>'CUOTA LTP'!N10</f>
        <v>0</v>
      </c>
      <c r="L30" s="23">
        <f>'CUOTA LTP'!O10</f>
        <v>3.0000000000000001E-3</v>
      </c>
      <c r="M30" s="41">
        <f>'CUOTA LTP'!P10</f>
        <v>0</v>
      </c>
      <c r="N30" s="24" t="s">
        <v>92</v>
      </c>
      <c r="O30" s="24">
        <f>'RESUMEN '!$B$3</f>
        <v>44200</v>
      </c>
      <c r="P30" s="22">
        <v>2020</v>
      </c>
      <c r="Q30" s="22"/>
    </row>
    <row r="31" spans="1:17" x14ac:dyDescent="0.25">
      <c r="A31" s="22" t="s">
        <v>47</v>
      </c>
      <c r="B31" s="22" t="s">
        <v>82</v>
      </c>
      <c r="C31" s="22" t="s">
        <v>83</v>
      </c>
      <c r="D31" s="22" t="s">
        <v>96</v>
      </c>
      <c r="E31" s="22" t="str">
        <f>'CUOTA LTP'!C12</f>
        <v>BRACPESCA S.A.</v>
      </c>
      <c r="F31" s="22" t="s">
        <v>85</v>
      </c>
      <c r="G31" s="22" t="s">
        <v>86</v>
      </c>
      <c r="H31" s="23">
        <f>'CUOTA LTP'!E12</f>
        <v>34.463360000000002</v>
      </c>
      <c r="I31" s="23">
        <f>'CUOTA LTP'!F12</f>
        <v>0</v>
      </c>
      <c r="J31" s="23">
        <f>'CUOTA LTP'!G12</f>
        <v>34.463360000000002</v>
      </c>
      <c r="K31" s="23">
        <f>'CUOTA LTP'!H12</f>
        <v>0</v>
      </c>
      <c r="L31" s="23">
        <f>'CUOTA LTP'!I12</f>
        <v>34.463360000000002</v>
      </c>
      <c r="M31" s="41">
        <f>'CUOTA LTP'!J12</f>
        <v>0</v>
      </c>
      <c r="N31" s="24" t="s">
        <v>92</v>
      </c>
      <c r="O31" s="24">
        <f>'RESUMEN '!$B$3</f>
        <v>44200</v>
      </c>
      <c r="P31" s="22">
        <v>2020</v>
      </c>
      <c r="Q31" s="22"/>
    </row>
    <row r="32" spans="1:17" x14ac:dyDescent="0.25">
      <c r="A32" s="22" t="s">
        <v>47</v>
      </c>
      <c r="B32" s="22" t="s">
        <v>82</v>
      </c>
      <c r="C32" s="22" t="s">
        <v>83</v>
      </c>
      <c r="D32" s="22" t="s">
        <v>96</v>
      </c>
      <c r="E32" s="22" t="str">
        <f>'CUOTA LTP'!C12</f>
        <v>BRACPESCA S.A.</v>
      </c>
      <c r="F32" s="22" t="s">
        <v>87</v>
      </c>
      <c r="G32" s="22" t="s">
        <v>88</v>
      </c>
      <c r="H32" s="23">
        <f>'CUOTA LTP'!E13</f>
        <v>3.8292600000000001</v>
      </c>
      <c r="I32" s="23">
        <f>'CUOTA LTP'!F13</f>
        <v>0</v>
      </c>
      <c r="J32" s="23">
        <f>'CUOTA LTP'!G13</f>
        <v>38.292619999999999</v>
      </c>
      <c r="K32" s="23">
        <f>'CUOTA LTP'!H13</f>
        <v>0</v>
      </c>
      <c r="L32" s="23">
        <f>'CUOTA LTP'!I13</f>
        <v>38.292619999999999</v>
      </c>
      <c r="M32" s="41">
        <f>'CUOTA LTP'!J13</f>
        <v>0</v>
      </c>
      <c r="N32" s="24" t="s">
        <v>92</v>
      </c>
      <c r="O32" s="24">
        <f>'RESUMEN '!$B$3</f>
        <v>44200</v>
      </c>
      <c r="P32" s="22">
        <v>2020</v>
      </c>
      <c r="Q32" s="22"/>
    </row>
    <row r="33" spans="1:17" x14ac:dyDescent="0.25">
      <c r="A33" s="22" t="s">
        <v>47</v>
      </c>
      <c r="B33" s="22" t="s">
        <v>82</v>
      </c>
      <c r="C33" s="22" t="s">
        <v>83</v>
      </c>
      <c r="D33" s="22" t="s">
        <v>96</v>
      </c>
      <c r="E33" s="22" t="str">
        <f>'CUOTA LTP'!C12</f>
        <v>BRACPESCA S.A.</v>
      </c>
      <c r="F33" s="22" t="s">
        <v>89</v>
      </c>
      <c r="G33" s="22" t="s">
        <v>88</v>
      </c>
      <c r="H33" s="23">
        <f>'CUOTA LTP'!K12</f>
        <v>38.292619999999999</v>
      </c>
      <c r="I33" s="23">
        <f>'CUOTA LTP'!L12</f>
        <v>0</v>
      </c>
      <c r="J33" s="23">
        <f>'CUOTA LTP'!M12</f>
        <v>38.292619999999999</v>
      </c>
      <c r="K33" s="23">
        <f>'CUOTA LTP'!N12</f>
        <v>0</v>
      </c>
      <c r="L33" s="23">
        <f>'CUOTA LTP'!O12</f>
        <v>38.292619999999999</v>
      </c>
      <c r="M33" s="41">
        <f>'CUOTA LTP'!P12</f>
        <v>0</v>
      </c>
      <c r="N33" s="24" t="s">
        <v>92</v>
      </c>
      <c r="O33" s="24">
        <f>'RESUMEN '!$B$3</f>
        <v>44200</v>
      </c>
      <c r="P33" s="22">
        <v>2020</v>
      </c>
      <c r="Q33" s="22"/>
    </row>
    <row r="34" spans="1:17" x14ac:dyDescent="0.25">
      <c r="A34" s="22" t="s">
        <v>47</v>
      </c>
      <c r="B34" s="22" t="s">
        <v>82</v>
      </c>
      <c r="C34" s="22" t="s">
        <v>83</v>
      </c>
      <c r="D34" s="22" t="s">
        <v>96</v>
      </c>
      <c r="E34" s="22" t="str">
        <f>'CUOTA LTP'!C14</f>
        <v>GRIMAR S.A. PESQ.</v>
      </c>
      <c r="F34" s="22" t="s">
        <v>85</v>
      </c>
      <c r="G34" s="22" t="s">
        <v>86</v>
      </c>
      <c r="H34" s="23">
        <f>'CUOTA LTP'!E14</f>
        <v>1.558E-2</v>
      </c>
      <c r="I34" s="23">
        <f>'CUOTA LTP'!F14</f>
        <v>0</v>
      </c>
      <c r="J34" s="23">
        <f>'CUOTA LTP'!G14</f>
        <v>1.558E-2</v>
      </c>
      <c r="K34" s="23">
        <f>'CUOTA LTP'!H14</f>
        <v>0</v>
      </c>
      <c r="L34" s="23">
        <f>'CUOTA LTP'!I14</f>
        <v>1.558E-2</v>
      </c>
      <c r="M34" s="41">
        <f>'CUOTA LTP'!J14</f>
        <v>0</v>
      </c>
      <c r="N34" s="24" t="s">
        <v>92</v>
      </c>
      <c r="O34" s="24">
        <f>'RESUMEN '!$B$3</f>
        <v>44200</v>
      </c>
      <c r="P34" s="22">
        <v>2020</v>
      </c>
      <c r="Q34" s="22"/>
    </row>
    <row r="35" spans="1:17" x14ac:dyDescent="0.25">
      <c r="A35" s="22" t="s">
        <v>47</v>
      </c>
      <c r="B35" s="22" t="s">
        <v>82</v>
      </c>
      <c r="C35" s="22" t="s">
        <v>83</v>
      </c>
      <c r="D35" s="22" t="s">
        <v>96</v>
      </c>
      <c r="E35" s="22" t="str">
        <f>'CUOTA LTP'!C14</f>
        <v>GRIMAR S.A. PESQ.</v>
      </c>
      <c r="F35" s="22" t="s">
        <v>87</v>
      </c>
      <c r="G35" s="22" t="s">
        <v>88</v>
      </c>
      <c r="H35" s="23">
        <f>'CUOTA LTP'!E15</f>
        <v>1.73E-3</v>
      </c>
      <c r="I35" s="23">
        <f>'CUOTA LTP'!F15</f>
        <v>0</v>
      </c>
      <c r="J35" s="23">
        <f>'CUOTA LTP'!G15</f>
        <v>1.7309999999999999E-2</v>
      </c>
      <c r="K35" s="23">
        <f>'CUOTA LTP'!H15</f>
        <v>0</v>
      </c>
      <c r="L35" s="23">
        <f>'CUOTA LTP'!I15</f>
        <v>1.7309999999999999E-2</v>
      </c>
      <c r="M35" s="41">
        <f>'CUOTA LTP'!J15</f>
        <v>0</v>
      </c>
      <c r="N35" s="24" t="s">
        <v>92</v>
      </c>
      <c r="O35" s="24">
        <f>'RESUMEN '!$B$3</f>
        <v>44200</v>
      </c>
      <c r="P35" s="22">
        <v>2020</v>
      </c>
      <c r="Q35" s="22"/>
    </row>
    <row r="36" spans="1:17" x14ac:dyDescent="0.25">
      <c r="A36" s="22" t="s">
        <v>47</v>
      </c>
      <c r="B36" s="22" t="s">
        <v>82</v>
      </c>
      <c r="C36" s="22" t="s">
        <v>83</v>
      </c>
      <c r="D36" s="22" t="s">
        <v>96</v>
      </c>
      <c r="E36" s="22" t="str">
        <f>'CUOTA LTP'!C14</f>
        <v>GRIMAR S.A. PESQ.</v>
      </c>
      <c r="F36" s="22" t="s">
        <v>89</v>
      </c>
      <c r="G36" s="22" t="s">
        <v>88</v>
      </c>
      <c r="H36" s="23">
        <f>'CUOTA LTP'!K14</f>
        <v>1.7309999999999999E-2</v>
      </c>
      <c r="I36" s="23">
        <f>'CUOTA LTP'!L14</f>
        <v>0</v>
      </c>
      <c r="J36" s="23">
        <f>'CUOTA LTP'!M14</f>
        <v>1.7309999999999999E-2</v>
      </c>
      <c r="K36" s="23">
        <f>'CUOTA LTP'!N14</f>
        <v>0</v>
      </c>
      <c r="L36" s="23">
        <f>'CUOTA LTP'!O14</f>
        <v>1.7309999999999999E-2</v>
      </c>
      <c r="M36" s="41">
        <f>'CUOTA LTP'!P14</f>
        <v>0</v>
      </c>
      <c r="N36" s="24" t="s">
        <v>92</v>
      </c>
      <c r="O36" s="24">
        <f>'RESUMEN '!$B$3</f>
        <v>44200</v>
      </c>
      <c r="P36" s="22">
        <v>2020</v>
      </c>
      <c r="Q36" s="22"/>
    </row>
    <row r="37" spans="1:17" x14ac:dyDescent="0.25">
      <c r="A37" s="22" t="s">
        <v>47</v>
      </c>
      <c r="B37" s="22" t="s">
        <v>82</v>
      </c>
      <c r="C37" s="22" t="s">
        <v>83</v>
      </c>
      <c r="D37" s="22" t="s">
        <v>96</v>
      </c>
      <c r="E37" s="22" t="str">
        <f>'CUOTA LTP'!C16</f>
        <v>ISLADAMAS S.A. PESQ.</v>
      </c>
      <c r="F37" s="22" t="s">
        <v>85</v>
      </c>
      <c r="G37" s="22" t="s">
        <v>86</v>
      </c>
      <c r="H37" s="23">
        <f>'CUOTA LTP'!E16</f>
        <v>9.5249000000000006</v>
      </c>
      <c r="I37" s="23">
        <f>'CUOTA LTP'!F16</f>
        <v>0</v>
      </c>
      <c r="J37" s="23">
        <f>'CUOTA LTP'!G16</f>
        <v>9.5249000000000006</v>
      </c>
      <c r="K37" s="23">
        <f>'CUOTA LTP'!H16</f>
        <v>0</v>
      </c>
      <c r="L37" s="23">
        <f>'CUOTA LTP'!I16</f>
        <v>9.5249000000000006</v>
      </c>
      <c r="M37" s="41">
        <f>'CUOTA LTP'!J16</f>
        <v>0</v>
      </c>
      <c r="N37" s="24" t="s">
        <v>92</v>
      </c>
      <c r="O37" s="24">
        <f>'RESUMEN '!$B$3</f>
        <v>44200</v>
      </c>
      <c r="P37" s="22">
        <v>2020</v>
      </c>
      <c r="Q37" s="22"/>
    </row>
    <row r="38" spans="1:17" x14ac:dyDescent="0.25">
      <c r="A38" s="22" t="s">
        <v>47</v>
      </c>
      <c r="B38" s="22" t="s">
        <v>82</v>
      </c>
      <c r="C38" s="22" t="s">
        <v>83</v>
      </c>
      <c r="D38" s="22" t="s">
        <v>96</v>
      </c>
      <c r="E38" s="22" t="str">
        <f>'CUOTA LTP'!C16</f>
        <v>ISLADAMAS S.A. PESQ.</v>
      </c>
      <c r="F38" s="22" t="s">
        <v>87</v>
      </c>
      <c r="G38" s="22" t="s">
        <v>88</v>
      </c>
      <c r="H38" s="23">
        <f>'CUOTA LTP'!E17</f>
        <v>1.05833</v>
      </c>
      <c r="I38" s="23">
        <f>'CUOTA LTP'!F17</f>
        <v>0</v>
      </c>
      <c r="J38" s="23">
        <f>'CUOTA LTP'!G17</f>
        <v>10.58323</v>
      </c>
      <c r="K38" s="23">
        <f>'CUOTA LTP'!H17</f>
        <v>0</v>
      </c>
      <c r="L38" s="23">
        <f>'CUOTA LTP'!I17</f>
        <v>10.58323</v>
      </c>
      <c r="M38" s="41">
        <f>'CUOTA LTP'!J17</f>
        <v>0</v>
      </c>
      <c r="N38" s="24" t="s">
        <v>92</v>
      </c>
      <c r="O38" s="24">
        <f>'RESUMEN '!$B$3</f>
        <v>44200</v>
      </c>
      <c r="P38" s="22">
        <v>2020</v>
      </c>
      <c r="Q38" s="22"/>
    </row>
    <row r="39" spans="1:17" x14ac:dyDescent="0.25">
      <c r="A39" s="22" t="s">
        <v>47</v>
      </c>
      <c r="B39" s="22" t="s">
        <v>82</v>
      </c>
      <c r="C39" s="22" t="s">
        <v>83</v>
      </c>
      <c r="D39" s="22" t="s">
        <v>96</v>
      </c>
      <c r="E39" s="22" t="str">
        <f>'CUOTA LTP'!C16</f>
        <v>ISLADAMAS S.A. PESQ.</v>
      </c>
      <c r="F39" s="22" t="s">
        <v>89</v>
      </c>
      <c r="G39" s="22" t="s">
        <v>88</v>
      </c>
      <c r="H39" s="23">
        <f>'CUOTA LTP'!K16</f>
        <v>10.58323</v>
      </c>
      <c r="I39" s="23">
        <f>'CUOTA LTP'!L16</f>
        <v>0</v>
      </c>
      <c r="J39" s="23">
        <f>'CUOTA LTP'!M16</f>
        <v>10.58323</v>
      </c>
      <c r="K39" s="23">
        <f>'CUOTA LTP'!N16</f>
        <v>0</v>
      </c>
      <c r="L39" s="23">
        <f>'CUOTA LTP'!O16</f>
        <v>10.58323</v>
      </c>
      <c r="M39" s="41">
        <f>'CUOTA LTP'!P16</f>
        <v>0</v>
      </c>
      <c r="N39" s="24" t="s">
        <v>92</v>
      </c>
      <c r="O39" s="24">
        <f>'RESUMEN '!$B$3</f>
        <v>44200</v>
      </c>
      <c r="P39" s="22">
        <v>2020</v>
      </c>
      <c r="Q39" s="22"/>
    </row>
    <row r="40" spans="1:17" x14ac:dyDescent="0.25">
      <c r="A40" s="22" t="s">
        <v>47</v>
      </c>
      <c r="B40" s="22" t="s">
        <v>82</v>
      </c>
      <c r="C40" s="22" t="s">
        <v>83</v>
      </c>
      <c r="D40" s="22" t="s">
        <v>96</v>
      </c>
      <c r="E40" s="22" t="str">
        <f>'CUOTA LTP'!C18</f>
        <v>MOROZIN BAYCIC MARIA ANA</v>
      </c>
      <c r="F40" s="22" t="s">
        <v>85</v>
      </c>
      <c r="G40" s="22" t="s">
        <v>86</v>
      </c>
      <c r="H40" s="23">
        <f>'CUOTA LTP'!E18</f>
        <v>9.0100000000000006E-3</v>
      </c>
      <c r="I40" s="23">
        <f>'CUOTA LTP'!F18</f>
        <v>0</v>
      </c>
      <c r="J40" s="23">
        <f>'CUOTA LTP'!G18</f>
        <v>9.0100000000000006E-3</v>
      </c>
      <c r="K40" s="23">
        <f>'CUOTA LTP'!H18</f>
        <v>0</v>
      </c>
      <c r="L40" s="23">
        <f>'CUOTA LTP'!I18</f>
        <v>9.0100000000000006E-3</v>
      </c>
      <c r="M40" s="41">
        <f>'CUOTA LTP'!J18</f>
        <v>0</v>
      </c>
      <c r="N40" s="24" t="s">
        <v>92</v>
      </c>
      <c r="O40" s="24">
        <f>'RESUMEN '!$B$3</f>
        <v>44200</v>
      </c>
      <c r="P40" s="22">
        <v>2020</v>
      </c>
      <c r="Q40" s="22"/>
    </row>
    <row r="41" spans="1:17" x14ac:dyDescent="0.25">
      <c r="A41" s="22" t="s">
        <v>47</v>
      </c>
      <c r="B41" s="22" t="s">
        <v>82</v>
      </c>
      <c r="C41" s="22" t="s">
        <v>83</v>
      </c>
      <c r="D41" s="22" t="s">
        <v>96</v>
      </c>
      <c r="E41" s="22" t="str">
        <f>'CUOTA LTP'!C18</f>
        <v>MOROZIN BAYCIC MARIA ANA</v>
      </c>
      <c r="F41" s="22" t="s">
        <v>87</v>
      </c>
      <c r="G41" s="22" t="s">
        <v>88</v>
      </c>
      <c r="H41" s="23">
        <f>'CUOTA LTP'!E19</f>
        <v>1E-3</v>
      </c>
      <c r="I41" s="23">
        <f>'CUOTA LTP'!F19</f>
        <v>0</v>
      </c>
      <c r="J41" s="23">
        <f>'CUOTA LTP'!G19</f>
        <v>1.0010000000000002E-2</v>
      </c>
      <c r="K41" s="23">
        <f>'CUOTA LTP'!H19</f>
        <v>0</v>
      </c>
      <c r="L41" s="23">
        <f>'CUOTA LTP'!I19</f>
        <v>1.0010000000000002E-2</v>
      </c>
      <c r="M41" s="41">
        <f>'CUOTA LTP'!J19</f>
        <v>0</v>
      </c>
      <c r="N41" s="24" t="s">
        <v>92</v>
      </c>
      <c r="O41" s="24">
        <f>'RESUMEN '!$B$3</f>
        <v>44200</v>
      </c>
      <c r="P41" s="22">
        <v>2020</v>
      </c>
      <c r="Q41" s="22"/>
    </row>
    <row r="42" spans="1:17" x14ac:dyDescent="0.25">
      <c r="A42" s="22" t="s">
        <v>47</v>
      </c>
      <c r="B42" s="22" t="s">
        <v>82</v>
      </c>
      <c r="C42" s="22" t="s">
        <v>83</v>
      </c>
      <c r="D42" s="22" t="s">
        <v>96</v>
      </c>
      <c r="E42" s="22" t="str">
        <f>'CUOTA LTP'!C18</f>
        <v>MOROZIN BAYCIC MARIA ANA</v>
      </c>
      <c r="F42" s="22" t="s">
        <v>89</v>
      </c>
      <c r="G42" s="22" t="s">
        <v>88</v>
      </c>
      <c r="H42" s="23">
        <f>'CUOTA LTP'!K18</f>
        <v>1.0010000000000002E-2</v>
      </c>
      <c r="I42" s="23">
        <f>'CUOTA LTP'!L18</f>
        <v>0</v>
      </c>
      <c r="J42" s="23">
        <f>'CUOTA LTP'!M18</f>
        <v>1.0010000000000002E-2</v>
      </c>
      <c r="K42" s="23">
        <f>'CUOTA LTP'!N18</f>
        <v>0</v>
      </c>
      <c r="L42" s="23">
        <f>'CUOTA LTP'!O18</f>
        <v>1.0010000000000002E-2</v>
      </c>
      <c r="M42" s="41">
        <f>'CUOTA LTP'!P18</f>
        <v>0</v>
      </c>
      <c r="N42" s="24" t="s">
        <v>92</v>
      </c>
      <c r="O42" s="24">
        <f>'RESUMEN '!$B$3</f>
        <v>44200</v>
      </c>
      <c r="P42" s="22">
        <v>2020</v>
      </c>
      <c r="Q42" s="22"/>
    </row>
    <row r="43" spans="1:17" x14ac:dyDescent="0.25">
      <c r="A43" s="22" t="s">
        <v>47</v>
      </c>
      <c r="B43" s="22" t="s">
        <v>82</v>
      </c>
      <c r="C43" s="22" t="s">
        <v>83</v>
      </c>
      <c r="D43" s="22" t="s">
        <v>96</v>
      </c>
      <c r="E43" s="22" t="str">
        <f>'CUOTA LTP'!C20</f>
        <v>MOROZIN YURECIC MARIO</v>
      </c>
      <c r="F43" s="22" t="s">
        <v>85</v>
      </c>
      <c r="G43" s="22" t="s">
        <v>86</v>
      </c>
      <c r="H43" s="23">
        <f>'CUOTA LTP'!E20</f>
        <v>1.81E-3</v>
      </c>
      <c r="I43" s="23">
        <f>'CUOTA LTP'!F20</f>
        <v>0</v>
      </c>
      <c r="J43" s="23">
        <f>'CUOTA LTP'!G20</f>
        <v>1.81E-3</v>
      </c>
      <c r="K43" s="23">
        <f>'CUOTA LTP'!H20</f>
        <v>0</v>
      </c>
      <c r="L43" s="23">
        <f>'CUOTA LTP'!I20</f>
        <v>1.81E-3</v>
      </c>
      <c r="M43" s="41">
        <f>'CUOTA LTP'!J20</f>
        <v>0</v>
      </c>
      <c r="N43" s="24" t="s">
        <v>92</v>
      </c>
      <c r="O43" s="24">
        <f>'RESUMEN '!$B$3</f>
        <v>44200</v>
      </c>
      <c r="P43" s="22">
        <v>2020</v>
      </c>
      <c r="Q43" s="22"/>
    </row>
    <row r="44" spans="1:17" x14ac:dyDescent="0.25">
      <c r="A44" s="22" t="s">
        <v>47</v>
      </c>
      <c r="B44" s="22" t="s">
        <v>82</v>
      </c>
      <c r="C44" s="22" t="s">
        <v>83</v>
      </c>
      <c r="D44" s="22" t="s">
        <v>96</v>
      </c>
      <c r="E44" s="22" t="str">
        <f>'CUOTA LTP'!C20</f>
        <v>MOROZIN YURECIC MARIO</v>
      </c>
      <c r="F44" s="22" t="s">
        <v>87</v>
      </c>
      <c r="G44" s="22" t="s">
        <v>88</v>
      </c>
      <c r="H44" s="23">
        <f>'CUOTA LTP'!E21</f>
        <v>2.0000000000000001E-4</v>
      </c>
      <c r="I44" s="23">
        <f>'CUOTA LTP'!F21</f>
        <v>0</v>
      </c>
      <c r="J44" s="23">
        <f>'CUOTA LTP'!G21</f>
        <v>2.0100000000000001E-3</v>
      </c>
      <c r="K44" s="23">
        <f>'CUOTA LTP'!H21</f>
        <v>0</v>
      </c>
      <c r="L44" s="23">
        <f>'CUOTA LTP'!I21</f>
        <v>2.0100000000000001E-3</v>
      </c>
      <c r="M44" s="41">
        <f>'CUOTA LTP'!J21</f>
        <v>0</v>
      </c>
      <c r="N44" s="24" t="s">
        <v>92</v>
      </c>
      <c r="O44" s="24">
        <f>'RESUMEN '!$B$3</f>
        <v>44200</v>
      </c>
      <c r="P44" s="22">
        <v>2020</v>
      </c>
      <c r="Q44" s="22"/>
    </row>
    <row r="45" spans="1:17" x14ac:dyDescent="0.25">
      <c r="A45" s="22" t="s">
        <v>47</v>
      </c>
      <c r="B45" s="22" t="s">
        <v>82</v>
      </c>
      <c r="C45" s="22" t="s">
        <v>83</v>
      </c>
      <c r="D45" s="22" t="s">
        <v>96</v>
      </c>
      <c r="E45" s="22" t="str">
        <f>'CUOTA LTP'!C20</f>
        <v>MOROZIN YURECIC MARIO</v>
      </c>
      <c r="F45" s="22" t="s">
        <v>89</v>
      </c>
      <c r="G45" s="22" t="s">
        <v>88</v>
      </c>
      <c r="H45" s="23">
        <f>'CUOTA LTP'!K20</f>
        <v>2.0100000000000001E-3</v>
      </c>
      <c r="I45" s="23">
        <f>'CUOTA LTP'!L20</f>
        <v>0</v>
      </c>
      <c r="J45" s="23">
        <f>'CUOTA LTP'!M20</f>
        <v>2.0100000000000001E-3</v>
      </c>
      <c r="K45" s="23">
        <f>'CUOTA LTP'!N20</f>
        <v>0</v>
      </c>
      <c r="L45" s="23">
        <f>'CUOTA LTP'!O20</f>
        <v>2.0100000000000001E-3</v>
      </c>
      <c r="M45" s="41">
        <f>'CUOTA LTP'!P20</f>
        <v>0</v>
      </c>
      <c r="N45" s="24" t="s">
        <v>92</v>
      </c>
      <c r="O45" s="24">
        <f>'RESUMEN '!$B$3</f>
        <v>44200</v>
      </c>
      <c r="P45" s="22">
        <v>2020</v>
      </c>
      <c r="Q45" s="22"/>
    </row>
    <row r="46" spans="1:17" x14ac:dyDescent="0.25">
      <c r="A46" s="22" t="s">
        <v>47</v>
      </c>
      <c r="B46" s="22" t="s">
        <v>82</v>
      </c>
      <c r="C46" s="22" t="s">
        <v>83</v>
      </c>
      <c r="D46" s="22" t="s">
        <v>96</v>
      </c>
      <c r="E46" s="22" t="str">
        <f>'CUOTA LTP'!C22</f>
        <v>ZUÑIGA ROMERO GONZALO</v>
      </c>
      <c r="F46" s="22" t="s">
        <v>85</v>
      </c>
      <c r="G46" s="22" t="s">
        <v>86</v>
      </c>
      <c r="H46" s="23">
        <f>'CUOTA LTP'!E22</f>
        <v>5.4000000000000003E-3</v>
      </c>
      <c r="I46" s="23">
        <f>'CUOTA LTP'!F22</f>
        <v>0</v>
      </c>
      <c r="J46" s="23">
        <f>'CUOTA LTP'!G22</f>
        <v>5.4000000000000003E-3</v>
      </c>
      <c r="K46" s="23">
        <f>'CUOTA LTP'!H22</f>
        <v>0</v>
      </c>
      <c r="L46" s="23">
        <f>'CUOTA LTP'!I22</f>
        <v>5.4000000000000003E-3</v>
      </c>
      <c r="M46" s="41">
        <f>'CUOTA LTP'!J22</f>
        <v>0</v>
      </c>
      <c r="N46" s="24" t="s">
        <v>92</v>
      </c>
      <c r="O46" s="24">
        <f>'RESUMEN '!$B$3</f>
        <v>44200</v>
      </c>
      <c r="P46" s="22">
        <v>2020</v>
      </c>
      <c r="Q46" s="22"/>
    </row>
    <row r="47" spans="1:17" x14ac:dyDescent="0.25">
      <c r="A47" s="22" t="s">
        <v>47</v>
      </c>
      <c r="B47" s="22" t="s">
        <v>82</v>
      </c>
      <c r="C47" s="22" t="s">
        <v>83</v>
      </c>
      <c r="D47" s="22" t="s">
        <v>96</v>
      </c>
      <c r="E47" s="22" t="str">
        <f>'CUOTA LTP'!C22</f>
        <v>ZUÑIGA ROMERO GONZALO</v>
      </c>
      <c r="F47" s="22" t="s">
        <v>87</v>
      </c>
      <c r="G47" s="22" t="s">
        <v>88</v>
      </c>
      <c r="H47" s="23">
        <f>'CUOTA LTP'!E23</f>
        <v>5.9999999999999995E-4</v>
      </c>
      <c r="I47" s="23">
        <f>'CUOTA LTP'!F23</f>
        <v>0</v>
      </c>
      <c r="J47" s="23">
        <f>'CUOTA LTP'!G23</f>
        <v>6.0000000000000001E-3</v>
      </c>
      <c r="K47" s="23">
        <f>'CUOTA LTP'!H23</f>
        <v>0</v>
      </c>
      <c r="L47" s="23">
        <f>'CUOTA LTP'!I23</f>
        <v>6.0000000000000001E-3</v>
      </c>
      <c r="M47" s="41">
        <f>'CUOTA LTP'!J23</f>
        <v>0</v>
      </c>
      <c r="N47" s="24" t="s">
        <v>92</v>
      </c>
      <c r="O47" s="24">
        <f>'RESUMEN '!$B$3</f>
        <v>44200</v>
      </c>
      <c r="P47" s="22">
        <v>2020</v>
      </c>
      <c r="Q47" s="22"/>
    </row>
    <row r="48" spans="1:17" x14ac:dyDescent="0.25">
      <c r="A48" s="22" t="s">
        <v>47</v>
      </c>
      <c r="B48" s="22" t="s">
        <v>82</v>
      </c>
      <c r="C48" s="22" t="s">
        <v>83</v>
      </c>
      <c r="D48" s="22" t="s">
        <v>96</v>
      </c>
      <c r="E48" s="22" t="str">
        <f>'CUOTA LTP'!C22</f>
        <v>ZUÑIGA ROMERO GONZALO</v>
      </c>
      <c r="F48" s="22" t="s">
        <v>89</v>
      </c>
      <c r="G48" s="22" t="s">
        <v>88</v>
      </c>
      <c r="H48" s="23">
        <f>'CUOTA LTP'!K22</f>
        <v>6.0000000000000001E-3</v>
      </c>
      <c r="I48" s="23">
        <f>'CUOTA LTP'!L22</f>
        <v>0</v>
      </c>
      <c r="J48" s="23">
        <f>'CUOTA LTP'!M22</f>
        <v>6.0000000000000001E-3</v>
      </c>
      <c r="K48" s="23">
        <f>'CUOTA LTP'!N22</f>
        <v>0</v>
      </c>
      <c r="L48" s="23">
        <f>'CUOTA LTP'!O22</f>
        <v>6.0000000000000001E-3</v>
      </c>
      <c r="M48" s="41">
        <f>'CUOTA LTP'!P22</f>
        <v>0</v>
      </c>
      <c r="N48" s="24" t="s">
        <v>92</v>
      </c>
      <c r="O48" s="24">
        <f>'RESUMEN '!$B$3</f>
        <v>44200</v>
      </c>
      <c r="P48" s="22">
        <v>2020</v>
      </c>
      <c r="Q48" s="22"/>
    </row>
    <row r="49" spans="1:17" x14ac:dyDescent="0.25">
      <c r="A49" s="22" t="s">
        <v>47</v>
      </c>
      <c r="B49" s="22" t="s">
        <v>82</v>
      </c>
      <c r="C49" s="22" t="s">
        <v>83</v>
      </c>
      <c r="D49" s="22" t="s">
        <v>96</v>
      </c>
      <c r="E49" s="22" t="str">
        <f>'CUOTA LTP'!C24</f>
        <v>RUBIO Y MAUAD LTDA.</v>
      </c>
      <c r="F49" s="22" t="s">
        <v>85</v>
      </c>
      <c r="G49" s="22" t="s">
        <v>86</v>
      </c>
      <c r="H49" s="23">
        <f>'CUOTA LTP'!E24</f>
        <v>6.7716499999999993</v>
      </c>
      <c r="I49" s="23">
        <f>'CUOTA LTP'!F24</f>
        <v>0</v>
      </c>
      <c r="J49" s="23">
        <f>'CUOTA LTP'!G24</f>
        <v>6.7716499999999993</v>
      </c>
      <c r="K49" s="23">
        <f>'CUOTA LTP'!H24</f>
        <v>0</v>
      </c>
      <c r="L49" s="23">
        <f>'CUOTA LTP'!I24</f>
        <v>6.7716499999999993</v>
      </c>
      <c r="M49" s="41">
        <f>'CUOTA LTP'!J24</f>
        <v>0</v>
      </c>
      <c r="N49" s="24" t="s">
        <v>92</v>
      </c>
      <c r="O49" s="24">
        <f>'RESUMEN '!$B$3</f>
        <v>44200</v>
      </c>
      <c r="P49" s="22">
        <v>2020</v>
      </c>
      <c r="Q49" s="22"/>
    </row>
    <row r="50" spans="1:17" x14ac:dyDescent="0.25">
      <c r="A50" s="22" t="s">
        <v>47</v>
      </c>
      <c r="B50" s="22" t="s">
        <v>82</v>
      </c>
      <c r="C50" s="22" t="s">
        <v>83</v>
      </c>
      <c r="D50" s="22" t="s">
        <v>96</v>
      </c>
      <c r="E50" s="22" t="str">
        <f>'CUOTA LTP'!C24</f>
        <v>RUBIO Y MAUAD LTDA.</v>
      </c>
      <c r="F50" s="22" t="s">
        <v>87</v>
      </c>
      <c r="G50" s="22" t="s">
        <v>88</v>
      </c>
      <c r="H50" s="23">
        <f>'CUOTA LTP'!E25</f>
        <v>0.75240999999999991</v>
      </c>
      <c r="I50" s="23">
        <f>'CUOTA LTP'!F25</f>
        <v>0</v>
      </c>
      <c r="J50" s="23">
        <f>'CUOTA LTP'!G25</f>
        <v>7.5240599999999995</v>
      </c>
      <c r="K50" s="23">
        <f>'CUOTA LTP'!H25</f>
        <v>0</v>
      </c>
      <c r="L50" s="23">
        <f>'CUOTA LTP'!I25</f>
        <v>7.5240599999999995</v>
      </c>
      <c r="M50" s="41">
        <f>'CUOTA LTP'!J25</f>
        <v>0</v>
      </c>
      <c r="N50" s="24" t="s">
        <v>92</v>
      </c>
      <c r="O50" s="24">
        <f>'RESUMEN '!$B$3</f>
        <v>44200</v>
      </c>
      <c r="P50" s="22">
        <v>2020</v>
      </c>
      <c r="Q50" s="22"/>
    </row>
    <row r="51" spans="1:17" x14ac:dyDescent="0.25">
      <c r="A51" s="22" t="s">
        <v>47</v>
      </c>
      <c r="B51" s="22" t="s">
        <v>82</v>
      </c>
      <c r="C51" s="22" t="s">
        <v>83</v>
      </c>
      <c r="D51" s="22" t="s">
        <v>96</v>
      </c>
      <c r="E51" s="22" t="str">
        <f>'CUOTA LTP'!C24</f>
        <v>RUBIO Y MAUAD LTDA.</v>
      </c>
      <c r="F51" s="22" t="s">
        <v>89</v>
      </c>
      <c r="G51" s="22" t="s">
        <v>88</v>
      </c>
      <c r="H51" s="23">
        <f>'CUOTA LTP'!K24</f>
        <v>7.5240599999999995</v>
      </c>
      <c r="I51" s="23">
        <f>'CUOTA LTP'!L24</f>
        <v>0</v>
      </c>
      <c r="J51" s="23">
        <f>'CUOTA LTP'!M24</f>
        <v>7.5240599999999995</v>
      </c>
      <c r="K51" s="23">
        <f>'CUOTA LTP'!N24</f>
        <v>0</v>
      </c>
      <c r="L51" s="23">
        <f>'CUOTA LTP'!O24</f>
        <v>7.5240599999999995</v>
      </c>
      <c r="M51" s="41">
        <f>'CUOTA LTP'!P24</f>
        <v>0</v>
      </c>
      <c r="N51" s="24" t="s">
        <v>92</v>
      </c>
      <c r="O51" s="24">
        <f>'RESUMEN '!$B$3</f>
        <v>44200</v>
      </c>
      <c r="P51" s="22">
        <v>2020</v>
      </c>
      <c r="Q51" s="22"/>
    </row>
    <row r="52" spans="1:17" x14ac:dyDescent="0.25">
      <c r="A52" s="22" t="s">
        <v>47</v>
      </c>
      <c r="B52" s="22" t="s">
        <v>82</v>
      </c>
      <c r="C52" s="22" t="s">
        <v>83</v>
      </c>
      <c r="D52" s="22" t="s">
        <v>96</v>
      </c>
      <c r="E52" s="22" t="str">
        <f>'CUOTA LTP'!C26</f>
        <v>ENFERMAR LTDA. SOC. PESQ.</v>
      </c>
      <c r="F52" s="22" t="s">
        <v>85</v>
      </c>
      <c r="G52" s="22" t="s">
        <v>86</v>
      </c>
      <c r="H52" s="23">
        <f>'CUOTA LTP'!E26</f>
        <v>7.2910000000000003E-2</v>
      </c>
      <c r="I52" s="23">
        <f>'CUOTA LTP'!F26</f>
        <v>0</v>
      </c>
      <c r="J52" s="23">
        <f>'CUOTA LTP'!G26</f>
        <v>7.2910000000000003E-2</v>
      </c>
      <c r="K52" s="23">
        <f>'CUOTA LTP'!H26</f>
        <v>0</v>
      </c>
      <c r="L52" s="23">
        <f>'CUOTA LTP'!I26</f>
        <v>7.2910000000000003E-2</v>
      </c>
      <c r="M52" s="41">
        <f>'CUOTA LTP'!J26</f>
        <v>0</v>
      </c>
      <c r="N52" s="24" t="s">
        <v>92</v>
      </c>
      <c r="O52" s="24">
        <f>'RESUMEN '!$B$3</f>
        <v>44200</v>
      </c>
      <c r="P52" s="22">
        <v>2020</v>
      </c>
      <c r="Q52" s="22"/>
    </row>
    <row r="53" spans="1:17" x14ac:dyDescent="0.25">
      <c r="A53" s="22" t="s">
        <v>47</v>
      </c>
      <c r="B53" s="22" t="s">
        <v>82</v>
      </c>
      <c r="C53" s="22" t="s">
        <v>83</v>
      </c>
      <c r="D53" s="22" t="s">
        <v>96</v>
      </c>
      <c r="E53" s="22" t="str">
        <f>'CUOTA LTP'!C26</f>
        <v>ENFERMAR LTDA. SOC. PESQ.</v>
      </c>
      <c r="F53" s="22" t="s">
        <v>87</v>
      </c>
      <c r="G53" s="22" t="s">
        <v>88</v>
      </c>
      <c r="H53" s="23">
        <f>'CUOTA LTP'!E27</f>
        <v>8.0999999999999996E-3</v>
      </c>
      <c r="I53" s="23">
        <f>'CUOTA LTP'!F27</f>
        <v>0</v>
      </c>
      <c r="J53" s="23">
        <f>'CUOTA LTP'!G27</f>
        <v>8.1009999999999999E-2</v>
      </c>
      <c r="K53" s="23">
        <f>'CUOTA LTP'!H27</f>
        <v>0</v>
      </c>
      <c r="L53" s="23">
        <f>'CUOTA LTP'!I27</f>
        <v>8.1009999999999999E-2</v>
      </c>
      <c r="M53" s="41">
        <f>'CUOTA LTP'!J27</f>
        <v>0</v>
      </c>
      <c r="N53" s="24" t="s">
        <v>92</v>
      </c>
      <c r="O53" s="24">
        <f>'RESUMEN '!$B$3</f>
        <v>44200</v>
      </c>
      <c r="P53" s="22">
        <v>2020</v>
      </c>
      <c r="Q53" s="22"/>
    </row>
    <row r="54" spans="1:17" x14ac:dyDescent="0.25">
      <c r="A54" s="22" t="s">
        <v>47</v>
      </c>
      <c r="B54" s="22" t="s">
        <v>82</v>
      </c>
      <c r="C54" s="22" t="s">
        <v>83</v>
      </c>
      <c r="D54" s="22" t="s">
        <v>96</v>
      </c>
      <c r="E54" s="22" t="str">
        <f>'CUOTA LTP'!C26</f>
        <v>ENFERMAR LTDA. SOC. PESQ.</v>
      </c>
      <c r="F54" s="22" t="s">
        <v>89</v>
      </c>
      <c r="G54" s="22" t="s">
        <v>88</v>
      </c>
      <c r="H54" s="23">
        <f>'CUOTA LTP'!K26</f>
        <v>8.1009999999999999E-2</v>
      </c>
      <c r="I54" s="23">
        <f>'CUOTA LTP'!L26</f>
        <v>0</v>
      </c>
      <c r="J54" s="23">
        <f>'CUOTA LTP'!M26</f>
        <v>8.1009999999999999E-2</v>
      </c>
      <c r="K54" s="23">
        <f>'CUOTA LTP'!N26</f>
        <v>0</v>
      </c>
      <c r="L54" s="23">
        <f>'CUOTA LTP'!O26</f>
        <v>8.1009999999999999E-2</v>
      </c>
      <c r="M54" s="41">
        <f>'CUOTA LTP'!P26</f>
        <v>0</v>
      </c>
      <c r="N54" s="24" t="s">
        <v>92</v>
      </c>
      <c r="O54" s="24">
        <f>'RESUMEN '!$B$3</f>
        <v>44200</v>
      </c>
      <c r="P54" s="22">
        <v>2020</v>
      </c>
      <c r="Q54" s="22"/>
    </row>
    <row r="55" spans="1:17" x14ac:dyDescent="0.25">
      <c r="A55" s="22" t="s">
        <v>47</v>
      </c>
      <c r="B55" s="22" t="s">
        <v>82</v>
      </c>
      <c r="C55" s="22" t="s">
        <v>90</v>
      </c>
      <c r="D55" s="22" t="s">
        <v>96</v>
      </c>
      <c r="E55" s="22" t="str">
        <f>'CUOTA LTP'!C28</f>
        <v>ANTARTIC SEAFOOD S.A.</v>
      </c>
      <c r="F55" s="22" t="s">
        <v>85</v>
      </c>
      <c r="G55" s="22" t="s">
        <v>86</v>
      </c>
      <c r="H55" s="23">
        <f>'CUOTA LTP'!E28</f>
        <v>307.84053000000006</v>
      </c>
      <c r="I55" s="23">
        <f>'CUOTA LTP'!F28</f>
        <v>31</v>
      </c>
      <c r="J55" s="23">
        <f>'CUOTA LTP'!G28</f>
        <v>338.84053000000006</v>
      </c>
      <c r="K55" s="23">
        <f>'CUOTA LTP'!H28</f>
        <v>262.99299999999999</v>
      </c>
      <c r="L55" s="23">
        <f>'CUOTA LTP'!I28</f>
        <v>75.847530000000063</v>
      </c>
      <c r="M55" s="41">
        <f>'CUOTA LTP'!J28</f>
        <v>0.77615567417510523</v>
      </c>
      <c r="N55" s="24" t="s">
        <v>92</v>
      </c>
      <c r="O55" s="24">
        <f>'RESUMEN '!$B$3</f>
        <v>44200</v>
      </c>
      <c r="P55" s="22">
        <v>2020</v>
      </c>
      <c r="Q55" s="22"/>
    </row>
    <row r="56" spans="1:17" x14ac:dyDescent="0.25">
      <c r="A56" s="22" t="s">
        <v>47</v>
      </c>
      <c r="B56" s="22" t="s">
        <v>82</v>
      </c>
      <c r="C56" s="22" t="s">
        <v>90</v>
      </c>
      <c r="D56" s="22" t="s">
        <v>96</v>
      </c>
      <c r="E56" s="22" t="str">
        <f>'CUOTA LTP'!C28</f>
        <v>ANTARTIC SEAFOOD S.A.</v>
      </c>
      <c r="F56" s="22" t="s">
        <v>87</v>
      </c>
      <c r="G56" s="22" t="s">
        <v>88</v>
      </c>
      <c r="H56" s="23">
        <f>'CUOTA LTP'!E29</f>
        <v>34.245419999999996</v>
      </c>
      <c r="I56" s="23">
        <f>'CUOTA LTP'!F29</f>
        <v>0</v>
      </c>
      <c r="J56" s="23">
        <f>'CUOTA LTP'!G29</f>
        <v>110.09295000000006</v>
      </c>
      <c r="K56" s="23">
        <f>'CUOTA LTP'!H29</f>
        <v>108.486</v>
      </c>
      <c r="L56" s="23">
        <f>'CUOTA LTP'!I29</f>
        <v>1.6069500000000545</v>
      </c>
      <c r="M56" s="41">
        <f>'CUOTA LTP'!J29</f>
        <v>0.98540369751196555</v>
      </c>
      <c r="N56" s="24" t="s">
        <v>92</v>
      </c>
      <c r="O56" s="24">
        <f>'RESUMEN '!$B$3</f>
        <v>44200</v>
      </c>
      <c r="P56" s="22">
        <v>2020</v>
      </c>
      <c r="Q56" s="22"/>
    </row>
    <row r="57" spans="1:17" x14ac:dyDescent="0.25">
      <c r="A57" s="22" t="s">
        <v>47</v>
      </c>
      <c r="B57" s="22" t="s">
        <v>82</v>
      </c>
      <c r="C57" s="22" t="s">
        <v>90</v>
      </c>
      <c r="D57" s="22" t="s">
        <v>96</v>
      </c>
      <c r="E57" s="22" t="str">
        <f>'CUOTA LTP'!C28</f>
        <v>ANTARTIC SEAFOOD S.A.</v>
      </c>
      <c r="F57" s="22" t="s">
        <v>89</v>
      </c>
      <c r="G57" s="22" t="s">
        <v>88</v>
      </c>
      <c r="H57" s="23">
        <f>'CUOTA LTP'!K28</f>
        <v>342.08595000000003</v>
      </c>
      <c r="I57" s="23">
        <f>'CUOTA LTP'!L28</f>
        <v>31</v>
      </c>
      <c r="J57" s="23">
        <f>'CUOTA LTP'!M28</f>
        <v>373.08595000000003</v>
      </c>
      <c r="K57" s="23">
        <f>'CUOTA LTP'!N28</f>
        <v>371.47899999999998</v>
      </c>
      <c r="L57" s="23">
        <f>'CUOTA LTP'!O28</f>
        <v>1.6069500000000403</v>
      </c>
      <c r="M57" s="41">
        <f>'CUOTA LTP'!P28</f>
        <v>0.99569281555630806</v>
      </c>
      <c r="N57" s="24" t="s">
        <v>92</v>
      </c>
      <c r="O57" s="24">
        <f>'RESUMEN '!$B$3</f>
        <v>44200</v>
      </c>
      <c r="P57" s="22">
        <v>2020</v>
      </c>
      <c r="Q57" s="22"/>
    </row>
    <row r="58" spans="1:17" x14ac:dyDescent="0.25">
      <c r="A58" s="22" t="s">
        <v>47</v>
      </c>
      <c r="B58" s="22" t="s">
        <v>82</v>
      </c>
      <c r="C58" s="22" t="s">
        <v>90</v>
      </c>
      <c r="D58" s="22" t="s">
        <v>96</v>
      </c>
      <c r="E58" s="22" t="str">
        <f>'CUOTA LTP'!C30</f>
        <v>QUINTERO S.A. PESQ.</v>
      </c>
      <c r="F58" s="22" t="s">
        <v>85</v>
      </c>
      <c r="G58" s="22" t="s">
        <v>86</v>
      </c>
      <c r="H58" s="23">
        <f>'CUOTA LTP'!E30</f>
        <v>55.658460000000005</v>
      </c>
      <c r="I58" s="23">
        <f>'CUOTA LTP'!F30</f>
        <v>0</v>
      </c>
      <c r="J58" s="23">
        <f>'CUOTA LTP'!G30</f>
        <v>55.658460000000005</v>
      </c>
      <c r="K58" s="23">
        <f>'CUOTA LTP'!H30</f>
        <v>47.713999999999999</v>
      </c>
      <c r="L58" s="23">
        <f>'CUOTA LTP'!I30</f>
        <v>7.9444600000000065</v>
      </c>
      <c r="M58" s="41">
        <f>'CUOTA LTP'!J30</f>
        <v>0.85726410684018195</v>
      </c>
      <c r="N58" s="24" t="s">
        <v>92</v>
      </c>
      <c r="O58" s="24">
        <f>'RESUMEN '!$B$3</f>
        <v>44200</v>
      </c>
      <c r="P58" s="22">
        <v>2020</v>
      </c>
      <c r="Q58" s="22"/>
    </row>
    <row r="59" spans="1:17" x14ac:dyDescent="0.25">
      <c r="A59" s="22" t="s">
        <v>47</v>
      </c>
      <c r="B59" s="22" t="s">
        <v>82</v>
      </c>
      <c r="C59" s="22" t="s">
        <v>90</v>
      </c>
      <c r="D59" s="22" t="s">
        <v>96</v>
      </c>
      <c r="E59" s="22" t="str">
        <f>'CUOTA LTP'!C30</f>
        <v>QUINTERO S.A. PESQ.</v>
      </c>
      <c r="F59" s="22" t="s">
        <v>87</v>
      </c>
      <c r="G59" s="22" t="s">
        <v>88</v>
      </c>
      <c r="H59" s="23">
        <f>'CUOTA LTP'!E31</f>
        <v>6.1916700000000002</v>
      </c>
      <c r="I59" s="23">
        <f>'CUOTA LTP'!F31</f>
        <v>0</v>
      </c>
      <c r="J59" s="23">
        <f>'CUOTA LTP'!G31</f>
        <v>14.136130000000007</v>
      </c>
      <c r="K59" s="23">
        <f>'CUOTA LTP'!H31</f>
        <v>2.5369999999999999</v>
      </c>
      <c r="L59" s="23">
        <f>'CUOTA LTP'!I31</f>
        <v>11.599130000000006</v>
      </c>
      <c r="M59" s="41">
        <f>'CUOTA LTP'!J31</f>
        <v>0.17946920408909642</v>
      </c>
      <c r="N59" s="24" t="s">
        <v>92</v>
      </c>
      <c r="O59" s="24">
        <f>'RESUMEN '!$B$3</f>
        <v>44200</v>
      </c>
      <c r="P59" s="22">
        <v>2020</v>
      </c>
      <c r="Q59" s="22"/>
    </row>
    <row r="60" spans="1:17" x14ac:dyDescent="0.25">
      <c r="A60" s="22" t="s">
        <v>47</v>
      </c>
      <c r="B60" s="22" t="s">
        <v>82</v>
      </c>
      <c r="C60" s="22" t="s">
        <v>90</v>
      </c>
      <c r="D60" s="22" t="s">
        <v>96</v>
      </c>
      <c r="E60" s="22" t="str">
        <f>'CUOTA LTP'!C30</f>
        <v>QUINTERO S.A. PESQ.</v>
      </c>
      <c r="F60" s="22" t="s">
        <v>89</v>
      </c>
      <c r="G60" s="22" t="s">
        <v>88</v>
      </c>
      <c r="H60" s="23">
        <f>'CUOTA LTP'!K30</f>
        <v>61.850130000000007</v>
      </c>
      <c r="I60" s="23">
        <f>'CUOTA LTP'!L30</f>
        <v>0</v>
      </c>
      <c r="J60" s="23">
        <f>'CUOTA LTP'!M30</f>
        <v>61.850130000000007</v>
      </c>
      <c r="K60" s="23">
        <f>'CUOTA LTP'!N30</f>
        <v>50.250999999999998</v>
      </c>
      <c r="L60" s="23">
        <f>'CUOTA LTP'!O30</f>
        <v>11.599130000000009</v>
      </c>
      <c r="M60" s="41">
        <f>'CUOTA LTP'!P30</f>
        <v>0.81246393499900471</v>
      </c>
      <c r="N60" s="24" t="s">
        <v>92</v>
      </c>
      <c r="O60" s="24">
        <f>'RESUMEN '!$B$3</f>
        <v>44200</v>
      </c>
      <c r="P60" s="22">
        <v>2020</v>
      </c>
      <c r="Q60" s="22"/>
    </row>
    <row r="61" spans="1:17" x14ac:dyDescent="0.25">
      <c r="A61" s="22" t="s">
        <v>47</v>
      </c>
      <c r="B61" s="22" t="s">
        <v>82</v>
      </c>
      <c r="C61" s="22" t="s">
        <v>90</v>
      </c>
      <c r="D61" s="22" t="s">
        <v>96</v>
      </c>
      <c r="E61" s="22" t="str">
        <f>'CUOTA LTP'!C32</f>
        <v>BAYCIC BAYCIC MARIA</v>
      </c>
      <c r="F61" s="22" t="s">
        <v>85</v>
      </c>
      <c r="G61" s="22" t="s">
        <v>86</v>
      </c>
      <c r="H61" s="23">
        <f>'CUOTA LTP'!E32</f>
        <v>2.5080000000000002E-2</v>
      </c>
      <c r="I61" s="23">
        <f>'CUOTA LTP'!F32</f>
        <v>0</v>
      </c>
      <c r="J61" s="23">
        <f>'CUOTA LTP'!G32</f>
        <v>2.5080000000000002E-2</v>
      </c>
      <c r="K61" s="23">
        <f>'CUOTA LTP'!H32</f>
        <v>0</v>
      </c>
      <c r="L61" s="23">
        <f>'CUOTA LTP'!I32</f>
        <v>2.5080000000000002E-2</v>
      </c>
      <c r="M61" s="41">
        <f>'CUOTA LTP'!J32</f>
        <v>0</v>
      </c>
      <c r="N61" s="24" t="s">
        <v>92</v>
      </c>
      <c r="O61" s="24">
        <f>'RESUMEN '!$B$3</f>
        <v>44200</v>
      </c>
      <c r="P61" s="22">
        <v>2020</v>
      </c>
      <c r="Q61" s="22"/>
    </row>
    <row r="62" spans="1:17" x14ac:dyDescent="0.25">
      <c r="A62" s="22" t="s">
        <v>47</v>
      </c>
      <c r="B62" s="22" t="s">
        <v>82</v>
      </c>
      <c r="C62" s="22" t="s">
        <v>90</v>
      </c>
      <c r="D62" s="22" t="s">
        <v>96</v>
      </c>
      <c r="E62" s="22" t="str">
        <f>'CUOTA LTP'!C32</f>
        <v>BAYCIC BAYCIC MARIA</v>
      </c>
      <c r="F62" s="22" t="s">
        <v>87</v>
      </c>
      <c r="G62" s="22" t="s">
        <v>88</v>
      </c>
      <c r="H62" s="23">
        <f>'CUOTA LTP'!E33</f>
        <v>2.7899999999999999E-3</v>
      </c>
      <c r="I62" s="23">
        <f>'CUOTA LTP'!F33</f>
        <v>0</v>
      </c>
      <c r="J62" s="23">
        <f>'CUOTA LTP'!G33</f>
        <v>2.7870000000000002E-2</v>
      </c>
      <c r="K62" s="23">
        <f>'CUOTA LTP'!H33</f>
        <v>0</v>
      </c>
      <c r="L62" s="23">
        <f>'CUOTA LTP'!I33</f>
        <v>2.7870000000000002E-2</v>
      </c>
      <c r="M62" s="41">
        <f>'CUOTA LTP'!J33</f>
        <v>0</v>
      </c>
      <c r="N62" s="24" t="s">
        <v>92</v>
      </c>
      <c r="O62" s="24">
        <f>'RESUMEN '!$B$3</f>
        <v>44200</v>
      </c>
      <c r="P62" s="22">
        <v>2020</v>
      </c>
      <c r="Q62" s="22"/>
    </row>
    <row r="63" spans="1:17" x14ac:dyDescent="0.25">
      <c r="A63" s="22" t="s">
        <v>47</v>
      </c>
      <c r="B63" s="22" t="s">
        <v>82</v>
      </c>
      <c r="C63" s="22" t="s">
        <v>90</v>
      </c>
      <c r="D63" s="22" t="s">
        <v>96</v>
      </c>
      <c r="E63" s="22" t="str">
        <f>'CUOTA LTP'!C32</f>
        <v>BAYCIC BAYCIC MARIA</v>
      </c>
      <c r="F63" s="22" t="s">
        <v>89</v>
      </c>
      <c r="G63" s="22" t="s">
        <v>88</v>
      </c>
      <c r="H63" s="23">
        <f>'CUOTA LTP'!K32</f>
        <v>2.7870000000000002E-2</v>
      </c>
      <c r="I63" s="23">
        <f>'CUOTA LTP'!L32</f>
        <v>0</v>
      </c>
      <c r="J63" s="23">
        <f>'CUOTA LTP'!M32</f>
        <v>2.7870000000000002E-2</v>
      </c>
      <c r="K63" s="23">
        <f>'CUOTA LTP'!N32</f>
        <v>0</v>
      </c>
      <c r="L63" s="23">
        <f>'CUOTA LTP'!O32</f>
        <v>2.7870000000000002E-2</v>
      </c>
      <c r="M63" s="41">
        <f>'CUOTA LTP'!P32</f>
        <v>0</v>
      </c>
      <c r="N63" s="24" t="s">
        <v>92</v>
      </c>
      <c r="O63" s="24">
        <f>'RESUMEN '!$B$3</f>
        <v>44200</v>
      </c>
      <c r="P63" s="22">
        <v>2020</v>
      </c>
      <c r="Q63" s="22"/>
    </row>
    <row r="64" spans="1:17" x14ac:dyDescent="0.25">
      <c r="A64" s="22" t="s">
        <v>47</v>
      </c>
      <c r="B64" s="22" t="s">
        <v>82</v>
      </c>
      <c r="C64" s="22" t="s">
        <v>90</v>
      </c>
      <c r="D64" s="22" t="s">
        <v>96</v>
      </c>
      <c r="E64" s="22" t="str">
        <f>'CUOTA LTP'!C34</f>
        <v>BRACPESCA S.A.</v>
      </c>
      <c r="F64" s="22" t="s">
        <v>85</v>
      </c>
      <c r="G64" s="22" t="s">
        <v>86</v>
      </c>
      <c r="H64" s="23">
        <f>'CUOTA LTP'!E34</f>
        <v>320.12629999999996</v>
      </c>
      <c r="I64" s="23">
        <f>'CUOTA LTP'!F34</f>
        <v>68.667000000000002</v>
      </c>
      <c r="J64" s="23">
        <f>'CUOTA LTP'!G34</f>
        <v>388.79329999999993</v>
      </c>
      <c r="K64" s="23">
        <f>'CUOTA LTP'!H34</f>
        <v>376.88</v>
      </c>
      <c r="L64" s="23">
        <f>'CUOTA LTP'!I34</f>
        <v>11.913299999999936</v>
      </c>
      <c r="M64" s="41">
        <f>'CUOTA LTP'!J34</f>
        <v>0.96935826826233906</v>
      </c>
      <c r="N64" s="24" t="s">
        <v>92</v>
      </c>
      <c r="O64" s="24">
        <f>'RESUMEN '!$B$3</f>
        <v>44200</v>
      </c>
      <c r="P64" s="22">
        <v>2020</v>
      </c>
      <c r="Q64" s="22"/>
    </row>
    <row r="65" spans="1:17" x14ac:dyDescent="0.25">
      <c r="A65" s="22" t="s">
        <v>47</v>
      </c>
      <c r="B65" s="22" t="s">
        <v>82</v>
      </c>
      <c r="C65" s="22" t="s">
        <v>90</v>
      </c>
      <c r="D65" s="22" t="s">
        <v>96</v>
      </c>
      <c r="E65" s="22" t="str">
        <f>'CUOTA LTP'!C34</f>
        <v>BRACPESCA S.A.</v>
      </c>
      <c r="F65" s="22" t="s">
        <v>87</v>
      </c>
      <c r="G65" s="22" t="s">
        <v>88</v>
      </c>
      <c r="H65" s="23">
        <f>'CUOTA LTP'!E35</f>
        <v>35.612139999999997</v>
      </c>
      <c r="I65" s="23">
        <f>'CUOTA LTP'!F35</f>
        <v>0</v>
      </c>
      <c r="J65" s="23">
        <f>'CUOTA LTP'!G35</f>
        <v>47.525439999999932</v>
      </c>
      <c r="K65" s="23">
        <f>'CUOTA LTP'!H35</f>
        <v>38.658999999999999</v>
      </c>
      <c r="L65" s="23">
        <f>'CUOTA LTP'!I35</f>
        <v>8.8664399999999333</v>
      </c>
      <c r="M65" s="41">
        <f>'CUOTA LTP'!J35</f>
        <v>0.81343802392992159</v>
      </c>
      <c r="N65" s="24" t="s">
        <v>92</v>
      </c>
      <c r="O65" s="24">
        <f>'RESUMEN '!$B$3</f>
        <v>44200</v>
      </c>
      <c r="P65" s="22">
        <v>2020</v>
      </c>
      <c r="Q65" s="22"/>
    </row>
    <row r="66" spans="1:17" x14ac:dyDescent="0.25">
      <c r="A66" s="22" t="s">
        <v>47</v>
      </c>
      <c r="B66" s="22" t="s">
        <v>82</v>
      </c>
      <c r="C66" s="22" t="s">
        <v>90</v>
      </c>
      <c r="D66" s="22" t="s">
        <v>96</v>
      </c>
      <c r="E66" s="22" t="str">
        <f>'CUOTA LTP'!C34</f>
        <v>BRACPESCA S.A.</v>
      </c>
      <c r="F66" s="22" t="s">
        <v>89</v>
      </c>
      <c r="G66" s="22" t="s">
        <v>88</v>
      </c>
      <c r="H66" s="23">
        <f>'CUOTA LTP'!K34</f>
        <v>355.73843999999997</v>
      </c>
      <c r="I66" s="23">
        <f>'CUOTA LTP'!L34</f>
        <v>68.667000000000002</v>
      </c>
      <c r="J66" s="23">
        <f>'CUOTA LTP'!M34</f>
        <v>424.40544</v>
      </c>
      <c r="K66" s="23">
        <f>'CUOTA LTP'!N34</f>
        <v>415.53899999999999</v>
      </c>
      <c r="L66" s="23">
        <f>'CUOTA LTP'!O34</f>
        <v>8.8664400000000114</v>
      </c>
      <c r="M66" s="41">
        <f>'CUOTA LTP'!P34</f>
        <v>0.97910856185066808</v>
      </c>
      <c r="N66" s="24" t="s">
        <v>92</v>
      </c>
      <c r="O66" s="24">
        <f>'RESUMEN '!$B$3</f>
        <v>44200</v>
      </c>
      <c r="P66" s="22">
        <v>2020</v>
      </c>
      <c r="Q66" s="22"/>
    </row>
    <row r="67" spans="1:17" x14ac:dyDescent="0.25">
      <c r="A67" s="22" t="s">
        <v>47</v>
      </c>
      <c r="B67" s="22" t="s">
        <v>82</v>
      </c>
      <c r="C67" s="22" t="s">
        <v>90</v>
      </c>
      <c r="D67" s="22" t="s">
        <v>96</v>
      </c>
      <c r="E67" s="22" t="str">
        <f>'CUOTA LTP'!C36</f>
        <v>GRIMAR S.A. PESQ.</v>
      </c>
      <c r="F67" s="22" t="s">
        <v>85</v>
      </c>
      <c r="G67" s="22" t="s">
        <v>86</v>
      </c>
      <c r="H67" s="23">
        <f>'CUOTA LTP'!E36</f>
        <v>0.14471000000000001</v>
      </c>
      <c r="I67" s="23">
        <f>'CUOTA LTP'!F36</f>
        <v>0</v>
      </c>
      <c r="J67" s="23">
        <f>'CUOTA LTP'!G36</f>
        <v>0.14471000000000001</v>
      </c>
      <c r="K67" s="23">
        <f>'CUOTA LTP'!H36</f>
        <v>0</v>
      </c>
      <c r="L67" s="23">
        <f>'CUOTA LTP'!I36</f>
        <v>0.14471000000000001</v>
      </c>
      <c r="M67" s="41">
        <f>'CUOTA LTP'!J36</f>
        <v>0</v>
      </c>
      <c r="N67" s="24" t="s">
        <v>92</v>
      </c>
      <c r="O67" s="24">
        <f>'RESUMEN '!$B$3</f>
        <v>44200</v>
      </c>
      <c r="P67" s="22">
        <v>2020</v>
      </c>
      <c r="Q67" s="22"/>
    </row>
    <row r="68" spans="1:17" x14ac:dyDescent="0.25">
      <c r="A68" s="22" t="s">
        <v>47</v>
      </c>
      <c r="B68" s="22" t="s">
        <v>82</v>
      </c>
      <c r="C68" s="22" t="s">
        <v>90</v>
      </c>
      <c r="D68" s="22" t="s">
        <v>96</v>
      </c>
      <c r="E68" s="22" t="str">
        <f>'CUOTA LTP'!C36</f>
        <v>GRIMAR S.A. PESQ.</v>
      </c>
      <c r="F68" s="22" t="s">
        <v>87</v>
      </c>
      <c r="G68" s="22" t="s">
        <v>88</v>
      </c>
      <c r="H68" s="23">
        <f>'CUOTA LTP'!E37</f>
        <v>1.61E-2</v>
      </c>
      <c r="I68" s="23">
        <f>'CUOTA LTP'!F37</f>
        <v>0</v>
      </c>
      <c r="J68" s="23">
        <f>'CUOTA LTP'!G37</f>
        <v>0.16081000000000001</v>
      </c>
      <c r="K68" s="23">
        <f>'CUOTA LTP'!H37</f>
        <v>0</v>
      </c>
      <c r="L68" s="23">
        <f>'CUOTA LTP'!I37</f>
        <v>0.16081000000000001</v>
      </c>
      <c r="M68" s="41">
        <f>'CUOTA LTP'!J37</f>
        <v>0</v>
      </c>
      <c r="N68" s="24" t="s">
        <v>92</v>
      </c>
      <c r="O68" s="24">
        <f>'RESUMEN '!$B$3</f>
        <v>44200</v>
      </c>
      <c r="P68" s="22">
        <v>2020</v>
      </c>
      <c r="Q68" s="22"/>
    </row>
    <row r="69" spans="1:17" x14ac:dyDescent="0.25">
      <c r="A69" s="22" t="s">
        <v>47</v>
      </c>
      <c r="B69" s="22" t="s">
        <v>82</v>
      </c>
      <c r="C69" s="22" t="s">
        <v>90</v>
      </c>
      <c r="D69" s="22" t="s">
        <v>96</v>
      </c>
      <c r="E69" s="22" t="str">
        <f>'CUOTA LTP'!C36</f>
        <v>GRIMAR S.A. PESQ.</v>
      </c>
      <c r="F69" s="22" t="s">
        <v>89</v>
      </c>
      <c r="G69" s="22" t="s">
        <v>88</v>
      </c>
      <c r="H69" s="23">
        <f>'CUOTA LTP'!K36</f>
        <v>0.16081000000000001</v>
      </c>
      <c r="I69" s="23">
        <f>'CUOTA LTP'!L36</f>
        <v>0</v>
      </c>
      <c r="J69" s="23">
        <f>'CUOTA LTP'!M36</f>
        <v>0.16081000000000001</v>
      </c>
      <c r="K69" s="23">
        <f>'CUOTA LTP'!N36</f>
        <v>0</v>
      </c>
      <c r="L69" s="23">
        <f>'CUOTA LTP'!O36</f>
        <v>0.16081000000000001</v>
      </c>
      <c r="M69" s="41">
        <f>'CUOTA LTP'!P36</f>
        <v>0</v>
      </c>
      <c r="N69" s="24" t="s">
        <v>92</v>
      </c>
      <c r="O69" s="24">
        <f>'RESUMEN '!$B$3</f>
        <v>44200</v>
      </c>
      <c r="P69" s="22">
        <v>2020</v>
      </c>
      <c r="Q69" s="22"/>
    </row>
    <row r="70" spans="1:17" x14ac:dyDescent="0.25">
      <c r="A70" s="22" t="s">
        <v>47</v>
      </c>
      <c r="B70" s="22" t="s">
        <v>82</v>
      </c>
      <c r="C70" s="22" t="s">
        <v>90</v>
      </c>
      <c r="D70" s="22" t="s">
        <v>96</v>
      </c>
      <c r="E70" s="22" t="str">
        <f>'CUOTA LTP'!C38</f>
        <v>ISLADAMAS S.A. PESQ.</v>
      </c>
      <c r="F70" s="22" t="s">
        <v>85</v>
      </c>
      <c r="G70" s="22" t="s">
        <v>86</v>
      </c>
      <c r="H70" s="23">
        <f>'CUOTA LTP'!E38</f>
        <v>88.475799999999992</v>
      </c>
      <c r="I70" s="23">
        <f>'CUOTA LTP'!F38</f>
        <v>0</v>
      </c>
      <c r="J70" s="23">
        <f>'CUOTA LTP'!G38</f>
        <v>88.475799999999992</v>
      </c>
      <c r="K70" s="23">
        <f>'CUOTA LTP'!H38</f>
        <v>79.683999999999997</v>
      </c>
      <c r="L70" s="23">
        <f>'CUOTA LTP'!I38</f>
        <v>8.791799999999995</v>
      </c>
      <c r="M70" s="41">
        <f>'CUOTA LTP'!J38</f>
        <v>0.90063045488144788</v>
      </c>
      <c r="N70" s="24" t="s">
        <v>92</v>
      </c>
      <c r="O70" s="24">
        <f>'RESUMEN '!$B$3</f>
        <v>44200</v>
      </c>
      <c r="P70" s="22">
        <v>2020</v>
      </c>
      <c r="Q70" s="22"/>
    </row>
    <row r="71" spans="1:17" x14ac:dyDescent="0.25">
      <c r="A71" s="22" t="s">
        <v>47</v>
      </c>
      <c r="B71" s="22" t="s">
        <v>82</v>
      </c>
      <c r="C71" s="22" t="s">
        <v>90</v>
      </c>
      <c r="D71" s="22" t="s">
        <v>96</v>
      </c>
      <c r="E71" s="22" t="str">
        <f>'CUOTA LTP'!C38</f>
        <v>ISLADAMAS S.A. PESQ.</v>
      </c>
      <c r="F71" s="22" t="s">
        <v>87</v>
      </c>
      <c r="G71" s="22" t="s">
        <v>88</v>
      </c>
      <c r="H71" s="23">
        <f>'CUOTA LTP'!E39</f>
        <v>9.842410000000001</v>
      </c>
      <c r="I71" s="23">
        <f>'CUOTA LTP'!F39</f>
        <v>0</v>
      </c>
      <c r="J71" s="23">
        <f>'CUOTA LTP'!G39</f>
        <v>18.634209999999996</v>
      </c>
      <c r="K71" s="23">
        <f>'CUOTA LTP'!H39</f>
        <v>11.532</v>
      </c>
      <c r="L71" s="23">
        <f>'CUOTA LTP'!I39</f>
        <v>7.1022099999999959</v>
      </c>
      <c r="M71" s="41">
        <f>'CUOTA LTP'!J39</f>
        <v>0.61886176017121208</v>
      </c>
      <c r="N71" s="24" t="s">
        <v>92</v>
      </c>
      <c r="O71" s="24">
        <f>'RESUMEN '!$B$3</f>
        <v>44200</v>
      </c>
      <c r="P71" s="22">
        <v>2020</v>
      </c>
      <c r="Q71" s="22"/>
    </row>
    <row r="72" spans="1:17" x14ac:dyDescent="0.25">
      <c r="A72" s="22" t="s">
        <v>47</v>
      </c>
      <c r="B72" s="22" t="s">
        <v>82</v>
      </c>
      <c r="C72" s="22" t="s">
        <v>90</v>
      </c>
      <c r="D72" s="22" t="s">
        <v>96</v>
      </c>
      <c r="E72" s="22" t="str">
        <f>'CUOTA LTP'!C38</f>
        <v>ISLADAMAS S.A. PESQ.</v>
      </c>
      <c r="F72" s="22" t="s">
        <v>89</v>
      </c>
      <c r="G72" s="22" t="s">
        <v>88</v>
      </c>
      <c r="H72" s="23">
        <f>'CUOTA LTP'!K38</f>
        <v>98.318209999999993</v>
      </c>
      <c r="I72" s="23">
        <f>'CUOTA LTP'!L38</f>
        <v>0</v>
      </c>
      <c r="J72" s="23">
        <f>'CUOTA LTP'!M38</f>
        <v>98.318209999999993</v>
      </c>
      <c r="K72" s="23">
        <f>'CUOTA LTP'!N38</f>
        <v>91.215999999999994</v>
      </c>
      <c r="L72" s="23">
        <f>'CUOTA LTP'!O38</f>
        <v>7.1022099999999995</v>
      </c>
      <c r="M72" s="41">
        <f>'CUOTA LTP'!P38</f>
        <v>0.9277630257914582</v>
      </c>
      <c r="N72" s="24" t="s">
        <v>92</v>
      </c>
      <c r="O72" s="24">
        <f>'RESUMEN '!$B$3</f>
        <v>44200</v>
      </c>
      <c r="P72" s="22">
        <v>2020</v>
      </c>
      <c r="Q72" s="22"/>
    </row>
    <row r="73" spans="1:17" x14ac:dyDescent="0.25">
      <c r="A73" s="22" t="s">
        <v>47</v>
      </c>
      <c r="B73" s="22" t="s">
        <v>82</v>
      </c>
      <c r="C73" s="22" t="s">
        <v>90</v>
      </c>
      <c r="D73" s="22" t="s">
        <v>96</v>
      </c>
      <c r="E73" s="22" t="str">
        <f>'CUOTA LTP'!C40</f>
        <v>MOROZIN BAYCIC MARIA ANA</v>
      </c>
      <c r="F73" s="22" t="s">
        <v>85</v>
      </c>
      <c r="G73" s="22" t="s">
        <v>86</v>
      </c>
      <c r="H73" s="23">
        <f>'CUOTA LTP'!E40</f>
        <v>8.3680000000000004E-2</v>
      </c>
      <c r="I73" s="23">
        <f>'CUOTA LTP'!F40</f>
        <v>0</v>
      </c>
      <c r="J73" s="23">
        <f>'CUOTA LTP'!G40</f>
        <v>8.3680000000000004E-2</v>
      </c>
      <c r="K73" s="23">
        <f>'CUOTA LTP'!H40</f>
        <v>0</v>
      </c>
      <c r="L73" s="23">
        <f>'CUOTA LTP'!I40</f>
        <v>8.3680000000000004E-2</v>
      </c>
      <c r="M73" s="41">
        <f>'CUOTA LTP'!J40</f>
        <v>0</v>
      </c>
      <c r="N73" s="24" t="s">
        <v>92</v>
      </c>
      <c r="O73" s="24">
        <f>'RESUMEN '!$B$3</f>
        <v>44200</v>
      </c>
      <c r="P73" s="22">
        <v>2020</v>
      </c>
      <c r="Q73" s="22"/>
    </row>
    <row r="74" spans="1:17" x14ac:dyDescent="0.25">
      <c r="A74" s="22" t="s">
        <v>47</v>
      </c>
      <c r="B74" s="22" t="s">
        <v>82</v>
      </c>
      <c r="C74" s="22" t="s">
        <v>90</v>
      </c>
      <c r="D74" s="22" t="s">
        <v>96</v>
      </c>
      <c r="E74" s="22" t="str">
        <f>'CUOTA LTP'!C40</f>
        <v>MOROZIN BAYCIC MARIA ANA</v>
      </c>
      <c r="F74" s="22" t="s">
        <v>87</v>
      </c>
      <c r="G74" s="22" t="s">
        <v>88</v>
      </c>
      <c r="H74" s="23">
        <f>'CUOTA LTP'!E41</f>
        <v>9.3100000000000006E-3</v>
      </c>
      <c r="I74" s="23">
        <f>'CUOTA LTP'!F41</f>
        <v>0</v>
      </c>
      <c r="J74" s="23">
        <f>'CUOTA LTP'!G41</f>
        <v>9.2990000000000003E-2</v>
      </c>
      <c r="K74" s="23">
        <f>'CUOTA LTP'!H41</f>
        <v>0</v>
      </c>
      <c r="L74" s="23">
        <f>'CUOTA LTP'!I41</f>
        <v>9.2990000000000003E-2</v>
      </c>
      <c r="M74" s="41">
        <f>'CUOTA LTP'!J41</f>
        <v>0</v>
      </c>
      <c r="N74" s="24" t="s">
        <v>92</v>
      </c>
      <c r="O74" s="24">
        <f>'RESUMEN '!$B$3</f>
        <v>44200</v>
      </c>
      <c r="P74" s="22">
        <v>2020</v>
      </c>
      <c r="Q74" s="22"/>
    </row>
    <row r="75" spans="1:17" x14ac:dyDescent="0.25">
      <c r="A75" s="22" t="s">
        <v>47</v>
      </c>
      <c r="B75" s="22" t="s">
        <v>82</v>
      </c>
      <c r="C75" s="22" t="s">
        <v>90</v>
      </c>
      <c r="D75" s="22" t="s">
        <v>96</v>
      </c>
      <c r="E75" s="22" t="str">
        <f>'CUOTA LTP'!C40</f>
        <v>MOROZIN BAYCIC MARIA ANA</v>
      </c>
      <c r="F75" s="22" t="s">
        <v>89</v>
      </c>
      <c r="G75" s="22" t="s">
        <v>88</v>
      </c>
      <c r="H75" s="23">
        <f>'CUOTA LTP'!K40</f>
        <v>9.2990000000000003E-2</v>
      </c>
      <c r="I75" s="23">
        <f>'CUOTA LTP'!L40</f>
        <v>0</v>
      </c>
      <c r="J75" s="23">
        <f>'CUOTA LTP'!M40</f>
        <v>9.2990000000000003E-2</v>
      </c>
      <c r="K75" s="23">
        <f>'CUOTA LTP'!N40</f>
        <v>0</v>
      </c>
      <c r="L75" s="23">
        <f>'CUOTA LTP'!O40</f>
        <v>9.2990000000000003E-2</v>
      </c>
      <c r="M75" s="41">
        <f>'CUOTA LTP'!P40</f>
        <v>0</v>
      </c>
      <c r="N75" s="24" t="s">
        <v>92</v>
      </c>
      <c r="O75" s="24">
        <f>'RESUMEN '!$B$3</f>
        <v>44200</v>
      </c>
      <c r="P75" s="22">
        <v>2020</v>
      </c>
      <c r="Q75" s="22"/>
    </row>
    <row r="76" spans="1:17" x14ac:dyDescent="0.25">
      <c r="A76" s="22" t="s">
        <v>47</v>
      </c>
      <c r="B76" s="22" t="s">
        <v>82</v>
      </c>
      <c r="C76" s="22" t="s">
        <v>90</v>
      </c>
      <c r="D76" s="22" t="s">
        <v>96</v>
      </c>
      <c r="E76" s="22" t="str">
        <f>'CUOTA LTP'!C42</f>
        <v>MOROZIN YURECIC MARIO</v>
      </c>
      <c r="F76" s="22" t="s">
        <v>85</v>
      </c>
      <c r="G76" s="22" t="s">
        <v>86</v>
      </c>
      <c r="H76" s="23">
        <f>'CUOTA LTP'!E42</f>
        <v>1.6799999999999999E-2</v>
      </c>
      <c r="I76" s="23">
        <f>'CUOTA LTP'!F42</f>
        <v>0</v>
      </c>
      <c r="J76" s="23">
        <f>'CUOTA LTP'!G42</f>
        <v>1.6799999999999999E-2</v>
      </c>
      <c r="K76" s="23">
        <f>'CUOTA LTP'!H42</f>
        <v>0</v>
      </c>
      <c r="L76" s="23">
        <f>'CUOTA LTP'!I42</f>
        <v>1.6799999999999999E-2</v>
      </c>
      <c r="M76" s="41">
        <f>'CUOTA LTP'!J42</f>
        <v>0</v>
      </c>
      <c r="N76" s="24" t="s">
        <v>92</v>
      </c>
      <c r="O76" s="24">
        <f>'RESUMEN '!$B$3</f>
        <v>44200</v>
      </c>
      <c r="P76" s="22">
        <v>2020</v>
      </c>
      <c r="Q76" s="22"/>
    </row>
    <row r="77" spans="1:17" x14ac:dyDescent="0.25">
      <c r="A77" s="22" t="s">
        <v>47</v>
      </c>
      <c r="B77" s="22" t="s">
        <v>82</v>
      </c>
      <c r="C77" s="22" t="s">
        <v>90</v>
      </c>
      <c r="D77" s="22" t="s">
        <v>96</v>
      </c>
      <c r="E77" s="22" t="str">
        <f>'CUOTA LTP'!C42</f>
        <v>MOROZIN YURECIC MARIO</v>
      </c>
      <c r="F77" s="22" t="s">
        <v>87</v>
      </c>
      <c r="G77" s="22" t="s">
        <v>88</v>
      </c>
      <c r="H77" s="23">
        <f>'CUOTA LTP'!E43</f>
        <v>1.8699999999999999E-3</v>
      </c>
      <c r="I77" s="23">
        <f>'CUOTA LTP'!F43</f>
        <v>0</v>
      </c>
      <c r="J77" s="23">
        <f>'CUOTA LTP'!G43</f>
        <v>1.8669999999999999E-2</v>
      </c>
      <c r="K77" s="23">
        <f>'CUOTA LTP'!H43</f>
        <v>0</v>
      </c>
      <c r="L77" s="23">
        <f>'CUOTA LTP'!I43</f>
        <v>1.8669999999999999E-2</v>
      </c>
      <c r="M77" s="41">
        <f>'CUOTA LTP'!J43</f>
        <v>0</v>
      </c>
      <c r="N77" s="24" t="s">
        <v>92</v>
      </c>
      <c r="O77" s="24">
        <f>'RESUMEN '!$B$3</f>
        <v>44200</v>
      </c>
      <c r="P77" s="22">
        <v>2020</v>
      </c>
      <c r="Q77" s="22"/>
    </row>
    <row r="78" spans="1:17" x14ac:dyDescent="0.25">
      <c r="A78" s="22" t="s">
        <v>47</v>
      </c>
      <c r="B78" s="22" t="s">
        <v>82</v>
      </c>
      <c r="C78" s="22" t="s">
        <v>90</v>
      </c>
      <c r="D78" s="22" t="s">
        <v>96</v>
      </c>
      <c r="E78" s="22" t="str">
        <f>'CUOTA LTP'!C42</f>
        <v>MOROZIN YURECIC MARIO</v>
      </c>
      <c r="F78" s="22" t="s">
        <v>89</v>
      </c>
      <c r="G78" s="22" t="s">
        <v>88</v>
      </c>
      <c r="H78" s="23">
        <f>'CUOTA LTP'!K42</f>
        <v>1.8669999999999999E-2</v>
      </c>
      <c r="I78" s="23">
        <f>'CUOTA LTP'!L42</f>
        <v>0</v>
      </c>
      <c r="J78" s="23">
        <f>'CUOTA LTP'!M42</f>
        <v>1.8669999999999999E-2</v>
      </c>
      <c r="K78" s="23">
        <f>'CUOTA LTP'!N42</f>
        <v>0</v>
      </c>
      <c r="L78" s="23">
        <f>'CUOTA LTP'!O42</f>
        <v>1.8669999999999999E-2</v>
      </c>
      <c r="M78" s="41">
        <f>'CUOTA LTP'!P42</f>
        <v>0</v>
      </c>
      <c r="N78" s="24" t="s">
        <v>92</v>
      </c>
      <c r="O78" s="24">
        <f>'RESUMEN '!$B$3</f>
        <v>44200</v>
      </c>
      <c r="P78" s="22">
        <v>2020</v>
      </c>
      <c r="Q78" s="22"/>
    </row>
    <row r="79" spans="1:17" x14ac:dyDescent="0.25">
      <c r="A79" s="22" t="s">
        <v>47</v>
      </c>
      <c r="B79" s="22" t="s">
        <v>82</v>
      </c>
      <c r="C79" s="22" t="s">
        <v>90</v>
      </c>
      <c r="D79" s="22" t="s">
        <v>96</v>
      </c>
      <c r="E79" s="22" t="str">
        <f>'CUOTA LTP'!C44</f>
        <v>ZUÑIGA ROMERO GONZALO</v>
      </c>
      <c r="F79" s="22" t="s">
        <v>85</v>
      </c>
      <c r="G79" s="22" t="s">
        <v>86</v>
      </c>
      <c r="H79" s="23">
        <f>'CUOTA LTP'!E44</f>
        <v>5.0160000000000003E-2</v>
      </c>
      <c r="I79" s="23">
        <f>'CUOTA LTP'!F44</f>
        <v>0</v>
      </c>
      <c r="J79" s="23">
        <f>'CUOTA LTP'!G44</f>
        <v>5.0160000000000003E-2</v>
      </c>
      <c r="K79" s="23">
        <f>'CUOTA LTP'!H44</f>
        <v>0</v>
      </c>
      <c r="L79" s="23">
        <f>'CUOTA LTP'!I44</f>
        <v>5.0160000000000003E-2</v>
      </c>
      <c r="M79" s="41">
        <f>'CUOTA LTP'!J44</f>
        <v>0</v>
      </c>
      <c r="N79" s="24" t="s">
        <v>92</v>
      </c>
      <c r="O79" s="24">
        <f>'RESUMEN '!$B$3</f>
        <v>44200</v>
      </c>
      <c r="P79" s="22">
        <v>2020</v>
      </c>
      <c r="Q79" s="22"/>
    </row>
    <row r="80" spans="1:17" x14ac:dyDescent="0.25">
      <c r="A80" s="22" t="s">
        <v>47</v>
      </c>
      <c r="B80" s="22" t="s">
        <v>82</v>
      </c>
      <c r="C80" s="22" t="s">
        <v>90</v>
      </c>
      <c r="D80" s="22" t="s">
        <v>96</v>
      </c>
      <c r="E80" s="22" t="str">
        <f>'CUOTA LTP'!C44</f>
        <v>ZUÑIGA ROMERO GONZALO</v>
      </c>
      <c r="F80" s="22" t="s">
        <v>87</v>
      </c>
      <c r="G80" s="22" t="s">
        <v>88</v>
      </c>
      <c r="H80" s="23">
        <f>'CUOTA LTP'!E45</f>
        <v>5.5799999999999999E-3</v>
      </c>
      <c r="I80" s="23">
        <f>'CUOTA LTP'!F45</f>
        <v>0</v>
      </c>
      <c r="J80" s="23">
        <f>'CUOTA LTP'!G45</f>
        <v>5.5740000000000005E-2</v>
      </c>
      <c r="K80" s="23">
        <f>'CUOTA LTP'!H45</f>
        <v>0</v>
      </c>
      <c r="L80" s="23">
        <f>'CUOTA LTP'!I45</f>
        <v>5.5740000000000005E-2</v>
      </c>
      <c r="M80" s="41">
        <f>'CUOTA LTP'!J45</f>
        <v>0</v>
      </c>
      <c r="N80" s="24" t="s">
        <v>92</v>
      </c>
      <c r="O80" s="24">
        <f>'RESUMEN '!$B$3</f>
        <v>44200</v>
      </c>
      <c r="P80" s="22">
        <v>2020</v>
      </c>
      <c r="Q80" s="22"/>
    </row>
    <row r="81" spans="1:17" x14ac:dyDescent="0.25">
      <c r="A81" s="22" t="s">
        <v>47</v>
      </c>
      <c r="B81" s="22" t="s">
        <v>82</v>
      </c>
      <c r="C81" s="22" t="s">
        <v>90</v>
      </c>
      <c r="D81" s="22" t="s">
        <v>96</v>
      </c>
      <c r="E81" s="22" t="str">
        <f>'CUOTA LTP'!C44</f>
        <v>ZUÑIGA ROMERO GONZALO</v>
      </c>
      <c r="F81" s="22" t="s">
        <v>89</v>
      </c>
      <c r="G81" s="22" t="s">
        <v>88</v>
      </c>
      <c r="H81" s="23">
        <f>'CUOTA LTP'!K44</f>
        <v>5.5740000000000005E-2</v>
      </c>
      <c r="I81" s="23">
        <f>'CUOTA LTP'!L44</f>
        <v>0</v>
      </c>
      <c r="J81" s="23">
        <f>'CUOTA LTP'!M44</f>
        <v>5.5740000000000005E-2</v>
      </c>
      <c r="K81" s="23">
        <f>'CUOTA LTP'!N44</f>
        <v>0</v>
      </c>
      <c r="L81" s="23">
        <f>'CUOTA LTP'!O44</f>
        <v>5.5740000000000005E-2</v>
      </c>
      <c r="M81" s="41">
        <f>'CUOTA LTP'!P44</f>
        <v>0</v>
      </c>
      <c r="N81" s="24" t="s">
        <v>92</v>
      </c>
      <c r="O81" s="24">
        <f>'RESUMEN '!$B$3</f>
        <v>44200</v>
      </c>
      <c r="P81" s="22">
        <v>2020</v>
      </c>
      <c r="Q81" s="22"/>
    </row>
    <row r="82" spans="1:17" x14ac:dyDescent="0.25">
      <c r="A82" s="22" t="s">
        <v>47</v>
      </c>
      <c r="B82" s="22" t="s">
        <v>82</v>
      </c>
      <c r="C82" s="22" t="s">
        <v>90</v>
      </c>
      <c r="D82" s="22" t="s">
        <v>96</v>
      </c>
      <c r="E82" s="22" t="str">
        <f>'CUOTA LTP'!C46</f>
        <v>RUBIO Y MAUAD LTDA.</v>
      </c>
      <c r="F82" s="22" t="s">
        <v>85</v>
      </c>
      <c r="G82" s="22" t="s">
        <v>86</v>
      </c>
      <c r="H82" s="23">
        <f>'CUOTA LTP'!E46</f>
        <v>62.901139999999998</v>
      </c>
      <c r="I82" s="23">
        <f>'CUOTA LTP'!F46</f>
        <v>-69.8</v>
      </c>
      <c r="J82" s="23">
        <f>'CUOTA LTP'!G46</f>
        <v>-6.8988599999999991</v>
      </c>
      <c r="K82" s="23">
        <f>'CUOTA LTP'!H46</f>
        <v>0</v>
      </c>
      <c r="L82" s="23">
        <f>'CUOTA LTP'!I46</f>
        <v>-6.8988599999999991</v>
      </c>
      <c r="M82" s="41">
        <f>'CUOTA LTP'!J46</f>
        <v>0</v>
      </c>
      <c r="N82" s="24" t="s">
        <v>92</v>
      </c>
      <c r="O82" s="24">
        <f>'RESUMEN '!$B$3</f>
        <v>44200</v>
      </c>
      <c r="P82" s="22">
        <v>2020</v>
      </c>
      <c r="Q82" s="22"/>
    </row>
    <row r="83" spans="1:17" x14ac:dyDescent="0.25">
      <c r="A83" s="22" t="s">
        <v>47</v>
      </c>
      <c r="B83" s="22" t="s">
        <v>82</v>
      </c>
      <c r="C83" s="22" t="s">
        <v>90</v>
      </c>
      <c r="D83" s="22" t="s">
        <v>96</v>
      </c>
      <c r="E83" s="22" t="str">
        <f>'CUOTA LTP'!C46</f>
        <v>RUBIO Y MAUAD LTDA.</v>
      </c>
      <c r="F83" s="22" t="s">
        <v>87</v>
      </c>
      <c r="G83" s="22" t="s">
        <v>88</v>
      </c>
      <c r="H83" s="23">
        <f>'CUOTA LTP'!E47</f>
        <v>6.9973799999999997</v>
      </c>
      <c r="I83" s="23">
        <f>'CUOTA LTP'!F47</f>
        <v>0</v>
      </c>
      <c r="J83" s="23">
        <f>'CUOTA LTP'!G47</f>
        <v>9.8520000000000607E-2</v>
      </c>
      <c r="K83" s="23">
        <f>'CUOTA LTP'!H47</f>
        <v>0</v>
      </c>
      <c r="L83" s="23">
        <f>'CUOTA LTP'!I47</f>
        <v>9.8520000000000607E-2</v>
      </c>
      <c r="M83" s="41">
        <f>'CUOTA LTP'!J47</f>
        <v>0</v>
      </c>
      <c r="N83" s="24" t="s">
        <v>92</v>
      </c>
      <c r="O83" s="24">
        <f>'RESUMEN '!$B$3</f>
        <v>44200</v>
      </c>
      <c r="P83" s="22">
        <v>2020</v>
      </c>
      <c r="Q83" s="22"/>
    </row>
    <row r="84" spans="1:17" x14ac:dyDescent="0.25">
      <c r="A84" s="22" t="s">
        <v>47</v>
      </c>
      <c r="B84" s="22" t="s">
        <v>82</v>
      </c>
      <c r="C84" s="22" t="s">
        <v>90</v>
      </c>
      <c r="D84" s="22" t="s">
        <v>96</v>
      </c>
      <c r="E84" s="22" t="str">
        <f>'CUOTA LTP'!C46</f>
        <v>RUBIO Y MAUAD LTDA.</v>
      </c>
      <c r="F84" s="22" t="s">
        <v>89</v>
      </c>
      <c r="G84" s="22" t="s">
        <v>88</v>
      </c>
      <c r="H84" s="23">
        <f>'CUOTA LTP'!K46</f>
        <v>69.898519999999991</v>
      </c>
      <c r="I84" s="23">
        <f>'CUOTA LTP'!L46</f>
        <v>-69.8</v>
      </c>
      <c r="J84" s="23">
        <f>'CUOTA LTP'!M46</f>
        <v>9.8519999999993502E-2</v>
      </c>
      <c r="K84" s="23">
        <f>'CUOTA LTP'!N46</f>
        <v>0</v>
      </c>
      <c r="L84" s="23">
        <f>'CUOTA LTP'!O46</f>
        <v>9.8519999999993502E-2</v>
      </c>
      <c r="M84" s="41">
        <f>'CUOTA LTP'!P46</f>
        <v>0</v>
      </c>
      <c r="N84" s="24" t="s">
        <v>92</v>
      </c>
      <c r="O84" s="24">
        <f>'RESUMEN '!$B$3</f>
        <v>44200</v>
      </c>
      <c r="P84" s="22">
        <v>2020</v>
      </c>
      <c r="Q84" s="22"/>
    </row>
    <row r="85" spans="1:17" x14ac:dyDescent="0.25">
      <c r="A85" s="22" t="s">
        <v>47</v>
      </c>
      <c r="B85" s="22" t="s">
        <v>82</v>
      </c>
      <c r="C85" s="22" t="s">
        <v>90</v>
      </c>
      <c r="D85" s="22" t="s">
        <v>96</v>
      </c>
      <c r="E85" s="22" t="str">
        <f>'CUOTA LTP'!C48</f>
        <v>ENFERMAR LTDA. SOC. PESQ.</v>
      </c>
      <c r="F85" s="22" t="s">
        <v>85</v>
      </c>
      <c r="G85" s="22" t="s">
        <v>86</v>
      </c>
      <c r="H85" s="23">
        <f>'CUOTA LTP'!E48</f>
        <v>0.67723999999999995</v>
      </c>
      <c r="I85" s="23">
        <f>'CUOTA LTP'!F48</f>
        <v>0</v>
      </c>
      <c r="J85" s="23">
        <f>'CUOTA LTP'!G48</f>
        <v>0.67723999999999995</v>
      </c>
      <c r="K85" s="23">
        <f>'CUOTA LTP'!H48</f>
        <v>0</v>
      </c>
      <c r="L85" s="23">
        <f>'CUOTA LTP'!I48</f>
        <v>0.67723999999999995</v>
      </c>
      <c r="M85" s="41">
        <f>'CUOTA LTP'!J48</f>
        <v>0</v>
      </c>
      <c r="N85" s="24" t="s">
        <v>92</v>
      </c>
      <c r="O85" s="24">
        <f>'RESUMEN '!$B$3</f>
        <v>44200</v>
      </c>
      <c r="P85" s="22">
        <v>2020</v>
      </c>
      <c r="Q85" s="22"/>
    </row>
    <row r="86" spans="1:17" x14ac:dyDescent="0.25">
      <c r="A86" s="22" t="s">
        <v>47</v>
      </c>
      <c r="B86" s="22" t="s">
        <v>82</v>
      </c>
      <c r="C86" s="22" t="s">
        <v>90</v>
      </c>
      <c r="D86" s="22" t="s">
        <v>96</v>
      </c>
      <c r="E86" s="22" t="str">
        <f>'CUOTA LTP'!C48</f>
        <v>ENFERMAR LTDA. SOC. PESQ.</v>
      </c>
      <c r="F86" s="22" t="s">
        <v>87</v>
      </c>
      <c r="G86" s="22" t="s">
        <v>88</v>
      </c>
      <c r="H86" s="23">
        <f>'CUOTA LTP'!E49</f>
        <v>7.5340000000000004E-2</v>
      </c>
      <c r="I86" s="23">
        <f>'CUOTA LTP'!F49</f>
        <v>0</v>
      </c>
      <c r="J86" s="23">
        <f>'CUOTA LTP'!G49</f>
        <v>0.75257999999999992</v>
      </c>
      <c r="K86" s="23">
        <f>'CUOTA LTP'!H49</f>
        <v>0</v>
      </c>
      <c r="L86" s="23">
        <f>'CUOTA LTP'!I49</f>
        <v>0.75257999999999992</v>
      </c>
      <c r="M86" s="41">
        <f>'CUOTA LTP'!J49</f>
        <v>0</v>
      </c>
      <c r="N86" s="24" t="s">
        <v>92</v>
      </c>
      <c r="O86" s="24">
        <f>'RESUMEN '!$B$3</f>
        <v>44200</v>
      </c>
      <c r="P86" s="22">
        <v>2020</v>
      </c>
      <c r="Q86" s="22"/>
    </row>
    <row r="87" spans="1:17" x14ac:dyDescent="0.25">
      <c r="A87" s="22" t="s">
        <v>47</v>
      </c>
      <c r="B87" s="22" t="s">
        <v>82</v>
      </c>
      <c r="C87" s="22" t="s">
        <v>90</v>
      </c>
      <c r="D87" s="22" t="s">
        <v>96</v>
      </c>
      <c r="E87" s="22" t="str">
        <f>'CUOTA LTP'!C48</f>
        <v>ENFERMAR LTDA. SOC. PESQ.</v>
      </c>
      <c r="F87" s="22" t="s">
        <v>89</v>
      </c>
      <c r="G87" s="22" t="s">
        <v>88</v>
      </c>
      <c r="H87" s="23">
        <f>'CUOTA LTP'!K48</f>
        <v>0.75257999999999992</v>
      </c>
      <c r="I87" s="23">
        <f>'CUOTA LTP'!L48</f>
        <v>0</v>
      </c>
      <c r="J87" s="23">
        <f>'CUOTA LTP'!M48</f>
        <v>0.75257999999999992</v>
      </c>
      <c r="K87" s="23">
        <f>'CUOTA LTP'!N48</f>
        <v>0</v>
      </c>
      <c r="L87" s="23">
        <f>'CUOTA LTP'!O48</f>
        <v>0.75257999999999992</v>
      </c>
      <c r="M87" s="41">
        <f>'CUOTA LTP'!P48</f>
        <v>0</v>
      </c>
      <c r="N87" s="24" t="s">
        <v>92</v>
      </c>
      <c r="O87" s="24">
        <f>'RESUMEN '!$B$3</f>
        <v>44200</v>
      </c>
      <c r="P87" s="22">
        <v>2020</v>
      </c>
      <c r="Q87" s="22"/>
    </row>
    <row r="88" spans="1:17" x14ac:dyDescent="0.25">
      <c r="A88" s="37" t="s">
        <v>47</v>
      </c>
      <c r="B88" s="37" t="s">
        <v>82</v>
      </c>
      <c r="C88" s="37" t="s">
        <v>93</v>
      </c>
      <c r="D88" s="37" t="s">
        <v>105</v>
      </c>
      <c r="E88" s="37" t="s">
        <v>106</v>
      </c>
      <c r="F88" s="37" t="s">
        <v>89</v>
      </c>
      <c r="G88" s="37" t="s">
        <v>88</v>
      </c>
      <c r="H88" s="38">
        <f>'CUOTA LTP'!E50</f>
        <v>1028.9999</v>
      </c>
      <c r="I88" s="38">
        <f>'CUOTA LTP'!F50</f>
        <v>29.867000000000004</v>
      </c>
      <c r="J88" s="38">
        <f>'CUOTA LTP'!G50</f>
        <v>1058.8669</v>
      </c>
      <c r="K88" s="38">
        <f>'CUOTA LTP'!H50</f>
        <v>964.19699999999989</v>
      </c>
      <c r="L88" s="38">
        <f>'CUOTA LTP'!I50</f>
        <v>94.669900000000098</v>
      </c>
      <c r="M88" s="42">
        <f>'CUOTA LTP'!J50</f>
        <v>0.91059320109071296</v>
      </c>
      <c r="N88" s="39" t="s">
        <v>92</v>
      </c>
      <c r="O88" s="39">
        <f>'RESUMEN '!$B$3</f>
        <v>44200</v>
      </c>
      <c r="P88" s="37">
        <v>2020</v>
      </c>
      <c r="Q88" s="22"/>
    </row>
    <row r="89" spans="1:17" x14ac:dyDescent="0.25">
      <c r="A89" s="22" t="s">
        <v>48</v>
      </c>
      <c r="B89" s="22" t="s">
        <v>82</v>
      </c>
      <c r="C89" s="22" t="s">
        <v>61</v>
      </c>
      <c r="D89" s="22" t="s">
        <v>97</v>
      </c>
      <c r="E89" s="22" t="str">
        <f>'CUOTA LICITADA'!C13</f>
        <v>ANTARTIC SEAFOOD S.A.</v>
      </c>
      <c r="F89" s="22" t="s">
        <v>85</v>
      </c>
      <c r="G89" s="22" t="s">
        <v>86</v>
      </c>
      <c r="H89" s="23">
        <f>'CUOTA LICITADA'!F13</f>
        <v>72.333399999999997</v>
      </c>
      <c r="I89" s="23">
        <f>'CUOTA LICITADA'!G13</f>
        <v>46.356999999999999</v>
      </c>
      <c r="J89" s="23">
        <f>'CUOTA LICITADA'!H13</f>
        <v>118.6904</v>
      </c>
      <c r="K89" s="23">
        <f>'CUOTA LICITADA'!I13</f>
        <v>119.90900000000001</v>
      </c>
      <c r="L89" s="23">
        <f>'CUOTA LICITADA'!J13</f>
        <v>-1.2186000000000092</v>
      </c>
      <c r="M89" s="41">
        <f>'CUOTA LICITADA'!K13</f>
        <v>1.0102670477140527</v>
      </c>
      <c r="N89" s="24" t="s">
        <v>92</v>
      </c>
      <c r="O89" s="24">
        <f>'RESUMEN '!$B$3</f>
        <v>44200</v>
      </c>
      <c r="P89" s="22">
        <v>2020</v>
      </c>
      <c r="Q89" s="22"/>
    </row>
    <row r="90" spans="1:17" x14ac:dyDescent="0.25">
      <c r="A90" s="22" t="s">
        <v>48</v>
      </c>
      <c r="B90" s="22" t="s">
        <v>82</v>
      </c>
      <c r="C90" s="22" t="s">
        <v>61</v>
      </c>
      <c r="D90" s="22" t="s">
        <v>97</v>
      </c>
      <c r="E90" s="22" t="str">
        <f>'CUOTA LICITADA'!C13</f>
        <v>ANTARTIC SEAFOOD S.A.</v>
      </c>
      <c r="F90" s="22" t="s">
        <v>87</v>
      </c>
      <c r="G90" s="22" t="s">
        <v>88</v>
      </c>
      <c r="H90" s="23">
        <f>'CUOTA LICITADA'!F14</f>
        <v>8.0167999999999999</v>
      </c>
      <c r="I90" s="23">
        <f>'CUOTA LICITADA'!G14</f>
        <v>0</v>
      </c>
      <c r="J90" s="23">
        <f>'CUOTA LICITADA'!H14</f>
        <v>6.7981999999999907</v>
      </c>
      <c r="K90" s="23">
        <f>'CUOTA LICITADA'!I14</f>
        <v>4.2519999999999998</v>
      </c>
      <c r="L90" s="23">
        <f>'CUOTA LICITADA'!J14</f>
        <v>2.5461999999999909</v>
      </c>
      <c r="M90" s="41">
        <f>'CUOTA LICITADA'!K14</f>
        <v>0.62545968050366352</v>
      </c>
      <c r="N90" s="24" t="s">
        <v>92</v>
      </c>
      <c r="O90" s="24">
        <f>'RESUMEN '!$B$3</f>
        <v>44200</v>
      </c>
      <c r="P90" s="22">
        <v>2020</v>
      </c>
      <c r="Q90" s="22"/>
    </row>
    <row r="91" spans="1:17" x14ac:dyDescent="0.25">
      <c r="A91" s="22" t="s">
        <v>48</v>
      </c>
      <c r="B91" s="22" t="s">
        <v>82</v>
      </c>
      <c r="C91" s="22" t="s">
        <v>61</v>
      </c>
      <c r="D91" s="22" t="s">
        <v>97</v>
      </c>
      <c r="E91" s="22" t="str">
        <f>'CUOTA LICITADA'!C13</f>
        <v>ANTARTIC SEAFOOD S.A.</v>
      </c>
      <c r="F91" s="22" t="s">
        <v>89</v>
      </c>
      <c r="G91" s="22" t="s">
        <v>88</v>
      </c>
      <c r="H91" s="23">
        <f>'CUOTA LICITADA'!L13</f>
        <v>80.350200000000001</v>
      </c>
      <c r="I91" s="23">
        <f>'CUOTA LICITADA'!M13</f>
        <v>46.356999999999999</v>
      </c>
      <c r="J91" s="23">
        <f>'CUOTA LICITADA'!N13</f>
        <v>126.7072</v>
      </c>
      <c r="K91" s="23">
        <f>'CUOTA LICITADA'!O13</f>
        <v>124.161</v>
      </c>
      <c r="L91" s="23">
        <f>'CUOTA LICITADA'!P13</f>
        <v>2.5461999999999989</v>
      </c>
      <c r="M91" s="41">
        <f>'CUOTA LICITADA'!Q13</f>
        <v>0.9799048515001515</v>
      </c>
      <c r="N91" s="24" t="s">
        <v>92</v>
      </c>
      <c r="O91" s="24">
        <f>'RESUMEN '!$B$3</f>
        <v>44200</v>
      </c>
      <c r="P91" s="22">
        <v>2020</v>
      </c>
      <c r="Q91" s="22"/>
    </row>
    <row r="92" spans="1:17" x14ac:dyDescent="0.25">
      <c r="A92" s="22" t="s">
        <v>48</v>
      </c>
      <c r="B92" s="22" t="s">
        <v>82</v>
      </c>
      <c r="C92" s="22" t="s">
        <v>61</v>
      </c>
      <c r="D92" s="22" t="s">
        <v>97</v>
      </c>
      <c r="E92" s="22" t="str">
        <f>'CUOTA LICITADA'!C15</f>
        <v>QUINTERO S.A. PESQ.</v>
      </c>
      <c r="F92" s="22" t="s">
        <v>85</v>
      </c>
      <c r="G92" s="22" t="s">
        <v>86</v>
      </c>
      <c r="H92" s="23">
        <f>'CUOTA LICITADA'!F15</f>
        <v>26.499114800000001</v>
      </c>
      <c r="I92" s="23">
        <f>'CUOTA LICITADA'!G15</f>
        <v>0</v>
      </c>
      <c r="J92" s="23">
        <f>'CUOTA LICITADA'!H15</f>
        <v>26.499114800000001</v>
      </c>
      <c r="K92" s="23">
        <f>'CUOTA LICITADA'!I15</f>
        <v>2.0870000000000002</v>
      </c>
      <c r="L92" s="23">
        <f>'CUOTA LICITADA'!J15</f>
        <v>24.412114800000001</v>
      </c>
      <c r="M92" s="41">
        <f>'CUOTA LICITADA'!K15</f>
        <v>7.8757347773745268E-2</v>
      </c>
      <c r="N92" s="24" t="s">
        <v>92</v>
      </c>
      <c r="O92" s="24">
        <f>'RESUMEN '!$B$3</f>
        <v>44200</v>
      </c>
      <c r="P92" s="22">
        <v>2020</v>
      </c>
      <c r="Q92" s="22"/>
    </row>
    <row r="93" spans="1:17" x14ac:dyDescent="0.25">
      <c r="A93" s="22" t="s">
        <v>48</v>
      </c>
      <c r="B93" s="22" t="s">
        <v>82</v>
      </c>
      <c r="C93" s="22" t="s">
        <v>61</v>
      </c>
      <c r="D93" s="22" t="s">
        <v>97</v>
      </c>
      <c r="E93" s="22" t="str">
        <f>'CUOTA LICITADA'!C15</f>
        <v>QUINTERO S.A. PESQ.</v>
      </c>
      <c r="F93" s="22" t="s">
        <v>87</v>
      </c>
      <c r="G93" s="22" t="s">
        <v>88</v>
      </c>
      <c r="H93" s="23">
        <f>'CUOTA LICITADA'!F16</f>
        <v>2.9369296</v>
      </c>
      <c r="I93" s="23">
        <f>'CUOTA LICITADA'!G16</f>
        <v>0</v>
      </c>
      <c r="J93" s="23">
        <f>'CUOTA LICITADA'!H16</f>
        <v>27.3490444</v>
      </c>
      <c r="K93" s="23">
        <f>'CUOTA LICITADA'!I16</f>
        <v>24.135000000000002</v>
      </c>
      <c r="L93" s="23">
        <f>'CUOTA LICITADA'!J16</f>
        <v>3.2140443999999988</v>
      </c>
      <c r="M93" s="41">
        <f>'CUOTA LICITADA'!K16</f>
        <v>0.88248055935731351</v>
      </c>
      <c r="N93" s="24" t="s">
        <v>92</v>
      </c>
      <c r="O93" s="24">
        <f>'RESUMEN '!$B$3</f>
        <v>44200</v>
      </c>
      <c r="P93" s="22">
        <v>2020</v>
      </c>
      <c r="Q93" s="22"/>
    </row>
    <row r="94" spans="1:17" x14ac:dyDescent="0.25">
      <c r="A94" s="22" t="s">
        <v>48</v>
      </c>
      <c r="B94" s="22" t="s">
        <v>82</v>
      </c>
      <c r="C94" s="22" t="s">
        <v>61</v>
      </c>
      <c r="D94" s="22" t="s">
        <v>97</v>
      </c>
      <c r="E94" s="22" t="str">
        <f>'CUOTA LICITADA'!C15</f>
        <v>QUINTERO S.A. PESQ.</v>
      </c>
      <c r="F94" s="22" t="s">
        <v>89</v>
      </c>
      <c r="G94" s="22" t="s">
        <v>88</v>
      </c>
      <c r="H94" s="23">
        <f>'CUOTA LICITADA'!L15</f>
        <v>29.4360444</v>
      </c>
      <c r="I94" s="23">
        <f>'CUOTA LICITADA'!M15</f>
        <v>0</v>
      </c>
      <c r="J94" s="23">
        <f>'CUOTA LICITADA'!N15</f>
        <v>29.4360444</v>
      </c>
      <c r="K94" s="23">
        <f>'CUOTA LICITADA'!O15</f>
        <v>26.222000000000001</v>
      </c>
      <c r="L94" s="23">
        <f>'CUOTA LICITADA'!P15</f>
        <v>3.2140443999999988</v>
      </c>
      <c r="M94" s="41">
        <f>'CUOTA LICITADA'!Q15</f>
        <v>0.89081262562574481</v>
      </c>
      <c r="N94" s="24" t="s">
        <v>92</v>
      </c>
      <c r="O94" s="24">
        <f>'RESUMEN '!$B$3</f>
        <v>44200</v>
      </c>
      <c r="P94" s="22">
        <v>2020</v>
      </c>
      <c r="Q94" s="22"/>
    </row>
    <row r="95" spans="1:17" x14ac:dyDescent="0.25">
      <c r="A95" s="22" t="s">
        <v>48</v>
      </c>
      <c r="B95" s="22" t="s">
        <v>82</v>
      </c>
      <c r="C95" s="22" t="s">
        <v>61</v>
      </c>
      <c r="D95" s="22" t="s">
        <v>97</v>
      </c>
      <c r="E95" s="22" t="str">
        <f>'CUOTA LICITADA'!C17</f>
        <v>BRACPESCA S.A.</v>
      </c>
      <c r="F95" s="22" t="s">
        <v>85</v>
      </c>
      <c r="G95" s="22" t="s">
        <v>86</v>
      </c>
      <c r="H95" s="23">
        <f>'CUOTA LICITADA'!F17</f>
        <v>190.19904760000003</v>
      </c>
      <c r="I95" s="23">
        <f>'CUOTA LICITADA'!G17</f>
        <v>160</v>
      </c>
      <c r="J95" s="23">
        <f>'CUOTA LICITADA'!H17</f>
        <v>350.19904760000003</v>
      </c>
      <c r="K95" s="23">
        <f>'CUOTA LICITADA'!I17</f>
        <v>328.17899999999997</v>
      </c>
      <c r="L95" s="23">
        <f>'CUOTA LICITADA'!J17</f>
        <v>22.020047600000055</v>
      </c>
      <c r="M95" s="41">
        <f>'CUOTA LICITADA'!K17</f>
        <v>0.93712133784797857</v>
      </c>
      <c r="N95" s="24" t="s">
        <v>92</v>
      </c>
      <c r="O95" s="24">
        <f>'RESUMEN '!$B$3</f>
        <v>44200</v>
      </c>
      <c r="P95" s="22">
        <v>2020</v>
      </c>
      <c r="Q95" s="22"/>
    </row>
    <row r="96" spans="1:17" x14ac:dyDescent="0.25">
      <c r="A96" s="22" t="s">
        <v>48</v>
      </c>
      <c r="B96" s="22" t="s">
        <v>82</v>
      </c>
      <c r="C96" s="22" t="s">
        <v>61</v>
      </c>
      <c r="D96" s="22" t="s">
        <v>97</v>
      </c>
      <c r="E96" s="22" t="str">
        <f>'CUOTA LICITADA'!C17</f>
        <v>BRACPESCA S.A.</v>
      </c>
      <c r="F96" s="22" t="s">
        <v>87</v>
      </c>
      <c r="G96" s="22" t="s">
        <v>88</v>
      </c>
      <c r="H96" s="23">
        <f>'CUOTA LICITADA'!F18</f>
        <v>21.079995200000003</v>
      </c>
      <c r="I96" s="23">
        <f>'CUOTA LICITADA'!G18</f>
        <v>0</v>
      </c>
      <c r="J96" s="23">
        <f>'CUOTA LICITADA'!H18</f>
        <v>43.100042800000054</v>
      </c>
      <c r="K96" s="23">
        <f>'CUOTA LICITADA'!I18</f>
        <v>42.387999999999998</v>
      </c>
      <c r="L96" s="23">
        <f>'CUOTA LICITADA'!J18</f>
        <v>0.71204280000005582</v>
      </c>
      <c r="M96" s="41">
        <f>'CUOTA LICITADA'!K18</f>
        <v>0.98347930178853427</v>
      </c>
      <c r="N96" s="24" t="s">
        <v>92</v>
      </c>
      <c r="O96" s="24">
        <f>'RESUMEN '!$B$3</f>
        <v>44200</v>
      </c>
      <c r="P96" s="22">
        <v>2020</v>
      </c>
      <c r="Q96" s="22"/>
    </row>
    <row r="97" spans="1:17" x14ac:dyDescent="0.25">
      <c r="A97" s="22" t="s">
        <v>48</v>
      </c>
      <c r="B97" s="22" t="s">
        <v>82</v>
      </c>
      <c r="C97" s="22" t="s">
        <v>61</v>
      </c>
      <c r="D97" s="22" t="s">
        <v>97</v>
      </c>
      <c r="E97" s="22" t="str">
        <f>'CUOTA LICITADA'!C17</f>
        <v>BRACPESCA S.A.</v>
      </c>
      <c r="F97" s="22" t="s">
        <v>89</v>
      </c>
      <c r="G97" s="22" t="s">
        <v>88</v>
      </c>
      <c r="H97" s="23">
        <f>'CUOTA LICITADA'!L17</f>
        <v>211.27904280000004</v>
      </c>
      <c r="I97" s="23">
        <f>'CUOTA LICITADA'!M17</f>
        <v>160</v>
      </c>
      <c r="J97" s="23">
        <f>'CUOTA LICITADA'!N17</f>
        <v>371.27904280000007</v>
      </c>
      <c r="K97" s="23">
        <f>'CUOTA LICITADA'!O17</f>
        <v>370.56699999999995</v>
      </c>
      <c r="L97" s="23">
        <f>'CUOTA LICITADA'!P17</f>
        <v>0.71204280000011977</v>
      </c>
      <c r="M97" s="41">
        <f>'CUOTA LICITADA'!Q17</f>
        <v>0.99808218962581285</v>
      </c>
      <c r="N97" s="24" t="s">
        <v>92</v>
      </c>
      <c r="O97" s="24">
        <f>'RESUMEN '!$B$3</f>
        <v>44200</v>
      </c>
      <c r="P97" s="22">
        <v>2020</v>
      </c>
      <c r="Q97" s="22"/>
    </row>
    <row r="98" spans="1:17" x14ac:dyDescent="0.25">
      <c r="A98" s="22" t="s">
        <v>48</v>
      </c>
      <c r="B98" s="22" t="s">
        <v>82</v>
      </c>
      <c r="C98" s="22" t="s">
        <v>61</v>
      </c>
      <c r="D98" s="22" t="s">
        <v>97</v>
      </c>
      <c r="E98" s="22" t="str">
        <f>'CUOTA LICITADA'!C19</f>
        <v>CAMANCHACA PESCA SUR S.A.</v>
      </c>
      <c r="F98" s="22" t="s">
        <v>85</v>
      </c>
      <c r="G98" s="22" t="s">
        <v>86</v>
      </c>
      <c r="H98" s="23">
        <f>'CUOTA LICITADA'!F19</f>
        <v>231.246591846</v>
      </c>
      <c r="I98" s="23">
        <f>'CUOTA LICITADA'!G19</f>
        <v>-256.33699999999999</v>
      </c>
      <c r="J98" s="23">
        <f>'CUOTA LICITADA'!H19</f>
        <v>-25.090408153999988</v>
      </c>
      <c r="K98" s="23">
        <f>'CUOTA LICITADA'!I19</f>
        <v>0</v>
      </c>
      <c r="L98" s="23">
        <f>'CUOTA LICITADA'!J19</f>
        <v>-25.090408153999988</v>
      </c>
      <c r="M98" s="41">
        <f>'CUOTA LICITADA'!K19</f>
        <v>0</v>
      </c>
      <c r="N98" s="24" t="s">
        <v>92</v>
      </c>
      <c r="O98" s="24">
        <f>'RESUMEN '!$B$3</f>
        <v>44200</v>
      </c>
      <c r="P98" s="22">
        <v>2020</v>
      </c>
      <c r="Q98" s="22"/>
    </row>
    <row r="99" spans="1:17" x14ac:dyDescent="0.25">
      <c r="A99" s="22" t="s">
        <v>48</v>
      </c>
      <c r="B99" s="22" t="s">
        <v>82</v>
      </c>
      <c r="C99" s="22" t="s">
        <v>61</v>
      </c>
      <c r="D99" s="22" t="s">
        <v>97</v>
      </c>
      <c r="E99" s="22" t="str">
        <f>'CUOTA LICITADA'!C19</f>
        <v>CAMANCHACA PESCA SUR S.A.</v>
      </c>
      <c r="F99" s="22" t="s">
        <v>87</v>
      </c>
      <c r="G99" s="22" t="s">
        <v>88</v>
      </c>
      <c r="H99" s="23">
        <f>'CUOTA LICITADA'!F20</f>
        <v>25.629345192000002</v>
      </c>
      <c r="I99" s="23">
        <f>'CUOTA LICITADA'!G20</f>
        <v>25.898900000000001</v>
      </c>
      <c r="J99" s="23">
        <f>'CUOTA LICITADA'!H20</f>
        <v>26.437837038000012</v>
      </c>
      <c r="K99" s="23">
        <f>'CUOTA LICITADA'!I20</f>
        <v>25.334</v>
      </c>
      <c r="L99" s="23">
        <f>'CUOTA LICITADA'!J20</f>
        <v>1.1038370380000124</v>
      </c>
      <c r="M99" s="41">
        <f>'CUOTA LICITADA'!K20</f>
        <v>0.95824783107583922</v>
      </c>
      <c r="N99" s="24" t="s">
        <v>92</v>
      </c>
      <c r="O99" s="24">
        <f>'RESUMEN '!$B$3</f>
        <v>44200</v>
      </c>
      <c r="P99" s="22">
        <v>2020</v>
      </c>
      <c r="Q99" s="22"/>
    </row>
    <row r="100" spans="1:17" x14ac:dyDescent="0.25">
      <c r="A100" s="22" t="s">
        <v>48</v>
      </c>
      <c r="B100" s="22" t="s">
        <v>82</v>
      </c>
      <c r="C100" s="22" t="s">
        <v>61</v>
      </c>
      <c r="D100" s="22" t="s">
        <v>97</v>
      </c>
      <c r="E100" s="22" t="str">
        <f>'CUOTA LICITADA'!C19</f>
        <v>CAMANCHACA PESCA SUR S.A.</v>
      </c>
      <c r="F100" s="22" t="s">
        <v>89</v>
      </c>
      <c r="G100" s="22" t="s">
        <v>88</v>
      </c>
      <c r="H100" s="23">
        <f>'CUOTA LICITADA'!L19</f>
        <v>256.87593703800002</v>
      </c>
      <c r="I100" s="23">
        <f>'CUOTA LICITADA'!M19</f>
        <v>-230.43809999999999</v>
      </c>
      <c r="J100" s="23">
        <f>'CUOTA LICITADA'!N19</f>
        <v>26.437837038000026</v>
      </c>
      <c r="K100" s="23">
        <f>'CUOTA LICITADA'!O19</f>
        <v>25.334</v>
      </c>
      <c r="L100" s="23">
        <f>'CUOTA LICITADA'!P19</f>
        <v>1.1038370380000266</v>
      </c>
      <c r="M100" s="41">
        <f>'CUOTA LICITADA'!Q19</f>
        <v>0.95824783107583866</v>
      </c>
      <c r="N100" s="24" t="s">
        <v>92</v>
      </c>
      <c r="O100" s="24">
        <f>'RESUMEN '!$B$3</f>
        <v>44200</v>
      </c>
      <c r="P100" s="22">
        <v>2020</v>
      </c>
      <c r="Q100" s="22"/>
    </row>
    <row r="101" spans="1:17" x14ac:dyDescent="0.25">
      <c r="A101" s="22" t="s">
        <v>48</v>
      </c>
      <c r="B101" s="22" t="s">
        <v>82</v>
      </c>
      <c r="C101" s="22" t="s">
        <v>61</v>
      </c>
      <c r="D101" s="22" t="s">
        <v>97</v>
      </c>
      <c r="E101" s="22" t="str">
        <f>'CUOTA LICITADA'!C21</f>
        <v>ANTONIO CRUZ CORDOVA NAKOUZI E.I.R.L.</v>
      </c>
      <c r="F101" s="22" t="s">
        <v>85</v>
      </c>
      <c r="G101" s="22" t="s">
        <v>86</v>
      </c>
      <c r="H101" s="23">
        <f>'CUOTA LICITADA'!F21</f>
        <v>2.1340496799999999</v>
      </c>
      <c r="I101" s="23">
        <f>'CUOTA LICITADA'!G21</f>
        <v>0</v>
      </c>
      <c r="J101" s="23">
        <f>'CUOTA LICITADA'!H21</f>
        <v>2.1340496799999999</v>
      </c>
      <c r="K101" s="23">
        <f>'CUOTA LICITADA'!I21</f>
        <v>8.1000000000000003E-2</v>
      </c>
      <c r="L101" s="23">
        <f>'CUOTA LICITADA'!J21</f>
        <v>2.05304968</v>
      </c>
      <c r="M101" s="41">
        <f>'CUOTA LICITADA'!K21</f>
        <v>3.7956004848022099E-2</v>
      </c>
      <c r="N101" s="24" t="s">
        <v>92</v>
      </c>
      <c r="O101" s="24">
        <f>'RESUMEN '!$B$3</f>
        <v>44200</v>
      </c>
      <c r="P101" s="22">
        <v>2020</v>
      </c>
      <c r="Q101" s="22"/>
    </row>
    <row r="102" spans="1:17" x14ac:dyDescent="0.25">
      <c r="A102" s="22" t="s">
        <v>48</v>
      </c>
      <c r="B102" s="22" t="s">
        <v>82</v>
      </c>
      <c r="C102" s="22" t="s">
        <v>61</v>
      </c>
      <c r="D102" s="22" t="s">
        <v>97</v>
      </c>
      <c r="E102" s="22" t="str">
        <f>'CUOTA LICITADA'!C21</f>
        <v>ANTONIO CRUZ CORDOVA NAKOUZI E.I.R.L.</v>
      </c>
      <c r="F102" s="22" t="s">
        <v>87</v>
      </c>
      <c r="G102" s="22" t="s">
        <v>88</v>
      </c>
      <c r="H102" s="23">
        <f>'CUOTA LICITADA'!F22</f>
        <v>0.23651936000000001</v>
      </c>
      <c r="I102" s="23">
        <f>'CUOTA LICITADA'!G22</f>
        <v>0</v>
      </c>
      <c r="J102" s="23">
        <f>'CUOTA LICITADA'!H22</f>
        <v>2.2895690399999999</v>
      </c>
      <c r="K102" s="23">
        <f>'CUOTA LICITADA'!I22</f>
        <v>8.5999999999999993E-2</v>
      </c>
      <c r="L102" s="23">
        <f>'CUOTA LICITADA'!J22</f>
        <v>2.2035690400000001</v>
      </c>
      <c r="M102" s="41">
        <f>'CUOTA LICITADA'!K22</f>
        <v>3.7561653960869419E-2</v>
      </c>
      <c r="N102" s="24" t="s">
        <v>92</v>
      </c>
      <c r="O102" s="24">
        <f>'RESUMEN '!$B$3</f>
        <v>44200</v>
      </c>
      <c r="P102" s="22">
        <v>2020</v>
      </c>
      <c r="Q102" s="22"/>
    </row>
    <row r="103" spans="1:17" x14ac:dyDescent="0.25">
      <c r="A103" s="22" t="s">
        <v>48</v>
      </c>
      <c r="B103" s="22" t="s">
        <v>82</v>
      </c>
      <c r="C103" s="22" t="s">
        <v>61</v>
      </c>
      <c r="D103" s="22" t="s">
        <v>97</v>
      </c>
      <c r="E103" s="22" t="str">
        <f>'CUOTA LICITADA'!C21</f>
        <v>ANTONIO CRUZ CORDOVA NAKOUZI E.I.R.L.</v>
      </c>
      <c r="F103" s="22" t="s">
        <v>89</v>
      </c>
      <c r="G103" s="22" t="s">
        <v>88</v>
      </c>
      <c r="H103" s="23">
        <f>'CUOTA LICITADA'!L21</f>
        <v>2.3705690399999999</v>
      </c>
      <c r="I103" s="23">
        <f>'CUOTA LICITADA'!M21</f>
        <v>0</v>
      </c>
      <c r="J103" s="23">
        <f>'CUOTA LICITADA'!N21</f>
        <v>2.3705690399999999</v>
      </c>
      <c r="K103" s="23">
        <f>'CUOTA LICITADA'!O21</f>
        <v>0.16699999999999998</v>
      </c>
      <c r="L103" s="23">
        <f>'CUOTA LICITADA'!P21</f>
        <v>2.2035690400000001</v>
      </c>
      <c r="M103" s="41">
        <f>'CUOTA LICITADA'!Q21</f>
        <v>7.0447220554268261E-2</v>
      </c>
      <c r="N103" s="24" t="s">
        <v>92</v>
      </c>
      <c r="O103" s="24">
        <f>'RESUMEN '!$B$3</f>
        <v>44200</v>
      </c>
      <c r="P103" s="22">
        <v>2020</v>
      </c>
      <c r="Q103" s="22"/>
    </row>
    <row r="104" spans="1:17" x14ac:dyDescent="0.25">
      <c r="A104" s="22" t="s">
        <v>48</v>
      </c>
      <c r="B104" s="22" t="s">
        <v>82</v>
      </c>
      <c r="C104" s="22" t="s">
        <v>61</v>
      </c>
      <c r="D104" s="22" t="s">
        <v>97</v>
      </c>
      <c r="E104" s="22" t="str">
        <f>'CUOTA LICITADA'!C23</f>
        <v>GRIMAR S.A. PESQ.</v>
      </c>
      <c r="F104" s="22" t="s">
        <v>85</v>
      </c>
      <c r="G104" s="22" t="s">
        <v>86</v>
      </c>
      <c r="H104" s="23">
        <f>'CUOTA LICITADA'!F23</f>
        <v>6.3520000000000007E-2</v>
      </c>
      <c r="I104" s="23">
        <f>'CUOTA LICITADA'!G23</f>
        <v>0</v>
      </c>
      <c r="J104" s="23">
        <f>'CUOTA LICITADA'!H23</f>
        <v>6.3520000000000007E-2</v>
      </c>
      <c r="K104" s="23">
        <f>'CUOTA LICITADA'!I23</f>
        <v>0</v>
      </c>
      <c r="L104" s="23">
        <f>'CUOTA LICITADA'!J23</f>
        <v>6.3520000000000007E-2</v>
      </c>
      <c r="M104" s="41">
        <f>'CUOTA LICITADA'!K23</f>
        <v>0</v>
      </c>
      <c r="N104" s="24" t="s">
        <v>92</v>
      </c>
      <c r="O104" s="24">
        <f>'RESUMEN '!$B$3</f>
        <v>44200</v>
      </c>
      <c r="P104" s="22">
        <v>2020</v>
      </c>
      <c r="Q104" s="22"/>
    </row>
    <row r="105" spans="1:17" x14ac:dyDescent="0.25">
      <c r="A105" s="22" t="s">
        <v>48</v>
      </c>
      <c r="B105" s="22" t="s">
        <v>82</v>
      </c>
      <c r="C105" s="22" t="s">
        <v>61</v>
      </c>
      <c r="D105" s="22" t="s">
        <v>97</v>
      </c>
      <c r="E105" s="22" t="str">
        <f>'CUOTA LICITADA'!C23</f>
        <v>GRIMAR S.A. PESQ.</v>
      </c>
      <c r="F105" s="22" t="s">
        <v>87</v>
      </c>
      <c r="G105" s="22" t="s">
        <v>88</v>
      </c>
      <c r="H105" s="23">
        <f>'CUOTA LICITADA'!F24</f>
        <v>7.0400000000000003E-3</v>
      </c>
      <c r="I105" s="23">
        <f>'CUOTA LICITADA'!G24</f>
        <v>0</v>
      </c>
      <c r="J105" s="23">
        <f>'CUOTA LICITADA'!H24</f>
        <v>7.0560000000000012E-2</v>
      </c>
      <c r="K105" s="23">
        <f>'CUOTA LICITADA'!I24</f>
        <v>0</v>
      </c>
      <c r="L105" s="23">
        <f>'CUOTA LICITADA'!J24</f>
        <v>7.0560000000000012E-2</v>
      </c>
      <c r="M105" s="41">
        <f>'CUOTA LICITADA'!K24</f>
        <v>0</v>
      </c>
      <c r="N105" s="24" t="s">
        <v>92</v>
      </c>
      <c r="O105" s="24">
        <f>'RESUMEN '!$B$3</f>
        <v>44200</v>
      </c>
      <c r="P105" s="22">
        <v>2020</v>
      </c>
      <c r="Q105" s="22"/>
    </row>
    <row r="106" spans="1:17" x14ac:dyDescent="0.25">
      <c r="A106" s="22" t="s">
        <v>48</v>
      </c>
      <c r="B106" s="22" t="s">
        <v>82</v>
      </c>
      <c r="C106" s="22" t="s">
        <v>61</v>
      </c>
      <c r="D106" s="22" t="s">
        <v>97</v>
      </c>
      <c r="E106" s="22" t="str">
        <f>'CUOTA LICITADA'!C23</f>
        <v>GRIMAR S.A. PESQ.</v>
      </c>
      <c r="F106" s="22" t="s">
        <v>89</v>
      </c>
      <c r="G106" s="22" t="s">
        <v>88</v>
      </c>
      <c r="H106" s="23">
        <f>'CUOTA LICITADA'!L23</f>
        <v>7.0560000000000012E-2</v>
      </c>
      <c r="I106" s="23">
        <f>'CUOTA LICITADA'!M23</f>
        <v>0</v>
      </c>
      <c r="J106" s="23">
        <f>'CUOTA LICITADA'!N23</f>
        <v>7.0560000000000012E-2</v>
      </c>
      <c r="K106" s="23">
        <f>'CUOTA LICITADA'!O23</f>
        <v>0</v>
      </c>
      <c r="L106" s="23">
        <f>'CUOTA LICITADA'!P23</f>
        <v>7.0560000000000012E-2</v>
      </c>
      <c r="M106" s="41">
        <f>'CUOTA LICITADA'!Q23</f>
        <v>0</v>
      </c>
      <c r="N106" s="24" t="s">
        <v>92</v>
      </c>
      <c r="O106" s="24">
        <f>'RESUMEN '!$B$3</f>
        <v>44200</v>
      </c>
      <c r="P106" s="22">
        <v>2020</v>
      </c>
      <c r="Q106" s="22"/>
    </row>
    <row r="107" spans="1:17" x14ac:dyDescent="0.25">
      <c r="A107" s="22" t="s">
        <v>48</v>
      </c>
      <c r="B107" s="22" t="s">
        <v>82</v>
      </c>
      <c r="C107" s="22" t="s">
        <v>61</v>
      </c>
      <c r="D107" s="22" t="s">
        <v>97</v>
      </c>
      <c r="E107" s="22" t="str">
        <f>'CUOTA LICITADA'!C25</f>
        <v>ISLADAMAS S.A. PESQ.</v>
      </c>
      <c r="F107" s="22" t="s">
        <v>85</v>
      </c>
      <c r="G107" s="22" t="s">
        <v>86</v>
      </c>
      <c r="H107" s="23">
        <f>'CUOTA LICITADA'!F25</f>
        <v>147.48248280000001</v>
      </c>
      <c r="I107" s="23">
        <f>'CUOTA LICITADA'!G25</f>
        <v>144.26579999999998</v>
      </c>
      <c r="J107" s="23">
        <f>'CUOTA LICITADA'!H25</f>
        <v>291.74828279999997</v>
      </c>
      <c r="K107" s="23">
        <f>'CUOTA LICITADA'!I25</f>
        <v>167.47900000000001</v>
      </c>
      <c r="L107" s="23">
        <f>'CUOTA LICITADA'!J25</f>
        <v>124.26928279999996</v>
      </c>
      <c r="M107" s="41">
        <f>'CUOTA LICITADA'!K25</f>
        <v>0.57405307888242363</v>
      </c>
      <c r="N107" s="24" t="s">
        <v>92</v>
      </c>
      <c r="O107" s="24">
        <f>'RESUMEN '!$B$3</f>
        <v>44200</v>
      </c>
      <c r="P107" s="22">
        <v>2020</v>
      </c>
      <c r="Q107" s="22"/>
    </row>
    <row r="108" spans="1:17" x14ac:dyDescent="0.25">
      <c r="A108" s="22" t="s">
        <v>48</v>
      </c>
      <c r="B108" s="22" t="s">
        <v>82</v>
      </c>
      <c r="C108" s="22" t="s">
        <v>61</v>
      </c>
      <c r="D108" s="22" t="s">
        <v>97</v>
      </c>
      <c r="E108" s="22" t="str">
        <f>'CUOTA LICITADA'!C25</f>
        <v>ISLADAMAS S.A. PESQ.</v>
      </c>
      <c r="F108" s="22" t="s">
        <v>87</v>
      </c>
      <c r="G108" s="22" t="s">
        <v>88</v>
      </c>
      <c r="H108" s="23">
        <f>'CUOTA LICITADA'!F26</f>
        <v>16.3456656</v>
      </c>
      <c r="I108" s="23">
        <f>'CUOTA LICITADA'!G26</f>
        <v>0</v>
      </c>
      <c r="J108" s="23">
        <f>'CUOTA LICITADA'!H26</f>
        <v>140.61494839999995</v>
      </c>
      <c r="K108" s="23">
        <f>'CUOTA LICITADA'!I26</f>
        <v>133.43799999999999</v>
      </c>
      <c r="L108" s="23">
        <f>'CUOTA LICITADA'!J26</f>
        <v>7.1769483999999579</v>
      </c>
      <c r="M108" s="41">
        <f>'CUOTA LICITADA'!K26</f>
        <v>0.9489602742691049</v>
      </c>
      <c r="N108" s="24" t="s">
        <v>92</v>
      </c>
      <c r="O108" s="24">
        <f>'RESUMEN '!$B$3</f>
        <v>44200</v>
      </c>
      <c r="P108" s="22">
        <v>2020</v>
      </c>
      <c r="Q108" s="22"/>
    </row>
    <row r="109" spans="1:17" x14ac:dyDescent="0.25">
      <c r="A109" s="22" t="s">
        <v>48</v>
      </c>
      <c r="B109" s="22" t="s">
        <v>82</v>
      </c>
      <c r="C109" s="22" t="s">
        <v>61</v>
      </c>
      <c r="D109" s="22" t="s">
        <v>97</v>
      </c>
      <c r="E109" s="22" t="str">
        <f>'CUOTA LICITADA'!C25</f>
        <v>ISLADAMAS S.A. PESQ.</v>
      </c>
      <c r="F109" s="22" t="s">
        <v>89</v>
      </c>
      <c r="G109" s="22" t="s">
        <v>88</v>
      </c>
      <c r="H109" s="23">
        <f>'CUOTA LICITADA'!L25</f>
        <v>163.8281484</v>
      </c>
      <c r="I109" s="23">
        <f>'CUOTA LICITADA'!M25</f>
        <v>144.26579999999998</v>
      </c>
      <c r="J109" s="23">
        <f>'CUOTA LICITADA'!N25</f>
        <v>308.09394839999999</v>
      </c>
      <c r="K109" s="23">
        <f>'CUOTA LICITADA'!O25</f>
        <v>300.91700000000003</v>
      </c>
      <c r="L109" s="23">
        <f>'CUOTA LICITADA'!P25</f>
        <v>7.1769483999999579</v>
      </c>
      <c r="M109" s="41">
        <f>'CUOTA LICITADA'!Q25</f>
        <v>0.97670532499170648</v>
      </c>
      <c r="N109" s="24" t="s">
        <v>92</v>
      </c>
      <c r="O109" s="24">
        <f>'RESUMEN '!$B$3</f>
        <v>44200</v>
      </c>
      <c r="P109" s="22">
        <v>2020</v>
      </c>
      <c r="Q109" s="22"/>
    </row>
    <row r="110" spans="1:17" x14ac:dyDescent="0.25">
      <c r="A110" s="22" t="s">
        <v>48</v>
      </c>
      <c r="B110" s="22" t="s">
        <v>82</v>
      </c>
      <c r="C110" s="22" t="s">
        <v>61</v>
      </c>
      <c r="D110" s="22" t="s">
        <v>97</v>
      </c>
      <c r="E110" s="22" t="str">
        <f>'CUOTA LICITADA'!C27</f>
        <v>LANDES S.A. PESQ.</v>
      </c>
      <c r="F110" s="22" t="s">
        <v>85</v>
      </c>
      <c r="G110" s="22" t="s">
        <v>86</v>
      </c>
      <c r="H110" s="23">
        <f>'CUOTA LICITADA'!F27</f>
        <v>0.79400000000000004</v>
      </c>
      <c r="I110" s="23">
        <f>'CUOTA LICITADA'!G27</f>
        <v>0</v>
      </c>
      <c r="J110" s="23">
        <f>'CUOTA LICITADA'!H27</f>
        <v>0.79400000000000004</v>
      </c>
      <c r="K110" s="23">
        <f>'CUOTA LICITADA'!I27</f>
        <v>0</v>
      </c>
      <c r="L110" s="23">
        <f>'CUOTA LICITADA'!J27</f>
        <v>0.79400000000000004</v>
      </c>
      <c r="M110" s="41">
        <f>'CUOTA LICITADA'!K27</f>
        <v>0</v>
      </c>
      <c r="N110" s="24" t="s">
        <v>92</v>
      </c>
      <c r="O110" s="24">
        <f>'RESUMEN '!$B$3</f>
        <v>44200</v>
      </c>
      <c r="P110" s="22">
        <v>2020</v>
      </c>
      <c r="Q110" s="22"/>
    </row>
    <row r="111" spans="1:17" x14ac:dyDescent="0.25">
      <c r="A111" s="22" t="s">
        <v>48</v>
      </c>
      <c r="B111" s="22" t="s">
        <v>82</v>
      </c>
      <c r="C111" s="22" t="s">
        <v>61</v>
      </c>
      <c r="D111" s="22" t="s">
        <v>97</v>
      </c>
      <c r="E111" s="22" t="str">
        <f>'CUOTA LICITADA'!C27</f>
        <v>LANDES S.A. PESQ.</v>
      </c>
      <c r="F111" s="22" t="s">
        <v>87</v>
      </c>
      <c r="G111" s="22" t="s">
        <v>88</v>
      </c>
      <c r="H111" s="23">
        <f>'CUOTA LICITADA'!F28</f>
        <v>8.7999999999999995E-2</v>
      </c>
      <c r="I111" s="23">
        <f>'CUOTA LICITADA'!G28</f>
        <v>0</v>
      </c>
      <c r="J111" s="23">
        <f>'CUOTA LICITADA'!H28</f>
        <v>0.88200000000000001</v>
      </c>
      <c r="K111" s="23">
        <f>'CUOTA LICITADA'!I28</f>
        <v>0</v>
      </c>
      <c r="L111" s="23">
        <f>'CUOTA LICITADA'!J28</f>
        <v>0.88200000000000001</v>
      </c>
      <c r="M111" s="41">
        <f>'CUOTA LICITADA'!K28</f>
        <v>0</v>
      </c>
      <c r="N111" s="24" t="s">
        <v>92</v>
      </c>
      <c r="O111" s="24">
        <f>'RESUMEN '!$B$3</f>
        <v>44200</v>
      </c>
      <c r="P111" s="22">
        <v>2020</v>
      </c>
      <c r="Q111" s="22"/>
    </row>
    <row r="112" spans="1:17" x14ac:dyDescent="0.25">
      <c r="A112" s="22" t="s">
        <v>48</v>
      </c>
      <c r="B112" s="22" t="s">
        <v>82</v>
      </c>
      <c r="C112" s="22" t="s">
        <v>61</v>
      </c>
      <c r="D112" s="22" t="s">
        <v>97</v>
      </c>
      <c r="E112" s="22" t="str">
        <f>'CUOTA LICITADA'!C27</f>
        <v>LANDES S.A. PESQ.</v>
      </c>
      <c r="F112" s="22" t="s">
        <v>89</v>
      </c>
      <c r="G112" s="22" t="s">
        <v>88</v>
      </c>
      <c r="H112" s="23">
        <f>'CUOTA LICITADA'!L27</f>
        <v>0.88200000000000001</v>
      </c>
      <c r="I112" s="23">
        <f>'CUOTA LICITADA'!M27</f>
        <v>0</v>
      </c>
      <c r="J112" s="23">
        <f>'CUOTA LICITADA'!N27</f>
        <v>0.88200000000000001</v>
      </c>
      <c r="K112" s="23">
        <f>'CUOTA LICITADA'!O27</f>
        <v>0</v>
      </c>
      <c r="L112" s="23">
        <f>'CUOTA LICITADA'!P27</f>
        <v>0.88200000000000001</v>
      </c>
      <c r="M112" s="41">
        <f>'CUOTA LICITADA'!Q27</f>
        <v>0</v>
      </c>
      <c r="N112" s="24" t="s">
        <v>92</v>
      </c>
      <c r="O112" s="24">
        <f>'RESUMEN '!$B$3</f>
        <v>44200</v>
      </c>
      <c r="P112" s="22">
        <v>2020</v>
      </c>
      <c r="Q112" s="22"/>
    </row>
    <row r="113" spans="1:17" x14ac:dyDescent="0.25">
      <c r="A113" s="22" t="s">
        <v>48</v>
      </c>
      <c r="B113" s="22" t="s">
        <v>82</v>
      </c>
      <c r="C113" s="22" t="s">
        <v>61</v>
      </c>
      <c r="D113" s="22" t="s">
        <v>97</v>
      </c>
      <c r="E113" s="22" t="str">
        <f>'CUOTA LICITADA'!C29</f>
        <v>ZUÑIGA ROMERO GONZALO</v>
      </c>
      <c r="F113" s="22" t="s">
        <v>85</v>
      </c>
      <c r="G113" s="22" t="s">
        <v>86</v>
      </c>
      <c r="H113" s="23">
        <f>'CUOTA LICITADA'!F29</f>
        <v>2.0485199999999999E-2</v>
      </c>
      <c r="I113" s="23">
        <f>'CUOTA LICITADA'!G29</f>
        <v>0</v>
      </c>
      <c r="J113" s="23">
        <f>'CUOTA LICITADA'!H29</f>
        <v>2.0485199999999999E-2</v>
      </c>
      <c r="K113" s="23">
        <f>'CUOTA LICITADA'!I29</f>
        <v>0</v>
      </c>
      <c r="L113" s="23">
        <f>'CUOTA LICITADA'!J29</f>
        <v>2.0485199999999999E-2</v>
      </c>
      <c r="M113" s="41">
        <f>'CUOTA LICITADA'!K29</f>
        <v>0</v>
      </c>
      <c r="N113" s="24" t="s">
        <v>92</v>
      </c>
      <c r="O113" s="24">
        <f>'RESUMEN '!$B$3</f>
        <v>44200</v>
      </c>
      <c r="P113" s="22">
        <v>2020</v>
      </c>
      <c r="Q113" s="22"/>
    </row>
    <row r="114" spans="1:17" x14ac:dyDescent="0.25">
      <c r="A114" s="22" t="s">
        <v>48</v>
      </c>
      <c r="B114" s="22" t="s">
        <v>82</v>
      </c>
      <c r="C114" s="22" t="s">
        <v>61</v>
      </c>
      <c r="D114" s="22" t="s">
        <v>97</v>
      </c>
      <c r="E114" s="22" t="str">
        <f>'CUOTA LICITADA'!C29</f>
        <v>ZUÑIGA ROMERO GONZALO</v>
      </c>
      <c r="F114" s="22" t="s">
        <v>87</v>
      </c>
      <c r="G114" s="22" t="s">
        <v>88</v>
      </c>
      <c r="H114" s="23">
        <f>'CUOTA LICITADA'!F30</f>
        <v>2.2703999999999997E-3</v>
      </c>
      <c r="I114" s="23">
        <f>'CUOTA LICITADA'!G30</f>
        <v>0</v>
      </c>
      <c r="J114" s="23">
        <f>'CUOTA LICITADA'!H30</f>
        <v>2.2755599999999997E-2</v>
      </c>
      <c r="K114" s="23">
        <f>'CUOTA LICITADA'!I30</f>
        <v>0</v>
      </c>
      <c r="L114" s="23">
        <f>'CUOTA LICITADA'!J30</f>
        <v>2.2755599999999997E-2</v>
      </c>
      <c r="M114" s="41">
        <f>'CUOTA LICITADA'!K30</f>
        <v>0</v>
      </c>
      <c r="N114" s="24" t="s">
        <v>92</v>
      </c>
      <c r="O114" s="24">
        <f>'RESUMEN '!$B$3</f>
        <v>44200</v>
      </c>
      <c r="P114" s="22">
        <v>2020</v>
      </c>
      <c r="Q114" s="22"/>
    </row>
    <row r="115" spans="1:17" x14ac:dyDescent="0.25">
      <c r="A115" s="22" t="s">
        <v>48</v>
      </c>
      <c r="B115" s="22" t="s">
        <v>82</v>
      </c>
      <c r="C115" s="22" t="s">
        <v>61</v>
      </c>
      <c r="D115" s="22" t="s">
        <v>97</v>
      </c>
      <c r="E115" s="22" t="str">
        <f>'CUOTA LICITADA'!C29</f>
        <v>ZUÑIGA ROMERO GONZALO</v>
      </c>
      <c r="F115" s="22" t="s">
        <v>89</v>
      </c>
      <c r="G115" s="22" t="s">
        <v>88</v>
      </c>
      <c r="H115" s="23">
        <f>'CUOTA LICITADA'!L29</f>
        <v>2.2755599999999997E-2</v>
      </c>
      <c r="I115" s="23">
        <f>'CUOTA LICITADA'!M29</f>
        <v>0</v>
      </c>
      <c r="J115" s="23">
        <f>'CUOTA LICITADA'!N29</f>
        <v>2.2755599999999997E-2</v>
      </c>
      <c r="K115" s="23">
        <f>'CUOTA LICITADA'!O29</f>
        <v>0</v>
      </c>
      <c r="L115" s="23">
        <f>'CUOTA LICITADA'!P29</f>
        <v>2.2755599999999997E-2</v>
      </c>
      <c r="M115" s="41">
        <f>'CUOTA LICITADA'!Q29</f>
        <v>0</v>
      </c>
      <c r="N115" s="24" t="s">
        <v>92</v>
      </c>
      <c r="O115" s="24">
        <f>'RESUMEN '!$B$3</f>
        <v>44200</v>
      </c>
      <c r="P115" s="22">
        <v>2020</v>
      </c>
      <c r="Q115" s="22"/>
    </row>
    <row r="116" spans="1:17" x14ac:dyDescent="0.25">
      <c r="A116" s="22" t="s">
        <v>48</v>
      </c>
      <c r="B116" s="22" t="s">
        <v>82</v>
      </c>
      <c r="C116" s="22" t="s">
        <v>61</v>
      </c>
      <c r="D116" s="22" t="s">
        <v>97</v>
      </c>
      <c r="E116" s="22" t="str">
        <f>'CUOTA LICITADA'!C31</f>
        <v>PACIFICBLU SPA.</v>
      </c>
      <c r="F116" s="22" t="s">
        <v>85</v>
      </c>
      <c r="G116" s="22" t="s">
        <v>86</v>
      </c>
      <c r="H116" s="23">
        <f>'CUOTA LICITADA'!F31</f>
        <v>120.33972778</v>
      </c>
      <c r="I116" s="23">
        <f>'CUOTA LICITADA'!G31</f>
        <v>-94.285799999999995</v>
      </c>
      <c r="J116" s="23">
        <f>'CUOTA LICITADA'!H31</f>
        <v>26.053927780000009</v>
      </c>
      <c r="K116" s="23">
        <f>'CUOTA LICITADA'!I31</f>
        <v>0</v>
      </c>
      <c r="L116" s="23">
        <f>'CUOTA LICITADA'!J31</f>
        <v>26.053927780000009</v>
      </c>
      <c r="M116" s="41">
        <f>'CUOTA LICITADA'!K31</f>
        <v>0</v>
      </c>
      <c r="N116" s="24" t="s">
        <v>92</v>
      </c>
      <c r="O116" s="24">
        <f>'RESUMEN '!$B$3</f>
        <v>44200</v>
      </c>
      <c r="P116" s="22">
        <v>2020</v>
      </c>
      <c r="Q116" s="22"/>
    </row>
    <row r="117" spans="1:17" x14ac:dyDescent="0.25">
      <c r="A117" s="22" t="s">
        <v>48</v>
      </c>
      <c r="B117" s="22" t="s">
        <v>82</v>
      </c>
      <c r="C117" s="22" t="s">
        <v>61</v>
      </c>
      <c r="D117" s="22" t="s">
        <v>97</v>
      </c>
      <c r="E117" s="22" t="str">
        <f>'CUOTA LICITADA'!C31</f>
        <v>PACIFICBLU SPA.</v>
      </c>
      <c r="F117" s="22" t="s">
        <v>87</v>
      </c>
      <c r="G117" s="22" t="s">
        <v>88</v>
      </c>
      <c r="H117" s="23">
        <f>'CUOTA LICITADA'!F32</f>
        <v>13.337400560000001</v>
      </c>
      <c r="I117" s="23">
        <f>'CUOTA LICITADA'!G32</f>
        <v>-25.899000000000001</v>
      </c>
      <c r="J117" s="23">
        <f>'CUOTA LICITADA'!H32</f>
        <v>13.492328340000009</v>
      </c>
      <c r="K117" s="23">
        <f>'CUOTA LICITADA'!I32</f>
        <v>0</v>
      </c>
      <c r="L117" s="23">
        <f>'CUOTA LICITADA'!J32</f>
        <v>13.492328340000009</v>
      </c>
      <c r="M117" s="41">
        <f>'CUOTA LICITADA'!K32</f>
        <v>0</v>
      </c>
      <c r="N117" s="24" t="s">
        <v>92</v>
      </c>
      <c r="O117" s="24">
        <f>'RESUMEN '!$B$3</f>
        <v>44200</v>
      </c>
      <c r="P117" s="22">
        <v>2020</v>
      </c>
      <c r="Q117" s="22"/>
    </row>
    <row r="118" spans="1:17" x14ac:dyDescent="0.25">
      <c r="A118" s="22" t="s">
        <v>48</v>
      </c>
      <c r="B118" s="22" t="s">
        <v>82</v>
      </c>
      <c r="C118" s="22" t="s">
        <v>61</v>
      </c>
      <c r="D118" s="22" t="s">
        <v>97</v>
      </c>
      <c r="E118" s="22" t="str">
        <f>'CUOTA LICITADA'!C31</f>
        <v>PACIFICBLU SPA.</v>
      </c>
      <c r="F118" s="22" t="s">
        <v>89</v>
      </c>
      <c r="G118" s="22" t="s">
        <v>88</v>
      </c>
      <c r="H118" s="23">
        <f>'CUOTA LICITADA'!L31</f>
        <v>133.67712834</v>
      </c>
      <c r="I118" s="23">
        <f>'CUOTA LICITADA'!M31</f>
        <v>-120.1848</v>
      </c>
      <c r="J118" s="23">
        <f>'CUOTA LICITADA'!N31</f>
        <v>13.49232834</v>
      </c>
      <c r="K118" s="23">
        <f>'CUOTA LICITADA'!O31</f>
        <v>0</v>
      </c>
      <c r="L118" s="23">
        <f>'CUOTA LICITADA'!P31</f>
        <v>13.49232834</v>
      </c>
      <c r="M118" s="41">
        <f>'CUOTA LICITADA'!Q31</f>
        <v>0</v>
      </c>
      <c r="N118" s="24" t="s">
        <v>92</v>
      </c>
      <c r="O118" s="24">
        <f>'RESUMEN '!$B$3</f>
        <v>44200</v>
      </c>
      <c r="P118" s="22">
        <v>2020</v>
      </c>
      <c r="Q118" s="22"/>
    </row>
    <row r="119" spans="1:17" x14ac:dyDescent="0.25">
      <c r="A119" s="22" t="s">
        <v>48</v>
      </c>
      <c r="B119" s="22" t="s">
        <v>82</v>
      </c>
      <c r="C119" s="22" t="s">
        <v>61</v>
      </c>
      <c r="D119" s="22" t="s">
        <v>97</v>
      </c>
      <c r="E119" s="22" t="str">
        <f>'CUOTA LICITADA'!C33</f>
        <v>DA VENEZIA RETAMALES ANTONIO</v>
      </c>
      <c r="F119" s="22" t="s">
        <v>85</v>
      </c>
      <c r="G119" s="22" t="s">
        <v>86</v>
      </c>
      <c r="H119" s="23">
        <f>'CUOTA LICITADA'!F33</f>
        <v>1.5959400000000002E-2</v>
      </c>
      <c r="I119" s="23">
        <f>'CUOTA LICITADA'!G33</f>
        <v>0</v>
      </c>
      <c r="J119" s="23">
        <f>'CUOTA LICITADA'!H33</f>
        <v>1.5959400000000002E-2</v>
      </c>
      <c r="K119" s="23">
        <f>'CUOTA LICITADA'!I33</f>
        <v>0</v>
      </c>
      <c r="L119" s="23">
        <f>'CUOTA LICITADA'!J33</f>
        <v>1.5959400000000002E-2</v>
      </c>
      <c r="M119" s="41">
        <f>'CUOTA LICITADA'!K33</f>
        <v>0</v>
      </c>
      <c r="N119" s="24" t="s">
        <v>92</v>
      </c>
      <c r="O119" s="24">
        <f>'RESUMEN '!$B$3</f>
        <v>44200</v>
      </c>
      <c r="P119" s="22">
        <v>2020</v>
      </c>
      <c r="Q119" s="22"/>
    </row>
    <row r="120" spans="1:17" x14ac:dyDescent="0.25">
      <c r="A120" s="22" t="s">
        <v>48</v>
      </c>
      <c r="B120" s="22" t="s">
        <v>82</v>
      </c>
      <c r="C120" s="22" t="s">
        <v>61</v>
      </c>
      <c r="D120" s="22" t="s">
        <v>97</v>
      </c>
      <c r="E120" s="22" t="str">
        <f>'CUOTA LICITADA'!C33</f>
        <v>DA VENEZIA RETAMALES ANTONIO</v>
      </c>
      <c r="F120" s="22" t="s">
        <v>87</v>
      </c>
      <c r="G120" s="22" t="s">
        <v>88</v>
      </c>
      <c r="H120" s="23">
        <f>'CUOTA LICITADA'!F34</f>
        <v>1.7688000000000001E-3</v>
      </c>
      <c r="I120" s="23">
        <f>'CUOTA LICITADA'!G34</f>
        <v>0</v>
      </c>
      <c r="J120" s="23">
        <f>'CUOTA LICITADA'!H34</f>
        <v>1.7728200000000003E-2</v>
      </c>
      <c r="K120" s="23">
        <f>'CUOTA LICITADA'!I34</f>
        <v>0</v>
      </c>
      <c r="L120" s="23">
        <f>'CUOTA LICITADA'!J34</f>
        <v>1.7728200000000003E-2</v>
      </c>
      <c r="M120" s="41">
        <f>'CUOTA LICITADA'!K34</f>
        <v>0</v>
      </c>
      <c r="N120" s="24" t="s">
        <v>92</v>
      </c>
      <c r="O120" s="24">
        <f>'RESUMEN '!$B$3</f>
        <v>44200</v>
      </c>
      <c r="P120" s="22">
        <v>2020</v>
      </c>
      <c r="Q120" s="22"/>
    </row>
    <row r="121" spans="1:17" x14ac:dyDescent="0.25">
      <c r="A121" s="22" t="s">
        <v>48</v>
      </c>
      <c r="B121" s="22" t="s">
        <v>82</v>
      </c>
      <c r="C121" s="22" t="s">
        <v>61</v>
      </c>
      <c r="D121" s="22" t="s">
        <v>97</v>
      </c>
      <c r="E121" s="22" t="str">
        <f>'CUOTA LICITADA'!C33</f>
        <v>DA VENEZIA RETAMALES ANTONIO</v>
      </c>
      <c r="F121" s="22" t="s">
        <v>89</v>
      </c>
      <c r="G121" s="22" t="s">
        <v>88</v>
      </c>
      <c r="H121" s="23">
        <f>'CUOTA LICITADA'!L33</f>
        <v>1.7728200000000003E-2</v>
      </c>
      <c r="I121" s="23">
        <f>'CUOTA LICITADA'!M33</f>
        <v>0</v>
      </c>
      <c r="J121" s="23">
        <f>'CUOTA LICITADA'!N33</f>
        <v>1.7728200000000003E-2</v>
      </c>
      <c r="K121" s="23">
        <f>'CUOTA LICITADA'!O33</f>
        <v>0</v>
      </c>
      <c r="L121" s="23">
        <f>'CUOTA LICITADA'!P33</f>
        <v>1.7728200000000003E-2</v>
      </c>
      <c r="M121" s="41">
        <f>'CUOTA LICITADA'!Q33</f>
        <v>0</v>
      </c>
      <c r="N121" s="24" t="s">
        <v>92</v>
      </c>
      <c r="O121" s="24">
        <f>'RESUMEN '!$B$3</f>
        <v>44200</v>
      </c>
      <c r="P121" s="22">
        <v>2020</v>
      </c>
      <c r="Q121" s="22"/>
    </row>
    <row r="122" spans="1:17" x14ac:dyDescent="0.25">
      <c r="A122" s="22" t="s">
        <v>48</v>
      </c>
      <c r="B122" s="22" t="s">
        <v>82</v>
      </c>
      <c r="C122" s="22" t="s">
        <v>61</v>
      </c>
      <c r="D122" s="22" t="s">
        <v>97</v>
      </c>
      <c r="E122" s="22" t="str">
        <f>'CUOTA LICITADA'!C35</f>
        <v>ENFERMAR LTDA. SOC. PESQ.</v>
      </c>
      <c r="F122" s="22" t="s">
        <v>85</v>
      </c>
      <c r="G122" s="22" t="s">
        <v>86</v>
      </c>
      <c r="H122" s="23">
        <f>'CUOTA LICITADA'!F35</f>
        <v>2.8740020999999998</v>
      </c>
      <c r="I122" s="23">
        <f>'CUOTA LICITADA'!G35</f>
        <v>0</v>
      </c>
      <c r="J122" s="23">
        <f>'CUOTA LICITADA'!H35</f>
        <v>2.8740020999999998</v>
      </c>
      <c r="K122" s="23">
        <f>'CUOTA LICITADA'!I35</f>
        <v>0.19</v>
      </c>
      <c r="L122" s="23">
        <f>'CUOTA LICITADA'!J35</f>
        <v>2.6840020999999998</v>
      </c>
      <c r="M122" s="41">
        <f>'CUOTA LICITADA'!K35</f>
        <v>6.6109902981629692E-2</v>
      </c>
      <c r="N122" s="24" t="s">
        <v>92</v>
      </c>
      <c r="O122" s="24">
        <f>'RESUMEN '!$B$3</f>
        <v>44200</v>
      </c>
      <c r="P122" s="22">
        <v>2020</v>
      </c>
      <c r="Q122" s="22"/>
    </row>
    <row r="123" spans="1:17" x14ac:dyDescent="0.25">
      <c r="A123" s="22" t="s">
        <v>48</v>
      </c>
      <c r="B123" s="22" t="s">
        <v>82</v>
      </c>
      <c r="C123" s="22" t="s">
        <v>61</v>
      </c>
      <c r="D123" s="22" t="s">
        <v>97</v>
      </c>
      <c r="E123" s="22" t="str">
        <f>'CUOTA LICITADA'!C35</f>
        <v>ENFERMAR LTDA. SOC. PESQ.</v>
      </c>
      <c r="F123" s="22" t="s">
        <v>87</v>
      </c>
      <c r="G123" s="22" t="s">
        <v>88</v>
      </c>
      <c r="H123" s="23">
        <f>'CUOTA LICITADA'!F36</f>
        <v>0.31852920000000001</v>
      </c>
      <c r="I123" s="23">
        <f>'CUOTA LICITADA'!G36</f>
        <v>0</v>
      </c>
      <c r="J123" s="23">
        <f>'CUOTA LICITADA'!H36</f>
        <v>3.0025312999999998</v>
      </c>
      <c r="K123" s="23">
        <f>'CUOTA LICITADA'!I36</f>
        <v>0</v>
      </c>
      <c r="L123" s="23">
        <f>'CUOTA LICITADA'!J36</f>
        <v>3.0025312999999998</v>
      </c>
      <c r="M123" s="41">
        <f>'CUOTA LICITADA'!K36</f>
        <v>0</v>
      </c>
      <c r="N123" s="24" t="s">
        <v>92</v>
      </c>
      <c r="O123" s="24">
        <f>'RESUMEN '!$B$3</f>
        <v>44200</v>
      </c>
      <c r="P123" s="22">
        <v>2020</v>
      </c>
      <c r="Q123" s="22"/>
    </row>
    <row r="124" spans="1:17" x14ac:dyDescent="0.25">
      <c r="A124" s="22" t="s">
        <v>48</v>
      </c>
      <c r="B124" s="22" t="s">
        <v>82</v>
      </c>
      <c r="C124" s="22" t="s">
        <v>61</v>
      </c>
      <c r="D124" s="22" t="s">
        <v>97</v>
      </c>
      <c r="E124" s="22" t="str">
        <f>'CUOTA LICITADA'!C35</f>
        <v>ENFERMAR LTDA. SOC. PESQ.</v>
      </c>
      <c r="F124" s="22" t="s">
        <v>89</v>
      </c>
      <c r="G124" s="22" t="s">
        <v>88</v>
      </c>
      <c r="H124" s="23">
        <f>'CUOTA LICITADA'!L35</f>
        <v>3.1925312999999997</v>
      </c>
      <c r="I124" s="23">
        <f>'CUOTA LICITADA'!M35</f>
        <v>0</v>
      </c>
      <c r="J124" s="23">
        <f>'CUOTA LICITADA'!N35</f>
        <v>3.1925312999999997</v>
      </c>
      <c r="K124" s="23">
        <f>'CUOTA LICITADA'!O35</f>
        <v>0.19</v>
      </c>
      <c r="L124" s="23">
        <f>'CUOTA LICITADA'!P35</f>
        <v>3.0025312999999998</v>
      </c>
      <c r="M124" s="41">
        <f>'CUOTA LICITADA'!Q35</f>
        <v>5.9513903591172312E-2</v>
      </c>
      <c r="N124" s="24" t="s">
        <v>92</v>
      </c>
      <c r="O124" s="24">
        <f>'RESUMEN '!$B$3</f>
        <v>44200</v>
      </c>
      <c r="P124" s="22">
        <v>2020</v>
      </c>
      <c r="Q124" s="22"/>
    </row>
    <row r="125" spans="1:17" x14ac:dyDescent="0.25">
      <c r="A125" s="22" t="s">
        <v>48</v>
      </c>
      <c r="B125" s="22" t="s">
        <v>82</v>
      </c>
      <c r="C125" s="22" t="s">
        <v>61</v>
      </c>
      <c r="D125" s="22" t="s">
        <v>97</v>
      </c>
      <c r="E125" s="22" t="str">
        <f>'CUOTA LICITADA'!C37</f>
        <v>RUBIO Y MAUAD LTDA.</v>
      </c>
      <c r="F125" s="22" t="s">
        <v>85</v>
      </c>
      <c r="G125" s="22" t="s">
        <v>86</v>
      </c>
      <c r="H125" s="23">
        <f>'CUOTA LICITADA'!F37</f>
        <v>0</v>
      </c>
      <c r="I125" s="23">
        <f>'CUOTA LICITADA'!G37</f>
        <v>0</v>
      </c>
      <c r="J125" s="23">
        <f>'CUOTA LICITADA'!H37</f>
        <v>0</v>
      </c>
      <c r="K125" s="23">
        <f>'CUOTA LICITADA'!I37</f>
        <v>0</v>
      </c>
      <c r="L125" s="23">
        <f>'CUOTA LICITADA'!J37</f>
        <v>0</v>
      </c>
      <c r="M125" s="41" t="e">
        <f>'CUOTA LICITADA'!K37</f>
        <v>#DIV/0!</v>
      </c>
      <c r="N125" s="24" t="s">
        <v>92</v>
      </c>
      <c r="O125" s="24">
        <f>'RESUMEN '!$B$3</f>
        <v>44200</v>
      </c>
      <c r="P125" s="22">
        <v>2020</v>
      </c>
      <c r="Q125" s="22"/>
    </row>
    <row r="126" spans="1:17" x14ac:dyDescent="0.25">
      <c r="A126" s="22" t="s">
        <v>48</v>
      </c>
      <c r="B126" s="22" t="s">
        <v>82</v>
      </c>
      <c r="C126" s="22" t="s">
        <v>61</v>
      </c>
      <c r="D126" s="22" t="s">
        <v>97</v>
      </c>
      <c r="E126" s="22" t="str">
        <f>'CUOTA LICITADA'!C37</f>
        <v>RUBIO Y MAUAD LTDA.</v>
      </c>
      <c r="F126" s="22" t="s">
        <v>87</v>
      </c>
      <c r="G126" s="22" t="s">
        <v>88</v>
      </c>
      <c r="H126" s="23">
        <f>'CUOTA LICITADA'!F38</f>
        <v>0</v>
      </c>
      <c r="I126" s="23">
        <f>'CUOTA LICITADA'!G38</f>
        <v>0</v>
      </c>
      <c r="J126" s="23">
        <f>'CUOTA LICITADA'!H38</f>
        <v>0</v>
      </c>
      <c r="K126" s="23">
        <f>'CUOTA LICITADA'!I38</f>
        <v>0</v>
      </c>
      <c r="L126" s="23">
        <f>'CUOTA LICITADA'!J38</f>
        <v>0</v>
      </c>
      <c r="M126" s="41" t="e">
        <f>'CUOTA LICITADA'!K38</f>
        <v>#DIV/0!</v>
      </c>
      <c r="N126" s="24" t="s">
        <v>92</v>
      </c>
      <c r="O126" s="24">
        <f>'RESUMEN '!$B$3</f>
        <v>44200</v>
      </c>
      <c r="P126" s="22">
        <v>2020</v>
      </c>
      <c r="Q126" s="22"/>
    </row>
    <row r="127" spans="1:17" x14ac:dyDescent="0.25">
      <c r="A127" s="22" t="s">
        <v>48</v>
      </c>
      <c r="B127" s="22" t="s">
        <v>82</v>
      </c>
      <c r="C127" s="22" t="s">
        <v>61</v>
      </c>
      <c r="D127" s="22" t="s">
        <v>97</v>
      </c>
      <c r="E127" s="22" t="str">
        <f>'CUOTA LICITADA'!C37</f>
        <v>RUBIO Y MAUAD LTDA.</v>
      </c>
      <c r="F127" s="22" t="s">
        <v>89</v>
      </c>
      <c r="G127" s="22" t="s">
        <v>88</v>
      </c>
      <c r="H127" s="23">
        <f>'CUOTA LICITADA'!L37</f>
        <v>0</v>
      </c>
      <c r="I127" s="23">
        <f>'CUOTA LICITADA'!M37</f>
        <v>0</v>
      </c>
      <c r="J127" s="23">
        <f>'CUOTA LICITADA'!N37</f>
        <v>0</v>
      </c>
      <c r="K127" s="23">
        <f>'CUOTA LICITADA'!O37</f>
        <v>0</v>
      </c>
      <c r="L127" s="23">
        <f>'CUOTA LICITADA'!P37</f>
        <v>0</v>
      </c>
      <c r="M127" s="41">
        <f>'CUOTA LICITADA'!Q37</f>
        <v>0</v>
      </c>
      <c r="N127" s="24" t="s">
        <v>92</v>
      </c>
      <c r="O127" s="24">
        <f>'RESUMEN '!$B$3</f>
        <v>44200</v>
      </c>
      <c r="P127" s="22">
        <v>2020</v>
      </c>
      <c r="Q127" s="22"/>
    </row>
    <row r="128" spans="1:17" x14ac:dyDescent="0.25">
      <c r="A128" s="22" t="s">
        <v>48</v>
      </c>
      <c r="B128" s="22" t="s">
        <v>82</v>
      </c>
      <c r="C128" s="22" t="s">
        <v>62</v>
      </c>
      <c r="D128" s="22" t="s">
        <v>97</v>
      </c>
      <c r="E128" s="22" t="str">
        <f>'CUOTA LICITADA'!C39</f>
        <v>ANTARTIC SEAFOOD S.A.</v>
      </c>
      <c r="F128" s="22" t="s">
        <v>85</v>
      </c>
      <c r="G128" s="22" t="s">
        <v>86</v>
      </c>
      <c r="H128" s="23">
        <f>'CUOTA LICITADA'!F39</f>
        <v>88.367000000000004</v>
      </c>
      <c r="I128" s="23">
        <f>'CUOTA LICITADA'!G39</f>
        <v>-86.356999999999999</v>
      </c>
      <c r="J128" s="23">
        <f>'CUOTA LICITADA'!H39</f>
        <v>2.0100000000000051</v>
      </c>
      <c r="K128" s="23">
        <f>'CUOTA LICITADA'!I39</f>
        <v>0</v>
      </c>
      <c r="L128" s="23">
        <f>'CUOTA LICITADA'!J39</f>
        <v>2.0100000000000051</v>
      </c>
      <c r="M128" s="41">
        <f>'CUOTA LICITADA'!K39</f>
        <v>0</v>
      </c>
      <c r="N128" s="24" t="s">
        <v>92</v>
      </c>
      <c r="O128" s="24">
        <f>'RESUMEN '!$B$3</f>
        <v>44200</v>
      </c>
      <c r="P128" s="22">
        <v>2020</v>
      </c>
      <c r="Q128" s="22"/>
    </row>
    <row r="129" spans="1:17" x14ac:dyDescent="0.25">
      <c r="A129" s="22" t="s">
        <v>48</v>
      </c>
      <c r="B129" s="22" t="s">
        <v>82</v>
      </c>
      <c r="C129" s="22" t="s">
        <v>62</v>
      </c>
      <c r="D129" s="22" t="s">
        <v>97</v>
      </c>
      <c r="E129" s="22" t="str">
        <f>'CUOTA LICITADA'!C39</f>
        <v>ANTARTIC SEAFOOD S.A.</v>
      </c>
      <c r="F129" s="22" t="s">
        <v>87</v>
      </c>
      <c r="G129" s="22" t="s">
        <v>88</v>
      </c>
      <c r="H129" s="23">
        <f>'CUOTA LICITADA'!F40</f>
        <v>9.8388000000000009</v>
      </c>
      <c r="I129" s="23">
        <f>'CUOTA LICITADA'!G40</f>
        <v>0</v>
      </c>
      <c r="J129" s="23">
        <f>'CUOTA LICITADA'!H40</f>
        <v>11.848800000000006</v>
      </c>
      <c r="K129" s="23">
        <f>'CUOTA LICITADA'!I40</f>
        <v>11.114000000000001</v>
      </c>
      <c r="L129" s="23">
        <f>'CUOTA LICITADA'!J40</f>
        <v>0.73480000000000523</v>
      </c>
      <c r="M129" s="41">
        <f>'CUOTA LICITADA'!K40</f>
        <v>0.93798528120991109</v>
      </c>
      <c r="N129" s="24" t="s">
        <v>92</v>
      </c>
      <c r="O129" s="24">
        <f>'RESUMEN '!$B$3</f>
        <v>44200</v>
      </c>
      <c r="P129" s="22">
        <v>2020</v>
      </c>
      <c r="Q129" s="22"/>
    </row>
    <row r="130" spans="1:17" x14ac:dyDescent="0.25">
      <c r="A130" s="22" t="s">
        <v>48</v>
      </c>
      <c r="B130" s="22" t="s">
        <v>82</v>
      </c>
      <c r="C130" s="22" t="s">
        <v>62</v>
      </c>
      <c r="D130" s="22" t="s">
        <v>97</v>
      </c>
      <c r="E130" s="22" t="str">
        <f>'CUOTA LICITADA'!C39</f>
        <v>ANTARTIC SEAFOOD S.A.</v>
      </c>
      <c r="F130" s="22" t="s">
        <v>89</v>
      </c>
      <c r="G130" s="22" t="s">
        <v>88</v>
      </c>
      <c r="H130" s="23">
        <f>'CUOTA LICITADA'!L39</f>
        <v>98.205800000000011</v>
      </c>
      <c r="I130" s="23">
        <f>'CUOTA LICITADA'!M39</f>
        <v>-86.356999999999999</v>
      </c>
      <c r="J130" s="23">
        <f>'CUOTA LICITADA'!N39</f>
        <v>11.848800000000011</v>
      </c>
      <c r="K130" s="23">
        <f>'CUOTA LICITADA'!O39</f>
        <v>11.114000000000001</v>
      </c>
      <c r="L130" s="23">
        <f>'CUOTA LICITADA'!P39</f>
        <v>0.73480000000001056</v>
      </c>
      <c r="M130" s="41">
        <f>'CUOTA LICITADA'!Q39</f>
        <v>0.93798528120991076</v>
      </c>
      <c r="N130" s="24" t="s">
        <v>92</v>
      </c>
      <c r="O130" s="24">
        <f>'RESUMEN '!$B$3</f>
        <v>44200</v>
      </c>
      <c r="P130" s="22">
        <v>2020</v>
      </c>
      <c r="Q130" s="22"/>
    </row>
    <row r="131" spans="1:17" x14ac:dyDescent="0.25">
      <c r="A131" s="22" t="s">
        <v>48</v>
      </c>
      <c r="B131" s="22" t="s">
        <v>82</v>
      </c>
      <c r="C131" s="22" t="s">
        <v>62</v>
      </c>
      <c r="D131" s="22" t="s">
        <v>97</v>
      </c>
      <c r="E131" s="22" t="str">
        <f>'CUOTA LICITADA'!C41</f>
        <v>QUINTERO S.A. PESQ.</v>
      </c>
      <c r="F131" s="22" t="s">
        <v>85</v>
      </c>
      <c r="G131" s="22" t="s">
        <v>86</v>
      </c>
      <c r="H131" s="23">
        <f>'CUOTA LICITADA'!F41</f>
        <v>32.372973999999999</v>
      </c>
      <c r="I131" s="23">
        <f>'CUOTA LICITADA'!G41</f>
        <v>0</v>
      </c>
      <c r="J131" s="23">
        <f>'CUOTA LICITADA'!H41</f>
        <v>32.372973999999999</v>
      </c>
      <c r="K131" s="23">
        <f>'CUOTA LICITADA'!I41</f>
        <v>0.109</v>
      </c>
      <c r="L131" s="23">
        <f>'CUOTA LICITADA'!J41</f>
        <v>32.263973999999997</v>
      </c>
      <c r="M131" s="41">
        <f>'CUOTA LICITADA'!K41</f>
        <v>3.3670060711752958E-3</v>
      </c>
      <c r="N131" s="24" t="s">
        <v>92</v>
      </c>
      <c r="O131" s="24">
        <f>'RESUMEN '!$B$3</f>
        <v>44200</v>
      </c>
      <c r="P131" s="22">
        <v>2020</v>
      </c>
      <c r="Q131" s="22"/>
    </row>
    <row r="132" spans="1:17" x14ac:dyDescent="0.25">
      <c r="A132" s="22" t="s">
        <v>48</v>
      </c>
      <c r="B132" s="22" t="s">
        <v>82</v>
      </c>
      <c r="C132" s="22" t="s">
        <v>62</v>
      </c>
      <c r="D132" s="22" t="s">
        <v>97</v>
      </c>
      <c r="E132" s="22" t="str">
        <f>'CUOTA LICITADA'!C41</f>
        <v>QUINTERO S.A. PESQ.</v>
      </c>
      <c r="F132" s="22" t="s">
        <v>87</v>
      </c>
      <c r="G132" s="22" t="s">
        <v>88</v>
      </c>
      <c r="H132" s="23">
        <f>'CUOTA LICITADA'!F42</f>
        <v>3.6044136</v>
      </c>
      <c r="I132" s="23">
        <f>'CUOTA LICITADA'!G42</f>
        <v>0</v>
      </c>
      <c r="J132" s="23">
        <f>'CUOTA LICITADA'!H42</f>
        <v>35.868387599999998</v>
      </c>
      <c r="K132" s="23">
        <f>'CUOTA LICITADA'!I42</f>
        <v>1.7999999999999999E-2</v>
      </c>
      <c r="L132" s="23">
        <f>'CUOTA LICITADA'!J42</f>
        <v>35.850387599999998</v>
      </c>
      <c r="M132" s="41">
        <f>'CUOTA LICITADA'!K42</f>
        <v>5.0183465732370972E-4</v>
      </c>
      <c r="N132" s="24" t="s">
        <v>92</v>
      </c>
      <c r="O132" s="24">
        <f>'RESUMEN '!$B$3</f>
        <v>44200</v>
      </c>
      <c r="P132" s="22">
        <v>2020</v>
      </c>
      <c r="Q132" s="22"/>
    </row>
    <row r="133" spans="1:17" x14ac:dyDescent="0.25">
      <c r="A133" s="22" t="s">
        <v>48</v>
      </c>
      <c r="B133" s="22" t="s">
        <v>82</v>
      </c>
      <c r="C133" s="22" t="s">
        <v>62</v>
      </c>
      <c r="D133" s="22" t="s">
        <v>97</v>
      </c>
      <c r="E133" s="22" t="str">
        <f>'CUOTA LICITADA'!C41</f>
        <v>QUINTERO S.A. PESQ.</v>
      </c>
      <c r="F133" s="22" t="s">
        <v>89</v>
      </c>
      <c r="G133" s="22" t="s">
        <v>88</v>
      </c>
      <c r="H133" s="23">
        <f>'CUOTA LICITADA'!L41</f>
        <v>35.9773876</v>
      </c>
      <c r="I133" s="23">
        <f>'CUOTA LICITADA'!M41</f>
        <v>0</v>
      </c>
      <c r="J133" s="23">
        <f>'CUOTA LICITADA'!N41</f>
        <v>35.9773876</v>
      </c>
      <c r="K133" s="23">
        <f>'CUOTA LICITADA'!O41</f>
        <v>0.127</v>
      </c>
      <c r="L133" s="23">
        <f>'CUOTA LICITADA'!P41</f>
        <v>35.850387599999998</v>
      </c>
      <c r="M133" s="41">
        <f>'CUOTA LICITADA'!Q41</f>
        <v>3.5299950461105743E-3</v>
      </c>
      <c r="N133" s="24" t="s">
        <v>92</v>
      </c>
      <c r="O133" s="24">
        <f>'RESUMEN '!$B$3</f>
        <v>44200</v>
      </c>
      <c r="P133" s="22">
        <v>2020</v>
      </c>
      <c r="Q133" s="22"/>
    </row>
    <row r="134" spans="1:17" x14ac:dyDescent="0.25">
      <c r="A134" s="22" t="s">
        <v>48</v>
      </c>
      <c r="B134" s="22" t="s">
        <v>82</v>
      </c>
      <c r="C134" s="22" t="s">
        <v>62</v>
      </c>
      <c r="D134" s="22" t="s">
        <v>97</v>
      </c>
      <c r="E134" s="22" t="str">
        <f>'CUOTA LICITADA'!C43</f>
        <v>BRACPESCA S.A.</v>
      </c>
      <c r="F134" s="22" t="s">
        <v>85</v>
      </c>
      <c r="G134" s="22" t="s">
        <v>86</v>
      </c>
      <c r="H134" s="23">
        <f>'CUOTA LICITADA'!F43</f>
        <v>232.35903800000003</v>
      </c>
      <c r="I134" s="23">
        <f>'CUOTA LICITADA'!G43</f>
        <v>-180</v>
      </c>
      <c r="J134" s="23">
        <f>'CUOTA LICITADA'!H43</f>
        <v>52.359038000000027</v>
      </c>
      <c r="K134" s="23">
        <f>'CUOTA LICITADA'!I43</f>
        <v>16.861000000000001</v>
      </c>
      <c r="L134" s="23">
        <f>'CUOTA LICITADA'!J43</f>
        <v>35.498038000000022</v>
      </c>
      <c r="M134" s="41">
        <f>'CUOTA LICITADA'!K43</f>
        <v>0.32202654296284039</v>
      </c>
      <c r="N134" s="24" t="s">
        <v>92</v>
      </c>
      <c r="O134" s="24">
        <f>'RESUMEN '!$B$3</f>
        <v>44200</v>
      </c>
      <c r="P134" s="22">
        <v>2020</v>
      </c>
      <c r="Q134" s="22"/>
    </row>
    <row r="135" spans="1:17" x14ac:dyDescent="0.25">
      <c r="A135" s="22" t="s">
        <v>48</v>
      </c>
      <c r="B135" s="22" t="s">
        <v>82</v>
      </c>
      <c r="C135" s="22" t="s">
        <v>62</v>
      </c>
      <c r="D135" s="22" t="s">
        <v>97</v>
      </c>
      <c r="E135" s="22" t="str">
        <f>'CUOTA LICITADA'!C43</f>
        <v>BRACPESCA S.A.</v>
      </c>
      <c r="F135" s="22" t="s">
        <v>87</v>
      </c>
      <c r="G135" s="22" t="s">
        <v>88</v>
      </c>
      <c r="H135" s="23">
        <f>'CUOTA LICITADA'!F44</f>
        <v>25.870903200000001</v>
      </c>
      <c r="I135" s="23">
        <f>'CUOTA LICITADA'!G44</f>
        <v>0</v>
      </c>
      <c r="J135" s="23">
        <f>'CUOTA LICITADA'!H44</f>
        <v>61.368941200000023</v>
      </c>
      <c r="K135" s="23">
        <f>'CUOTA LICITADA'!I44</f>
        <v>60.021999999999998</v>
      </c>
      <c r="L135" s="23">
        <f>'CUOTA LICITADA'!J44</f>
        <v>1.3469412000000247</v>
      </c>
      <c r="M135" s="41">
        <f>'CUOTA LICITADA'!K44</f>
        <v>0.97805174451991317</v>
      </c>
      <c r="N135" s="24" t="s">
        <v>92</v>
      </c>
      <c r="O135" s="24">
        <f>'RESUMEN '!$B$3</f>
        <v>44200</v>
      </c>
      <c r="P135" s="22">
        <v>2020</v>
      </c>
      <c r="Q135" s="22"/>
    </row>
    <row r="136" spans="1:17" x14ac:dyDescent="0.25">
      <c r="A136" s="22" t="s">
        <v>48</v>
      </c>
      <c r="B136" s="22" t="s">
        <v>82</v>
      </c>
      <c r="C136" s="22" t="s">
        <v>62</v>
      </c>
      <c r="D136" s="22" t="s">
        <v>97</v>
      </c>
      <c r="E136" s="22" t="str">
        <f>'CUOTA LICITADA'!C43</f>
        <v>BRACPESCA S.A.</v>
      </c>
      <c r="F136" s="22" t="s">
        <v>89</v>
      </c>
      <c r="G136" s="22" t="s">
        <v>88</v>
      </c>
      <c r="H136" s="23">
        <f>'CUOTA LICITADA'!L43</f>
        <v>258.22994120000004</v>
      </c>
      <c r="I136" s="23">
        <f>'CUOTA LICITADA'!M43</f>
        <v>-180</v>
      </c>
      <c r="J136" s="23">
        <f>'CUOTA LICITADA'!N43</f>
        <v>78.229941200000042</v>
      </c>
      <c r="K136" s="23">
        <f>'CUOTA LICITADA'!O43</f>
        <v>76.882999999999996</v>
      </c>
      <c r="L136" s="23">
        <f>'CUOTA LICITADA'!P43</f>
        <v>1.346941200000046</v>
      </c>
      <c r="M136" s="41">
        <f>'CUOTA LICITADA'!Q43</f>
        <v>0.98278228029653636</v>
      </c>
      <c r="N136" s="24" t="s">
        <v>92</v>
      </c>
      <c r="O136" s="24">
        <f>'RESUMEN '!$B$3</f>
        <v>44200</v>
      </c>
      <c r="P136" s="22">
        <v>2020</v>
      </c>
      <c r="Q136" s="22"/>
    </row>
    <row r="137" spans="1:17" x14ac:dyDescent="0.25">
      <c r="A137" s="22" t="s">
        <v>48</v>
      </c>
      <c r="B137" s="22" t="s">
        <v>82</v>
      </c>
      <c r="C137" s="22" t="s">
        <v>62</v>
      </c>
      <c r="D137" s="22" t="s">
        <v>97</v>
      </c>
      <c r="E137" s="22" t="str">
        <f>'CUOTA LICITADA'!C45</f>
        <v>CAMANCHACA PESCA SUR S.A.</v>
      </c>
      <c r="F137" s="22" t="s">
        <v>85</v>
      </c>
      <c r="G137" s="22" t="s">
        <v>86</v>
      </c>
      <c r="H137" s="23">
        <f>'CUOTA LICITADA'!F45</f>
        <v>282.50528223000003</v>
      </c>
      <c r="I137" s="23">
        <f>'CUOTA LICITADA'!G45</f>
        <v>293.19920000000002</v>
      </c>
      <c r="J137" s="23">
        <f>'CUOTA LICITADA'!H45</f>
        <v>575.70448223000005</v>
      </c>
      <c r="K137" s="23">
        <f>'CUOTA LICITADA'!I45</f>
        <v>344.21</v>
      </c>
      <c r="L137" s="23">
        <f>'CUOTA LICITADA'!J45</f>
        <v>231.49448223000007</v>
      </c>
      <c r="M137" s="41">
        <f>'CUOTA LICITADA'!K45</f>
        <v>0.59789355585125425</v>
      </c>
      <c r="N137" s="24" t="s">
        <v>92</v>
      </c>
      <c r="O137" s="24">
        <f>'RESUMEN '!$B$3</f>
        <v>44200</v>
      </c>
      <c r="P137" s="22">
        <v>2020</v>
      </c>
      <c r="Q137" s="22"/>
    </row>
    <row r="138" spans="1:17" x14ac:dyDescent="0.25">
      <c r="A138" s="22" t="s">
        <v>48</v>
      </c>
      <c r="B138" s="22" t="s">
        <v>82</v>
      </c>
      <c r="C138" s="22" t="s">
        <v>62</v>
      </c>
      <c r="D138" s="22" t="s">
        <v>97</v>
      </c>
      <c r="E138" s="22" t="str">
        <f>'CUOTA LICITADA'!C45</f>
        <v>CAMANCHACA PESCA SUR S.A.</v>
      </c>
      <c r="F138" s="22" t="s">
        <v>87</v>
      </c>
      <c r="G138" s="22" t="s">
        <v>88</v>
      </c>
      <c r="H138" s="23">
        <f>'CUOTA LICITADA'!F46</f>
        <v>31.454196372000002</v>
      </c>
      <c r="I138" s="23">
        <f>'CUOTA LICITADA'!G46</f>
        <v>38.654200000000003</v>
      </c>
      <c r="J138" s="23">
        <f>'CUOTA LICITADA'!H46</f>
        <v>301.60287860200009</v>
      </c>
      <c r="K138" s="23">
        <f>'CUOTA LICITADA'!I46</f>
        <v>300.05200000000002</v>
      </c>
      <c r="L138" s="23">
        <f>'CUOTA LICITADA'!J46</f>
        <v>1.5508786020000684</v>
      </c>
      <c r="M138" s="41">
        <f>'CUOTA LICITADA'!K46</f>
        <v>0.99485787864761521</v>
      </c>
      <c r="N138" s="24" t="s">
        <v>92</v>
      </c>
      <c r="O138" s="24">
        <f>'RESUMEN '!$B$3</f>
        <v>44200</v>
      </c>
      <c r="P138" s="22">
        <v>2020</v>
      </c>
      <c r="Q138" s="22"/>
    </row>
    <row r="139" spans="1:17" x14ac:dyDescent="0.25">
      <c r="A139" s="22" t="s">
        <v>48</v>
      </c>
      <c r="B139" s="22" t="s">
        <v>82</v>
      </c>
      <c r="C139" s="22" t="s">
        <v>62</v>
      </c>
      <c r="D139" s="22" t="s">
        <v>97</v>
      </c>
      <c r="E139" s="22" t="str">
        <f>'CUOTA LICITADA'!C45</f>
        <v>CAMANCHACA PESCA SUR S.A.</v>
      </c>
      <c r="F139" s="22" t="s">
        <v>89</v>
      </c>
      <c r="G139" s="22" t="s">
        <v>88</v>
      </c>
      <c r="H139" s="23">
        <f>'CUOTA LICITADA'!L45</f>
        <v>313.95947860200005</v>
      </c>
      <c r="I139" s="23">
        <f>'CUOTA LICITADA'!M45</f>
        <v>331.85340000000002</v>
      </c>
      <c r="J139" s="23">
        <f>'CUOTA LICITADA'!N45</f>
        <v>645.81287860200007</v>
      </c>
      <c r="K139" s="23">
        <f>'CUOTA LICITADA'!O45</f>
        <v>644.26199999999994</v>
      </c>
      <c r="L139" s="23">
        <f>'CUOTA LICITADA'!P45</f>
        <v>1.5508786020001253</v>
      </c>
      <c r="M139" s="41">
        <f>'CUOTA LICITADA'!Q45</f>
        <v>0.99759856352608312</v>
      </c>
      <c r="N139" s="24" t="s">
        <v>92</v>
      </c>
      <c r="O139" s="24">
        <f>'RESUMEN '!$B$3</f>
        <v>44200</v>
      </c>
      <c r="P139" s="22">
        <v>2020</v>
      </c>
      <c r="Q139" s="22"/>
    </row>
    <row r="140" spans="1:17" x14ac:dyDescent="0.25">
      <c r="A140" s="22" t="s">
        <v>48</v>
      </c>
      <c r="B140" s="22" t="s">
        <v>82</v>
      </c>
      <c r="C140" s="22" t="s">
        <v>62</v>
      </c>
      <c r="D140" s="22" t="s">
        <v>97</v>
      </c>
      <c r="E140" s="22" t="str">
        <f>'CUOTA LICITADA'!C47</f>
        <v>ANTONIO CRUZ CORDOVA NAKOUZI E.I.R.L.</v>
      </c>
      <c r="F140" s="22" t="s">
        <v>85</v>
      </c>
      <c r="G140" s="22" t="s">
        <v>86</v>
      </c>
      <c r="H140" s="23">
        <f>'CUOTA LICITADA'!F47</f>
        <v>2.6070884000000003</v>
      </c>
      <c r="I140" s="23">
        <f>'CUOTA LICITADA'!G47</f>
        <v>0</v>
      </c>
      <c r="J140" s="23">
        <f>'CUOTA LICITADA'!H47</f>
        <v>2.6070884000000003</v>
      </c>
      <c r="K140" s="23">
        <f>'CUOTA LICITADA'!I47</f>
        <v>0</v>
      </c>
      <c r="L140" s="23">
        <f>'CUOTA LICITADA'!J47</f>
        <v>2.6070884000000003</v>
      </c>
      <c r="M140" s="41">
        <f>'CUOTA LICITADA'!K47</f>
        <v>0</v>
      </c>
      <c r="N140" s="24" t="s">
        <v>92</v>
      </c>
      <c r="O140" s="24">
        <f>'RESUMEN '!$B$3</f>
        <v>44200</v>
      </c>
      <c r="P140" s="22">
        <v>2020</v>
      </c>
      <c r="Q140" s="22"/>
    </row>
    <row r="141" spans="1:17" x14ac:dyDescent="0.25">
      <c r="A141" s="22" t="s">
        <v>48</v>
      </c>
      <c r="B141" s="22" t="s">
        <v>82</v>
      </c>
      <c r="C141" s="22" t="s">
        <v>62</v>
      </c>
      <c r="D141" s="22" t="s">
        <v>97</v>
      </c>
      <c r="E141" s="22" t="str">
        <f>'CUOTA LICITADA'!C47</f>
        <v>ANTONIO CRUZ CORDOVA NAKOUZI E.I.R.L.</v>
      </c>
      <c r="F141" s="22" t="s">
        <v>87</v>
      </c>
      <c r="G141" s="22" t="s">
        <v>88</v>
      </c>
      <c r="H141" s="23">
        <f>'CUOTA LICITADA'!F48</f>
        <v>0.29027376000000005</v>
      </c>
      <c r="I141" s="23">
        <f>'CUOTA LICITADA'!G48</f>
        <v>0</v>
      </c>
      <c r="J141" s="23">
        <f>'CUOTA LICITADA'!H48</f>
        <v>2.8973621600000001</v>
      </c>
      <c r="K141" s="23">
        <f>'CUOTA LICITADA'!I48</f>
        <v>0</v>
      </c>
      <c r="L141" s="23">
        <f>'CUOTA LICITADA'!J48</f>
        <v>2.8973621600000001</v>
      </c>
      <c r="M141" s="41">
        <f>'CUOTA LICITADA'!K48</f>
        <v>0</v>
      </c>
      <c r="N141" s="24" t="s">
        <v>92</v>
      </c>
      <c r="O141" s="24">
        <f>'RESUMEN '!$B$3</f>
        <v>44200</v>
      </c>
      <c r="P141" s="22">
        <v>2020</v>
      </c>
      <c r="Q141" s="22"/>
    </row>
    <row r="142" spans="1:17" x14ac:dyDescent="0.25">
      <c r="A142" s="22" t="s">
        <v>48</v>
      </c>
      <c r="B142" s="22" t="s">
        <v>82</v>
      </c>
      <c r="C142" s="22" t="s">
        <v>62</v>
      </c>
      <c r="D142" s="22" t="s">
        <v>97</v>
      </c>
      <c r="E142" s="22" t="str">
        <f>'CUOTA LICITADA'!C47</f>
        <v>ANTONIO CRUZ CORDOVA NAKOUZI E.I.R.L.</v>
      </c>
      <c r="F142" s="22" t="s">
        <v>89</v>
      </c>
      <c r="G142" s="22" t="s">
        <v>88</v>
      </c>
      <c r="H142" s="23">
        <f>'CUOTA LICITADA'!L47</f>
        <v>2.8973621600000001</v>
      </c>
      <c r="I142" s="23">
        <f>'CUOTA LICITADA'!M47</f>
        <v>0</v>
      </c>
      <c r="J142" s="23">
        <f>'CUOTA LICITADA'!N47</f>
        <v>2.8973621600000001</v>
      </c>
      <c r="K142" s="23">
        <f>'CUOTA LICITADA'!O47</f>
        <v>0</v>
      </c>
      <c r="L142" s="23">
        <f>'CUOTA LICITADA'!P47</f>
        <v>2.8973621600000001</v>
      </c>
      <c r="M142" s="41">
        <f>'CUOTA LICITADA'!Q47</f>
        <v>0</v>
      </c>
      <c r="N142" s="24" t="s">
        <v>92</v>
      </c>
      <c r="O142" s="24">
        <f>'RESUMEN '!$B$3</f>
        <v>44200</v>
      </c>
      <c r="P142" s="22">
        <v>2020</v>
      </c>
      <c r="Q142" s="22"/>
    </row>
    <row r="143" spans="1:17" x14ac:dyDescent="0.25">
      <c r="A143" s="22" t="s">
        <v>48</v>
      </c>
      <c r="B143" s="22" t="s">
        <v>82</v>
      </c>
      <c r="C143" s="22" t="s">
        <v>62</v>
      </c>
      <c r="D143" s="22" t="s">
        <v>97</v>
      </c>
      <c r="E143" s="22" t="str">
        <f>'CUOTA LICITADA'!C49</f>
        <v>GRIMAR S.A. PESQ.</v>
      </c>
      <c r="F143" s="22" t="s">
        <v>85</v>
      </c>
      <c r="G143" s="22" t="s">
        <v>86</v>
      </c>
      <c r="H143" s="23">
        <f>'CUOTA LICITADA'!F49</f>
        <v>7.7600000000000002E-2</v>
      </c>
      <c r="I143" s="23">
        <f>'CUOTA LICITADA'!G49</f>
        <v>0</v>
      </c>
      <c r="J143" s="23">
        <f>'CUOTA LICITADA'!H49</f>
        <v>7.7600000000000002E-2</v>
      </c>
      <c r="K143" s="23">
        <f>'CUOTA LICITADA'!I49</f>
        <v>0</v>
      </c>
      <c r="L143" s="23">
        <f>'CUOTA LICITADA'!J49</f>
        <v>7.7600000000000002E-2</v>
      </c>
      <c r="M143" s="41">
        <f>'CUOTA LICITADA'!K49</f>
        <v>0</v>
      </c>
      <c r="N143" s="24" t="s">
        <v>92</v>
      </c>
      <c r="O143" s="24">
        <f>'RESUMEN '!$B$3</f>
        <v>44200</v>
      </c>
      <c r="P143" s="22">
        <v>2020</v>
      </c>
      <c r="Q143" s="22"/>
    </row>
    <row r="144" spans="1:17" x14ac:dyDescent="0.25">
      <c r="A144" s="22" t="s">
        <v>48</v>
      </c>
      <c r="B144" s="22" t="s">
        <v>82</v>
      </c>
      <c r="C144" s="22" t="s">
        <v>62</v>
      </c>
      <c r="D144" s="22" t="s">
        <v>97</v>
      </c>
      <c r="E144" s="22" t="str">
        <f>'CUOTA LICITADA'!C49</f>
        <v>GRIMAR S.A. PESQ.</v>
      </c>
      <c r="F144" s="22" t="s">
        <v>87</v>
      </c>
      <c r="G144" s="22" t="s">
        <v>88</v>
      </c>
      <c r="H144" s="23">
        <f>'CUOTA LICITADA'!F50</f>
        <v>8.6400000000000001E-3</v>
      </c>
      <c r="I144" s="23">
        <f>'CUOTA LICITADA'!G50</f>
        <v>0</v>
      </c>
      <c r="J144" s="23">
        <f>'CUOTA LICITADA'!H50</f>
        <v>8.6239999999999997E-2</v>
      </c>
      <c r="K144" s="23">
        <f>'CUOTA LICITADA'!I50</f>
        <v>0</v>
      </c>
      <c r="L144" s="23">
        <f>'CUOTA LICITADA'!J50</f>
        <v>8.6239999999999997E-2</v>
      </c>
      <c r="M144" s="41">
        <f>'CUOTA LICITADA'!K50</f>
        <v>0</v>
      </c>
      <c r="N144" s="24" t="s">
        <v>92</v>
      </c>
      <c r="O144" s="24">
        <f>'RESUMEN '!$B$3</f>
        <v>44200</v>
      </c>
      <c r="P144" s="22">
        <v>2020</v>
      </c>
      <c r="Q144" s="22"/>
    </row>
    <row r="145" spans="1:17" x14ac:dyDescent="0.25">
      <c r="A145" s="22" t="s">
        <v>48</v>
      </c>
      <c r="B145" s="22" t="s">
        <v>82</v>
      </c>
      <c r="C145" s="22" t="s">
        <v>62</v>
      </c>
      <c r="D145" s="22" t="s">
        <v>97</v>
      </c>
      <c r="E145" s="22" t="str">
        <f>'CUOTA LICITADA'!C49</f>
        <v>GRIMAR S.A. PESQ.</v>
      </c>
      <c r="F145" s="22" t="s">
        <v>89</v>
      </c>
      <c r="G145" s="22" t="s">
        <v>88</v>
      </c>
      <c r="H145" s="23">
        <f>'CUOTA LICITADA'!L49</f>
        <v>8.6239999999999997E-2</v>
      </c>
      <c r="I145" s="23">
        <f>'CUOTA LICITADA'!M49</f>
        <v>0</v>
      </c>
      <c r="J145" s="23">
        <f>'CUOTA LICITADA'!N49</f>
        <v>8.6239999999999997E-2</v>
      </c>
      <c r="K145" s="23">
        <f>'CUOTA LICITADA'!O49</f>
        <v>0</v>
      </c>
      <c r="L145" s="23">
        <f>'CUOTA LICITADA'!P49</f>
        <v>8.6239999999999997E-2</v>
      </c>
      <c r="M145" s="41">
        <f>'CUOTA LICITADA'!Q49</f>
        <v>0</v>
      </c>
      <c r="N145" s="24" t="s">
        <v>92</v>
      </c>
      <c r="O145" s="24">
        <f>'RESUMEN '!$B$3</f>
        <v>44200</v>
      </c>
      <c r="P145" s="22">
        <v>2020</v>
      </c>
      <c r="Q145" s="22"/>
    </row>
    <row r="146" spans="1:17" x14ac:dyDescent="0.25">
      <c r="A146" s="22" t="s">
        <v>48</v>
      </c>
      <c r="B146" s="22" t="s">
        <v>82</v>
      </c>
      <c r="C146" s="22" t="s">
        <v>62</v>
      </c>
      <c r="D146" s="22" t="s">
        <v>97</v>
      </c>
      <c r="E146" s="22" t="str">
        <f>'CUOTA LICITADA'!C51</f>
        <v>ISLADAMAS S.A. PESQ.</v>
      </c>
      <c r="F146" s="22" t="s">
        <v>85</v>
      </c>
      <c r="G146" s="22" t="s">
        <v>86</v>
      </c>
      <c r="H146" s="23">
        <f>'CUOTA LICITADA'!F51</f>
        <v>180.17381399999999</v>
      </c>
      <c r="I146" s="23">
        <f>'CUOTA LICITADA'!G51</f>
        <v>0</v>
      </c>
      <c r="J146" s="23">
        <f>'CUOTA LICITADA'!H51</f>
        <v>180.17381399999999</v>
      </c>
      <c r="K146" s="23">
        <f>'CUOTA LICITADA'!I51</f>
        <v>150.21799999999999</v>
      </c>
      <c r="L146" s="23">
        <f>'CUOTA LICITADA'!J51</f>
        <v>29.955814000000004</v>
      </c>
      <c r="M146" s="41">
        <f>'CUOTA LICITADA'!K51</f>
        <v>0.83373935792911613</v>
      </c>
      <c r="N146" s="24" t="s">
        <v>92</v>
      </c>
      <c r="O146" s="24">
        <f>'RESUMEN '!$B$3</f>
        <v>44200</v>
      </c>
      <c r="P146" s="22">
        <v>2020</v>
      </c>
      <c r="Q146" s="22"/>
    </row>
    <row r="147" spans="1:17" x14ac:dyDescent="0.25">
      <c r="A147" s="22" t="s">
        <v>48</v>
      </c>
      <c r="B147" s="22" t="s">
        <v>82</v>
      </c>
      <c r="C147" s="22" t="s">
        <v>62</v>
      </c>
      <c r="D147" s="22" t="s">
        <v>97</v>
      </c>
      <c r="E147" s="22" t="str">
        <f>'CUOTA LICITADA'!C51</f>
        <v>ISLADAMAS S.A. PESQ.</v>
      </c>
      <c r="F147" s="22" t="s">
        <v>87</v>
      </c>
      <c r="G147" s="22" t="s">
        <v>88</v>
      </c>
      <c r="H147" s="23">
        <f>'CUOTA LICITADA'!F52</f>
        <v>20.0605896</v>
      </c>
      <c r="I147" s="23">
        <f>'CUOTA LICITADA'!G52</f>
        <v>0</v>
      </c>
      <c r="J147" s="23">
        <f>'CUOTA LICITADA'!H52</f>
        <v>50.016403600000004</v>
      </c>
      <c r="K147" s="23">
        <f>'CUOTA LICITADA'!I52</f>
        <v>26.16</v>
      </c>
      <c r="L147" s="23">
        <f>'CUOTA LICITADA'!J52</f>
        <v>23.856403600000004</v>
      </c>
      <c r="M147" s="41">
        <f>'CUOTA LICITADA'!K52</f>
        <v>0.52302840902379466</v>
      </c>
      <c r="N147" s="24" t="s">
        <v>92</v>
      </c>
      <c r="O147" s="24">
        <f>'RESUMEN '!$B$3</f>
        <v>44200</v>
      </c>
      <c r="P147" s="22">
        <v>2020</v>
      </c>
      <c r="Q147" s="22"/>
    </row>
    <row r="148" spans="1:17" x14ac:dyDescent="0.25">
      <c r="A148" s="22" t="s">
        <v>48</v>
      </c>
      <c r="B148" s="22" t="s">
        <v>82</v>
      </c>
      <c r="C148" s="22" t="s">
        <v>62</v>
      </c>
      <c r="D148" s="22" t="s">
        <v>97</v>
      </c>
      <c r="E148" s="22" t="str">
        <f>'CUOTA LICITADA'!C51</f>
        <v>ISLADAMAS S.A. PESQ.</v>
      </c>
      <c r="F148" s="22" t="s">
        <v>89</v>
      </c>
      <c r="G148" s="22" t="s">
        <v>88</v>
      </c>
      <c r="H148" s="23">
        <f>'CUOTA LICITADA'!L51</f>
        <v>200.23440360000001</v>
      </c>
      <c r="I148" s="23">
        <f>'CUOTA LICITADA'!M51</f>
        <v>0</v>
      </c>
      <c r="J148" s="23">
        <f>'CUOTA LICITADA'!N51</f>
        <v>200.23440360000001</v>
      </c>
      <c r="K148" s="23">
        <f>'CUOTA LICITADA'!O51</f>
        <v>176.37799999999999</v>
      </c>
      <c r="L148" s="23">
        <f>'CUOTA LICITADA'!P51</f>
        <v>23.856403600000021</v>
      </c>
      <c r="M148" s="41">
        <f>'CUOTA LICITADA'!Q51</f>
        <v>0.88085761901507709</v>
      </c>
      <c r="N148" s="24" t="s">
        <v>92</v>
      </c>
      <c r="O148" s="24">
        <f>'RESUMEN '!$B$3</f>
        <v>44200</v>
      </c>
      <c r="P148" s="22">
        <v>2020</v>
      </c>
      <c r="Q148" s="22"/>
    </row>
    <row r="149" spans="1:17" x14ac:dyDescent="0.25">
      <c r="A149" s="22" t="s">
        <v>48</v>
      </c>
      <c r="B149" s="22" t="s">
        <v>82</v>
      </c>
      <c r="C149" s="22" t="s">
        <v>62</v>
      </c>
      <c r="D149" s="22" t="s">
        <v>97</v>
      </c>
      <c r="E149" s="22" t="str">
        <f>'CUOTA LICITADA'!C53</f>
        <v>LANDES S.A. PESQ.</v>
      </c>
      <c r="F149" s="22" t="s">
        <v>85</v>
      </c>
      <c r="G149" s="22" t="s">
        <v>86</v>
      </c>
      <c r="H149" s="23">
        <f>'CUOTA LICITADA'!F53</f>
        <v>0.97</v>
      </c>
      <c r="I149" s="23">
        <f>'CUOTA LICITADA'!G53</f>
        <v>0</v>
      </c>
      <c r="J149" s="23">
        <f>'CUOTA LICITADA'!H53</f>
        <v>0.97</v>
      </c>
      <c r="K149" s="23">
        <f>'CUOTA LICITADA'!I53</f>
        <v>0</v>
      </c>
      <c r="L149" s="23">
        <f>'CUOTA LICITADA'!J53</f>
        <v>0.97</v>
      </c>
      <c r="M149" s="41">
        <f>'CUOTA LICITADA'!K53</f>
        <v>0</v>
      </c>
      <c r="N149" s="24" t="s">
        <v>92</v>
      </c>
      <c r="O149" s="24">
        <f>'RESUMEN '!$B$3</f>
        <v>44200</v>
      </c>
      <c r="P149" s="22">
        <v>2020</v>
      </c>
      <c r="Q149" s="22"/>
    </row>
    <row r="150" spans="1:17" x14ac:dyDescent="0.25">
      <c r="A150" s="22" t="s">
        <v>48</v>
      </c>
      <c r="B150" s="22" t="s">
        <v>82</v>
      </c>
      <c r="C150" s="22" t="s">
        <v>62</v>
      </c>
      <c r="D150" s="22" t="s">
        <v>97</v>
      </c>
      <c r="E150" s="22" t="str">
        <f>'CUOTA LICITADA'!C53</f>
        <v>LANDES S.A. PESQ.</v>
      </c>
      <c r="F150" s="22" t="s">
        <v>87</v>
      </c>
      <c r="G150" s="22" t="s">
        <v>88</v>
      </c>
      <c r="H150" s="23">
        <f>'CUOTA LICITADA'!F54</f>
        <v>0.108</v>
      </c>
      <c r="I150" s="23">
        <f>'CUOTA LICITADA'!G54</f>
        <v>0</v>
      </c>
      <c r="J150" s="23">
        <f>'CUOTA LICITADA'!H54</f>
        <v>1.0780000000000001</v>
      </c>
      <c r="K150" s="23">
        <f>'CUOTA LICITADA'!I54</f>
        <v>3.9E-2</v>
      </c>
      <c r="L150" s="23">
        <f>'CUOTA LICITADA'!J54</f>
        <v>1.0390000000000001</v>
      </c>
      <c r="M150" s="41">
        <f>'CUOTA LICITADA'!K54</f>
        <v>3.6178107606679034E-2</v>
      </c>
      <c r="N150" s="24" t="s">
        <v>92</v>
      </c>
      <c r="O150" s="24">
        <f>'RESUMEN '!$B$3</f>
        <v>44200</v>
      </c>
      <c r="P150" s="22">
        <v>2020</v>
      </c>
      <c r="Q150" s="22"/>
    </row>
    <row r="151" spans="1:17" x14ac:dyDescent="0.25">
      <c r="A151" s="22" t="s">
        <v>48</v>
      </c>
      <c r="B151" s="22" t="s">
        <v>82</v>
      </c>
      <c r="C151" s="22" t="s">
        <v>62</v>
      </c>
      <c r="D151" s="22" t="s">
        <v>97</v>
      </c>
      <c r="E151" s="22" t="str">
        <f>'CUOTA LICITADA'!C53</f>
        <v>LANDES S.A. PESQ.</v>
      </c>
      <c r="F151" s="22" t="s">
        <v>89</v>
      </c>
      <c r="G151" s="22" t="s">
        <v>88</v>
      </c>
      <c r="H151" s="23">
        <f>'CUOTA LICITADA'!L53</f>
        <v>1.0780000000000001</v>
      </c>
      <c r="I151" s="23">
        <f>'CUOTA LICITADA'!M53</f>
        <v>0</v>
      </c>
      <c r="J151" s="23">
        <f>'CUOTA LICITADA'!N53</f>
        <v>1.0780000000000001</v>
      </c>
      <c r="K151" s="23">
        <f>'CUOTA LICITADA'!O53</f>
        <v>3.9E-2</v>
      </c>
      <c r="L151" s="23">
        <f>'CUOTA LICITADA'!P53</f>
        <v>1.0390000000000001</v>
      </c>
      <c r="M151" s="41">
        <f>'CUOTA LICITADA'!Q53</f>
        <v>3.6178107606679034E-2</v>
      </c>
      <c r="N151" s="24" t="s">
        <v>92</v>
      </c>
      <c r="O151" s="24">
        <f>'RESUMEN '!$B$3</f>
        <v>44200</v>
      </c>
      <c r="P151" s="22">
        <v>2020</v>
      </c>
      <c r="Q151" s="22"/>
    </row>
    <row r="152" spans="1:17" x14ac:dyDescent="0.25">
      <c r="A152" s="22" t="s">
        <v>48</v>
      </c>
      <c r="B152" s="22" t="s">
        <v>82</v>
      </c>
      <c r="C152" s="22" t="s">
        <v>62</v>
      </c>
      <c r="D152" s="22" t="s">
        <v>97</v>
      </c>
      <c r="E152" s="22" t="str">
        <f>'CUOTA LICITADA'!C55</f>
        <v>ZUÑIGA ROMERO GONZALO</v>
      </c>
      <c r="F152" s="22" t="s">
        <v>85</v>
      </c>
      <c r="G152" s="22" t="s">
        <v>86</v>
      </c>
      <c r="H152" s="23">
        <f>'CUOTA LICITADA'!F55</f>
        <v>2.5025999999999996E-2</v>
      </c>
      <c r="I152" s="23">
        <f>'CUOTA LICITADA'!G55</f>
        <v>0</v>
      </c>
      <c r="J152" s="23">
        <f>'CUOTA LICITADA'!H55</f>
        <v>2.5025999999999996E-2</v>
      </c>
      <c r="K152" s="23">
        <f>'CUOTA LICITADA'!I55</f>
        <v>0</v>
      </c>
      <c r="L152" s="23">
        <f>'CUOTA LICITADA'!J55</f>
        <v>2.5025999999999996E-2</v>
      </c>
      <c r="M152" s="41">
        <f>'CUOTA LICITADA'!K55</f>
        <v>0</v>
      </c>
      <c r="N152" s="24" t="s">
        <v>92</v>
      </c>
      <c r="O152" s="24">
        <f>'RESUMEN '!$B$3</f>
        <v>44200</v>
      </c>
      <c r="P152" s="22">
        <v>2020</v>
      </c>
      <c r="Q152" s="22"/>
    </row>
    <row r="153" spans="1:17" x14ac:dyDescent="0.25">
      <c r="A153" s="22" t="s">
        <v>48</v>
      </c>
      <c r="B153" s="22" t="s">
        <v>82</v>
      </c>
      <c r="C153" s="22" t="s">
        <v>62</v>
      </c>
      <c r="D153" s="22" t="s">
        <v>97</v>
      </c>
      <c r="E153" s="22" t="str">
        <f>'CUOTA LICITADA'!C55</f>
        <v>ZUÑIGA ROMERO GONZALO</v>
      </c>
      <c r="F153" s="22" t="s">
        <v>87</v>
      </c>
      <c r="G153" s="22" t="s">
        <v>88</v>
      </c>
      <c r="H153" s="23">
        <f>'CUOTA LICITADA'!F56</f>
        <v>2.7863999999999996E-3</v>
      </c>
      <c r="I153" s="23">
        <f>'CUOTA LICITADA'!G56</f>
        <v>0</v>
      </c>
      <c r="J153" s="23">
        <f>'CUOTA LICITADA'!H56</f>
        <v>2.7812399999999994E-2</v>
      </c>
      <c r="K153" s="23">
        <f>'CUOTA LICITADA'!I56</f>
        <v>0</v>
      </c>
      <c r="L153" s="23">
        <f>'CUOTA LICITADA'!J56</f>
        <v>2.7812399999999994E-2</v>
      </c>
      <c r="M153" s="41">
        <f>'CUOTA LICITADA'!K56</f>
        <v>0</v>
      </c>
      <c r="N153" s="24" t="s">
        <v>92</v>
      </c>
      <c r="O153" s="24">
        <f>'RESUMEN '!$B$3</f>
        <v>44200</v>
      </c>
      <c r="P153" s="22">
        <v>2020</v>
      </c>
      <c r="Q153" s="22"/>
    </row>
    <row r="154" spans="1:17" x14ac:dyDescent="0.25">
      <c r="A154" s="22" t="s">
        <v>48</v>
      </c>
      <c r="B154" s="22" t="s">
        <v>82</v>
      </c>
      <c r="C154" s="22" t="s">
        <v>62</v>
      </c>
      <c r="D154" s="22" t="s">
        <v>97</v>
      </c>
      <c r="E154" s="22" t="str">
        <f>'CUOTA LICITADA'!C55</f>
        <v>ZUÑIGA ROMERO GONZALO</v>
      </c>
      <c r="F154" s="22" t="s">
        <v>89</v>
      </c>
      <c r="G154" s="22" t="s">
        <v>88</v>
      </c>
      <c r="H154" s="23">
        <f>'CUOTA LICITADA'!L55</f>
        <v>2.7812399999999994E-2</v>
      </c>
      <c r="I154" s="23">
        <f>'CUOTA LICITADA'!M55</f>
        <v>0</v>
      </c>
      <c r="J154" s="23">
        <f>'CUOTA LICITADA'!N55</f>
        <v>2.7812399999999994E-2</v>
      </c>
      <c r="K154" s="23">
        <f>'CUOTA LICITADA'!O55</f>
        <v>0</v>
      </c>
      <c r="L154" s="23">
        <f>'CUOTA LICITADA'!P55</f>
        <v>2.7812399999999994E-2</v>
      </c>
      <c r="M154" s="41">
        <f>'CUOTA LICITADA'!Q55</f>
        <v>0</v>
      </c>
      <c r="N154" s="24" t="s">
        <v>92</v>
      </c>
      <c r="O154" s="24">
        <f>'RESUMEN '!$B$3</f>
        <v>44200</v>
      </c>
      <c r="P154" s="22">
        <v>2020</v>
      </c>
      <c r="Q154" s="22"/>
    </row>
    <row r="155" spans="1:17" x14ac:dyDescent="0.25">
      <c r="A155" s="22" t="s">
        <v>48</v>
      </c>
      <c r="B155" s="22" t="s">
        <v>82</v>
      </c>
      <c r="C155" s="22" t="s">
        <v>62</v>
      </c>
      <c r="D155" s="22" t="s">
        <v>97</v>
      </c>
      <c r="E155" s="22" t="str">
        <f>'CUOTA LICITADA'!C57</f>
        <v>PACIFICBLU SPA.</v>
      </c>
      <c r="F155" s="22" t="s">
        <v>85</v>
      </c>
      <c r="G155" s="22" t="s">
        <v>86</v>
      </c>
      <c r="H155" s="23">
        <f>'CUOTA LICITADA'!F57</f>
        <v>147.01452889999999</v>
      </c>
      <c r="I155" s="23">
        <f>'CUOTA LICITADA'!G57</f>
        <v>-115.23820000000001</v>
      </c>
      <c r="J155" s="23">
        <f>'CUOTA LICITADA'!H57</f>
        <v>31.776328899999982</v>
      </c>
      <c r="K155" s="23">
        <f>'CUOTA LICITADA'!I57</f>
        <v>3.3460000000000001</v>
      </c>
      <c r="L155" s="23">
        <f>'CUOTA LICITADA'!J57</f>
        <v>28.430328899999981</v>
      </c>
      <c r="M155" s="41">
        <f>'CUOTA LICITADA'!K57</f>
        <v>0.10529850727973809</v>
      </c>
      <c r="N155" s="24" t="s">
        <v>92</v>
      </c>
      <c r="O155" s="24">
        <f>'RESUMEN '!$B$3</f>
        <v>44200</v>
      </c>
      <c r="P155" s="22">
        <v>2020</v>
      </c>
      <c r="Q155" s="22"/>
    </row>
    <row r="156" spans="1:17" x14ac:dyDescent="0.25">
      <c r="A156" s="22" t="s">
        <v>48</v>
      </c>
      <c r="B156" s="22" t="s">
        <v>82</v>
      </c>
      <c r="C156" s="22" t="s">
        <v>62</v>
      </c>
      <c r="D156" s="22" t="s">
        <v>97</v>
      </c>
      <c r="E156" s="22" t="str">
        <f>'CUOTA LICITADA'!C57</f>
        <v>PACIFICBLU SPA.</v>
      </c>
      <c r="F156" s="22" t="s">
        <v>87</v>
      </c>
      <c r="G156" s="22" t="s">
        <v>88</v>
      </c>
      <c r="H156" s="23">
        <f>'CUOTA LICITADA'!F58</f>
        <v>16.368627960000001</v>
      </c>
      <c r="I156" s="23">
        <f>'CUOTA LICITADA'!G58</f>
        <v>-28.654</v>
      </c>
      <c r="J156" s="23">
        <f>'CUOTA LICITADA'!H58</f>
        <v>16.144956859999983</v>
      </c>
      <c r="K156" s="23">
        <f>'CUOTA LICITADA'!I58</f>
        <v>14.269</v>
      </c>
      <c r="L156" s="23">
        <f>'CUOTA LICITADA'!J58</f>
        <v>1.8759568599999827</v>
      </c>
      <c r="M156" s="41">
        <f>'CUOTA LICITADA'!K58</f>
        <v>0.88380539655403056</v>
      </c>
      <c r="N156" s="24" t="s">
        <v>92</v>
      </c>
      <c r="O156" s="24">
        <f>'RESUMEN '!$B$3</f>
        <v>44200</v>
      </c>
      <c r="P156" s="22">
        <v>2020</v>
      </c>
      <c r="Q156" s="22"/>
    </row>
    <row r="157" spans="1:17" x14ac:dyDescent="0.25">
      <c r="A157" s="22" t="s">
        <v>48</v>
      </c>
      <c r="B157" s="22" t="s">
        <v>82</v>
      </c>
      <c r="C157" s="22" t="s">
        <v>62</v>
      </c>
      <c r="D157" s="22" t="s">
        <v>97</v>
      </c>
      <c r="E157" s="22" t="str">
        <f>'CUOTA LICITADA'!C57</f>
        <v>PACIFICBLU SPA.</v>
      </c>
      <c r="F157" s="22" t="s">
        <v>89</v>
      </c>
      <c r="G157" s="22" t="s">
        <v>88</v>
      </c>
      <c r="H157" s="23">
        <f>'CUOTA LICITADA'!L57</f>
        <v>163.38315685999999</v>
      </c>
      <c r="I157" s="23">
        <f>'CUOTA LICITADA'!M57</f>
        <v>-143.8922</v>
      </c>
      <c r="J157" s="23">
        <f>'CUOTA LICITADA'!N57</f>
        <v>19.490956859999983</v>
      </c>
      <c r="K157" s="23">
        <f>'CUOTA LICITADA'!O57</f>
        <v>17.615000000000002</v>
      </c>
      <c r="L157" s="23">
        <f>'CUOTA LICITADA'!P57</f>
        <v>1.875956859999981</v>
      </c>
      <c r="M157" s="41">
        <f>'CUOTA LICITADA'!Q57</f>
        <v>0.90375244922685738</v>
      </c>
      <c r="N157" s="24" t="s">
        <v>92</v>
      </c>
      <c r="O157" s="24">
        <f>'RESUMEN '!$B$3</f>
        <v>44200</v>
      </c>
      <c r="P157" s="22">
        <v>2020</v>
      </c>
      <c r="Q157" s="22"/>
    </row>
    <row r="158" spans="1:17" x14ac:dyDescent="0.25">
      <c r="A158" s="22" t="s">
        <v>48</v>
      </c>
      <c r="B158" s="22" t="s">
        <v>82</v>
      </c>
      <c r="C158" s="22" t="s">
        <v>62</v>
      </c>
      <c r="D158" s="22" t="s">
        <v>97</v>
      </c>
      <c r="E158" s="22" t="str">
        <f>'CUOTA LICITADA'!C59</f>
        <v>DA VENEZIA RETAMALES ANTONIO</v>
      </c>
      <c r="F158" s="22" t="s">
        <v>85</v>
      </c>
      <c r="G158" s="22" t="s">
        <v>86</v>
      </c>
      <c r="H158" s="23">
        <f>'CUOTA LICITADA'!F59</f>
        <v>1.9497E-2</v>
      </c>
      <c r="I158" s="23">
        <f>'CUOTA LICITADA'!G59</f>
        <v>0</v>
      </c>
      <c r="J158" s="23">
        <f>'CUOTA LICITADA'!H59</f>
        <v>1.9497E-2</v>
      </c>
      <c r="K158" s="23">
        <f>'CUOTA LICITADA'!I59</f>
        <v>0</v>
      </c>
      <c r="L158" s="23">
        <f>'CUOTA LICITADA'!J59</f>
        <v>1.9497E-2</v>
      </c>
      <c r="M158" s="41">
        <f>'CUOTA LICITADA'!K59</f>
        <v>0</v>
      </c>
      <c r="N158" s="24" t="s">
        <v>92</v>
      </c>
      <c r="O158" s="24">
        <f>'RESUMEN '!$B$3</f>
        <v>44200</v>
      </c>
      <c r="P158" s="22">
        <v>2020</v>
      </c>
      <c r="Q158" s="22"/>
    </row>
    <row r="159" spans="1:17" x14ac:dyDescent="0.25">
      <c r="A159" s="22" t="s">
        <v>48</v>
      </c>
      <c r="B159" s="22" t="s">
        <v>82</v>
      </c>
      <c r="C159" s="22" t="s">
        <v>62</v>
      </c>
      <c r="D159" s="22" t="s">
        <v>97</v>
      </c>
      <c r="E159" s="22" t="str">
        <f>'CUOTA LICITADA'!C59</f>
        <v>DA VENEZIA RETAMALES ANTONIO</v>
      </c>
      <c r="F159" s="22" t="s">
        <v>87</v>
      </c>
      <c r="G159" s="22" t="s">
        <v>88</v>
      </c>
      <c r="H159" s="23">
        <f>'CUOTA LICITADA'!F60</f>
        <v>2.1708000000000001E-3</v>
      </c>
      <c r="I159" s="23">
        <f>'CUOTA LICITADA'!G60</f>
        <v>0</v>
      </c>
      <c r="J159" s="23">
        <f>'CUOTA LICITADA'!H60</f>
        <v>2.1667800000000001E-2</v>
      </c>
      <c r="K159" s="23">
        <f>'CUOTA LICITADA'!I60</f>
        <v>0</v>
      </c>
      <c r="L159" s="23">
        <f>'CUOTA LICITADA'!J60</f>
        <v>2.1667800000000001E-2</v>
      </c>
      <c r="M159" s="41">
        <f>'CUOTA LICITADA'!K60</f>
        <v>0</v>
      </c>
      <c r="N159" s="24" t="s">
        <v>92</v>
      </c>
      <c r="O159" s="24">
        <f>'RESUMEN '!$B$3</f>
        <v>44200</v>
      </c>
      <c r="P159" s="22">
        <v>2020</v>
      </c>
      <c r="Q159" s="22"/>
    </row>
    <row r="160" spans="1:17" x14ac:dyDescent="0.25">
      <c r="A160" s="22" t="s">
        <v>48</v>
      </c>
      <c r="B160" s="22" t="s">
        <v>82</v>
      </c>
      <c r="C160" s="22" t="s">
        <v>62</v>
      </c>
      <c r="D160" s="22" t="s">
        <v>97</v>
      </c>
      <c r="E160" s="22" t="str">
        <f>'CUOTA LICITADA'!C59</f>
        <v>DA VENEZIA RETAMALES ANTONIO</v>
      </c>
      <c r="F160" s="22" t="s">
        <v>89</v>
      </c>
      <c r="G160" s="22" t="s">
        <v>88</v>
      </c>
      <c r="H160" s="23">
        <f>'CUOTA LICITADA'!L59</f>
        <v>2.1667800000000001E-2</v>
      </c>
      <c r="I160" s="23">
        <f>'CUOTA LICITADA'!M59</f>
        <v>0</v>
      </c>
      <c r="J160" s="23">
        <f>'CUOTA LICITADA'!N59</f>
        <v>2.1667800000000001E-2</v>
      </c>
      <c r="K160" s="23">
        <f>'CUOTA LICITADA'!O59</f>
        <v>0</v>
      </c>
      <c r="L160" s="23">
        <f>'CUOTA LICITADA'!P59</f>
        <v>2.1667800000000001E-2</v>
      </c>
      <c r="M160" s="41">
        <f>'CUOTA LICITADA'!Q59</f>
        <v>0</v>
      </c>
      <c r="N160" s="24" t="s">
        <v>92</v>
      </c>
      <c r="O160" s="24">
        <f>'RESUMEN '!$B$3</f>
        <v>44200</v>
      </c>
      <c r="P160" s="22">
        <v>2020</v>
      </c>
      <c r="Q160" s="22"/>
    </row>
    <row r="161" spans="1:17" x14ac:dyDescent="0.25">
      <c r="A161" s="22" t="s">
        <v>48</v>
      </c>
      <c r="B161" s="22" t="s">
        <v>82</v>
      </c>
      <c r="C161" s="22" t="s">
        <v>62</v>
      </c>
      <c r="D161" s="22" t="s">
        <v>97</v>
      </c>
      <c r="E161" s="22" t="str">
        <f>'CUOTA LICITADA'!C61</f>
        <v>ENFERMAR LTDA. SOC. PESQ.</v>
      </c>
      <c r="F161" s="22" t="s">
        <v>85</v>
      </c>
      <c r="G161" s="22" t="s">
        <v>86</v>
      </c>
      <c r="H161" s="23">
        <f>'CUOTA LICITADA'!F61</f>
        <v>3.5110604999999997</v>
      </c>
      <c r="I161" s="23">
        <f>'CUOTA LICITADA'!G61</f>
        <v>0</v>
      </c>
      <c r="J161" s="23">
        <f>'CUOTA LICITADA'!H61</f>
        <v>3.5110604999999997</v>
      </c>
      <c r="K161" s="23">
        <f>'CUOTA LICITADA'!I61</f>
        <v>0</v>
      </c>
      <c r="L161" s="23">
        <f>'CUOTA LICITADA'!J61</f>
        <v>3.5110604999999997</v>
      </c>
      <c r="M161" s="41">
        <f>'CUOTA LICITADA'!K61</f>
        <v>0</v>
      </c>
      <c r="N161" s="24" t="s">
        <v>92</v>
      </c>
      <c r="O161" s="24">
        <f>'RESUMEN '!$B$3</f>
        <v>44200</v>
      </c>
      <c r="P161" s="22">
        <v>2020</v>
      </c>
      <c r="Q161" s="22"/>
    </row>
    <row r="162" spans="1:17" x14ac:dyDescent="0.25">
      <c r="A162" s="22" t="s">
        <v>48</v>
      </c>
      <c r="B162" s="22" t="s">
        <v>82</v>
      </c>
      <c r="C162" s="22" t="s">
        <v>62</v>
      </c>
      <c r="D162" s="22" t="s">
        <v>97</v>
      </c>
      <c r="E162" s="22" t="str">
        <f>'CUOTA LICITADA'!C61</f>
        <v>ENFERMAR LTDA. SOC. PESQ.</v>
      </c>
      <c r="F162" s="22" t="s">
        <v>87</v>
      </c>
      <c r="G162" s="22" t="s">
        <v>88</v>
      </c>
      <c r="H162" s="23">
        <f>'CUOTA LICITADA'!F62</f>
        <v>0.3909222</v>
      </c>
      <c r="I162" s="23">
        <f>'CUOTA LICITADA'!G62</f>
        <v>0</v>
      </c>
      <c r="J162" s="23">
        <f>'CUOTA LICITADA'!H62</f>
        <v>3.9019826999999996</v>
      </c>
      <c r="K162" s="23">
        <f>'CUOTA LICITADA'!I62</f>
        <v>0</v>
      </c>
      <c r="L162" s="23">
        <f>'CUOTA LICITADA'!J62</f>
        <v>3.9019826999999996</v>
      </c>
      <c r="M162" s="41">
        <f>'CUOTA LICITADA'!K62</f>
        <v>0</v>
      </c>
      <c r="N162" s="24" t="s">
        <v>92</v>
      </c>
      <c r="O162" s="24">
        <f>'RESUMEN '!$B$3</f>
        <v>44200</v>
      </c>
      <c r="P162" s="22">
        <v>2020</v>
      </c>
      <c r="Q162" s="22"/>
    </row>
    <row r="163" spans="1:17" x14ac:dyDescent="0.25">
      <c r="A163" s="22" t="s">
        <v>48</v>
      </c>
      <c r="B163" s="22" t="s">
        <v>82</v>
      </c>
      <c r="C163" s="22" t="s">
        <v>62</v>
      </c>
      <c r="D163" s="22" t="s">
        <v>97</v>
      </c>
      <c r="E163" s="22" t="str">
        <f>'CUOTA LICITADA'!C61</f>
        <v>ENFERMAR LTDA. SOC. PESQ.</v>
      </c>
      <c r="F163" s="22" t="s">
        <v>89</v>
      </c>
      <c r="G163" s="22" t="s">
        <v>88</v>
      </c>
      <c r="H163" s="23">
        <f>'CUOTA LICITADA'!L61</f>
        <v>3.9019826999999996</v>
      </c>
      <c r="I163" s="23">
        <f>'CUOTA LICITADA'!M61</f>
        <v>0</v>
      </c>
      <c r="J163" s="23">
        <f>'CUOTA LICITADA'!N61</f>
        <v>3.9019826999999996</v>
      </c>
      <c r="K163" s="23">
        <f>'CUOTA LICITADA'!O61</f>
        <v>0</v>
      </c>
      <c r="L163" s="23">
        <f>'CUOTA LICITADA'!P61</f>
        <v>3.9019826999999996</v>
      </c>
      <c r="M163" s="41">
        <f>'CUOTA LICITADA'!Q61</f>
        <v>0</v>
      </c>
      <c r="N163" s="24" t="s">
        <v>92</v>
      </c>
      <c r="O163" s="24">
        <f>'RESUMEN '!$B$3</f>
        <v>44200</v>
      </c>
      <c r="P163" s="22">
        <v>2020</v>
      </c>
      <c r="Q163" s="22"/>
    </row>
    <row r="164" spans="1:17" x14ac:dyDescent="0.25">
      <c r="A164" s="22" t="s">
        <v>48</v>
      </c>
      <c r="B164" s="22" t="s">
        <v>82</v>
      </c>
      <c r="C164" s="22" t="s">
        <v>62</v>
      </c>
      <c r="D164" s="22" t="s">
        <v>97</v>
      </c>
      <c r="E164" s="22" t="str">
        <f>'CUOTA LICITADA'!C63</f>
        <v>RUBIO Y MAUAD LTDA.</v>
      </c>
      <c r="F164" s="22" t="s">
        <v>85</v>
      </c>
      <c r="G164" s="22" t="s">
        <v>86</v>
      </c>
      <c r="H164" s="23">
        <f>'CUOTA LICITADA'!F63</f>
        <v>0</v>
      </c>
      <c r="I164" s="23">
        <f>'CUOTA LICITADA'!G63</f>
        <v>0</v>
      </c>
      <c r="J164" s="23">
        <f>'CUOTA LICITADA'!H63</f>
        <v>0</v>
      </c>
      <c r="K164" s="23">
        <f>'CUOTA LICITADA'!I63</f>
        <v>0</v>
      </c>
      <c r="L164" s="23">
        <f>'CUOTA LICITADA'!J63</f>
        <v>0</v>
      </c>
      <c r="M164" s="41" t="e">
        <f>'CUOTA LICITADA'!K63</f>
        <v>#DIV/0!</v>
      </c>
      <c r="N164" s="24" t="s">
        <v>92</v>
      </c>
      <c r="O164" s="24">
        <f>'RESUMEN '!$B$3</f>
        <v>44200</v>
      </c>
      <c r="P164" s="22">
        <v>2020</v>
      </c>
      <c r="Q164" s="22"/>
    </row>
    <row r="165" spans="1:17" x14ac:dyDescent="0.25">
      <c r="A165" s="22" t="s">
        <v>48</v>
      </c>
      <c r="B165" s="22" t="s">
        <v>82</v>
      </c>
      <c r="C165" s="22" t="s">
        <v>62</v>
      </c>
      <c r="D165" s="22" t="s">
        <v>97</v>
      </c>
      <c r="E165" s="22" t="str">
        <f>'CUOTA LICITADA'!C63</f>
        <v>RUBIO Y MAUAD LTDA.</v>
      </c>
      <c r="F165" s="22" t="s">
        <v>87</v>
      </c>
      <c r="G165" s="22" t="s">
        <v>88</v>
      </c>
      <c r="H165" s="23">
        <f>'CUOTA LICITADA'!F64</f>
        <v>0</v>
      </c>
      <c r="I165" s="23">
        <f>'CUOTA LICITADA'!G64</f>
        <v>0</v>
      </c>
      <c r="J165" s="23">
        <f>'CUOTA LICITADA'!H64</f>
        <v>0</v>
      </c>
      <c r="K165" s="23">
        <f>'CUOTA LICITADA'!I64</f>
        <v>0</v>
      </c>
      <c r="L165" s="23">
        <f>'CUOTA LICITADA'!J64</f>
        <v>0</v>
      </c>
      <c r="M165" s="41" t="e">
        <f>'CUOTA LICITADA'!K64</f>
        <v>#DIV/0!</v>
      </c>
      <c r="N165" s="24" t="s">
        <v>92</v>
      </c>
      <c r="O165" s="24">
        <f>'RESUMEN '!$B$3</f>
        <v>44200</v>
      </c>
      <c r="P165" s="22">
        <v>2020</v>
      </c>
      <c r="Q165" s="22"/>
    </row>
    <row r="166" spans="1:17" x14ac:dyDescent="0.25">
      <c r="A166" s="22" t="s">
        <v>48</v>
      </c>
      <c r="B166" s="22" t="s">
        <v>82</v>
      </c>
      <c r="C166" s="22" t="s">
        <v>62</v>
      </c>
      <c r="D166" s="22" t="s">
        <v>97</v>
      </c>
      <c r="E166" s="22" t="str">
        <f>'CUOTA LICITADA'!C63</f>
        <v>RUBIO Y MAUAD LTDA.</v>
      </c>
      <c r="F166" s="22" t="s">
        <v>89</v>
      </c>
      <c r="G166" s="22" t="s">
        <v>88</v>
      </c>
      <c r="H166" s="23">
        <f>'CUOTA LICITADA'!L63</f>
        <v>0</v>
      </c>
      <c r="I166" s="23">
        <f>'CUOTA LICITADA'!M63</f>
        <v>0</v>
      </c>
      <c r="J166" s="23">
        <f>'CUOTA LICITADA'!N63</f>
        <v>0</v>
      </c>
      <c r="K166" s="23">
        <f>'CUOTA LICITADA'!O63</f>
        <v>0</v>
      </c>
      <c r="L166" s="23">
        <f>'CUOTA LICITADA'!P63</f>
        <v>0</v>
      </c>
      <c r="M166" s="41">
        <f>'CUOTA LICITADA'!Q63</f>
        <v>0</v>
      </c>
      <c r="N166" s="24" t="s">
        <v>92</v>
      </c>
      <c r="O166" s="24">
        <f>'RESUMEN '!$B$3</f>
        <v>44200</v>
      </c>
      <c r="P166" s="22">
        <v>2020</v>
      </c>
      <c r="Q166" s="22"/>
    </row>
    <row r="167" spans="1:17" x14ac:dyDescent="0.25">
      <c r="A167" s="37" t="s">
        <v>48</v>
      </c>
      <c r="B167" s="37" t="s">
        <v>82</v>
      </c>
      <c r="C167" s="37" t="s">
        <v>98</v>
      </c>
      <c r="D167" s="37" t="s">
        <v>99</v>
      </c>
      <c r="E167" s="37" t="s">
        <v>100</v>
      </c>
      <c r="F167" s="37" t="s">
        <v>89</v>
      </c>
      <c r="G167" s="37" t="s">
        <v>88</v>
      </c>
      <c r="H167" s="38">
        <f>'CUOTA LICITADA'!F69</f>
        <v>1960.00587804</v>
      </c>
      <c r="I167" s="38">
        <f>'CUOTA LICITADA'!G69</f>
        <v>1.0000000002108322E-4</v>
      </c>
      <c r="J167" s="38">
        <f>'CUOTA LICITADA'!H69</f>
        <v>1960.0059780399999</v>
      </c>
      <c r="K167" s="38">
        <f>'CUOTA LICITADA'!I69</f>
        <v>1848.7780000000007</v>
      </c>
      <c r="L167" s="38">
        <f>'CUOTA LICITADA'!J69</f>
        <v>111.22797803999924</v>
      </c>
      <c r="M167" s="42">
        <f>'CUOTA LICITADA'!K69</f>
        <v>0.94325120469722912</v>
      </c>
      <c r="N167" s="39" t="s">
        <v>92</v>
      </c>
      <c r="O167" s="39">
        <f>'RESUMEN '!$B$3</f>
        <v>44200</v>
      </c>
      <c r="P167" s="37">
        <v>2020</v>
      </c>
      <c r="Q167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</vt:lpstr>
      <vt:lpstr>CUOTA ARTESANAL</vt:lpstr>
      <vt:lpstr>PESCA DE INVESTIGACION</vt:lpstr>
      <vt:lpstr>CUOTA LTP</vt:lpstr>
      <vt:lpstr>CUOTA LICITADA</vt:lpstr>
      <vt:lpstr>PAG.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Mario Cea</cp:lastModifiedBy>
  <dcterms:created xsi:type="dcterms:W3CDTF">2020-01-22T15:25:15Z</dcterms:created>
  <dcterms:modified xsi:type="dcterms:W3CDTF">2021-01-24T16:44:17Z</dcterms:modified>
</cp:coreProperties>
</file>