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seo\Proceso_de_Control_de_Cuotas\1_PLANILLAS CONTROL DE CUOTAS\2021\1.- Bentonicos\"/>
    </mc:Choice>
  </mc:AlternateContent>
  <bookViews>
    <workbookView xWindow="0" yWindow="0" windowWidth="19410" windowHeight="11820" tabRatio="769"/>
  </bookViews>
  <sheets>
    <sheet name="RESUMEN " sheetId="1" r:id="rId1"/>
    <sheet name="CUOTA ARTESANAL" sheetId="2" r:id="rId2"/>
    <sheet name="REMANENTE " sheetId="9" r:id="rId3"/>
    <sheet name="CUOTA LTP" sheetId="3" r:id="rId4"/>
    <sheet name="CUOTA LICITADA" sheetId="5" r:id="rId5"/>
    <sheet name="PESCA DE INVESTIGACION" sheetId="7" r:id="rId6"/>
    <sheet name="PAG. WEB" sheetId="6" r:id="rId7"/>
    <sheet name="Hoja1" sheetId="8" r:id="rId8"/>
  </sheets>
  <definedNames>
    <definedName name="_xlnm._FilterDatabase" localSheetId="6" hidden="1">'PAG. WEB'!$A$1:$Q$176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3" l="1"/>
  <c r="H13" i="2"/>
  <c r="H12" i="2"/>
  <c r="I56" i="5" l="1"/>
  <c r="G50" i="5" l="1"/>
  <c r="G76" i="5"/>
  <c r="J13" i="1" l="1"/>
  <c r="J8" i="1"/>
  <c r="J6" i="1"/>
  <c r="P26" i="3"/>
  <c r="I8" i="1"/>
  <c r="I13" i="1"/>
  <c r="I6" i="1"/>
  <c r="G7" i="1"/>
  <c r="G8" i="1"/>
  <c r="G9" i="1"/>
  <c r="G10" i="1"/>
  <c r="G11" i="1"/>
  <c r="G12" i="1"/>
  <c r="G13" i="1"/>
  <c r="G14" i="1"/>
  <c r="G6" i="1"/>
  <c r="G19" i="5" l="1"/>
  <c r="G25" i="5"/>
  <c r="H16" i="2" l="1"/>
  <c r="H8" i="2" l="1"/>
  <c r="F30" i="3" l="1"/>
  <c r="K86" i="6" l="1"/>
  <c r="K85" i="6"/>
  <c r="I86" i="6"/>
  <c r="H86" i="6"/>
  <c r="I85" i="6"/>
  <c r="H85" i="6"/>
  <c r="O85" i="6"/>
  <c r="O86" i="6"/>
  <c r="O87" i="6"/>
  <c r="E87" i="6"/>
  <c r="E86" i="6"/>
  <c r="E85" i="6"/>
  <c r="N52" i="3"/>
  <c r="K87" i="6" s="1"/>
  <c r="L52" i="3"/>
  <c r="I87" i="6" s="1"/>
  <c r="K52" i="3"/>
  <c r="H87" i="6" s="1"/>
  <c r="G52" i="3"/>
  <c r="M85" i="6" s="1"/>
  <c r="M52" i="3" l="1"/>
  <c r="I52" i="3"/>
  <c r="J85" i="6"/>
  <c r="G53" i="3" l="1"/>
  <c r="L85" i="6"/>
  <c r="O52" i="3"/>
  <c r="L87" i="6" s="1"/>
  <c r="J87" i="6"/>
  <c r="P52" i="3"/>
  <c r="M87" i="6" s="1"/>
  <c r="G47" i="5"/>
  <c r="J86" i="6" l="1"/>
  <c r="I53" i="3"/>
  <c r="L86" i="6" s="1"/>
  <c r="M86" i="6"/>
  <c r="I15" i="5" l="1"/>
  <c r="I25" i="5"/>
  <c r="G50" i="3" l="1"/>
  <c r="L50" i="3"/>
  <c r="N50" i="3"/>
  <c r="G26" i="3"/>
  <c r="K26" i="3"/>
  <c r="L26" i="3"/>
  <c r="N26" i="3"/>
  <c r="M26" i="3" l="1"/>
  <c r="O26" i="3" s="1"/>
  <c r="I50" i="3"/>
  <c r="G51" i="3" s="1"/>
  <c r="J50" i="3"/>
  <c r="K50" i="3"/>
  <c r="M50" i="3" s="1"/>
  <c r="O50" i="3" s="1"/>
  <c r="I26" i="3"/>
  <c r="G27" i="3" s="1"/>
  <c r="J26" i="3"/>
  <c r="H13" i="7"/>
  <c r="F8" i="7"/>
  <c r="F13" i="7" s="1"/>
  <c r="I55" i="5"/>
  <c r="H10" i="2"/>
  <c r="P50" i="3" l="1"/>
  <c r="J51" i="3"/>
  <c r="I51" i="3"/>
  <c r="J27" i="3"/>
  <c r="I27" i="3"/>
  <c r="G75" i="5"/>
  <c r="R13" i="8" l="1"/>
  <c r="T13" i="8" s="1"/>
  <c r="S13" i="8" l="1"/>
  <c r="F8" i="2" l="1"/>
  <c r="R12" i="8"/>
  <c r="T12" i="8" s="1"/>
  <c r="S12" i="8" l="1"/>
  <c r="F69" i="5" l="1"/>
  <c r="H69" i="5" s="1"/>
  <c r="M69" i="5"/>
  <c r="O69" i="5"/>
  <c r="F70" i="5"/>
  <c r="F39" i="5"/>
  <c r="H39" i="5" s="1"/>
  <c r="M39" i="5"/>
  <c r="O39" i="5"/>
  <c r="F40" i="5"/>
  <c r="L69" i="5" l="1"/>
  <c r="N69" i="5" s="1"/>
  <c r="P69" i="5" s="1"/>
  <c r="L39" i="5"/>
  <c r="N39" i="5" s="1"/>
  <c r="P39" i="5" s="1"/>
  <c r="J69" i="5"/>
  <c r="H70" i="5" s="1"/>
  <c r="J70" i="5" s="1"/>
  <c r="K69" i="5"/>
  <c r="Q69" i="5"/>
  <c r="Q39" i="5"/>
  <c r="J39" i="5"/>
  <c r="H40" i="5" s="1"/>
  <c r="K39" i="5"/>
  <c r="H6" i="9"/>
  <c r="G6" i="9"/>
  <c r="K70" i="5" l="1"/>
  <c r="J40" i="5"/>
  <c r="K40" i="5"/>
  <c r="B2" i="9"/>
  <c r="G7" i="9"/>
  <c r="H7" i="9"/>
  <c r="G8" i="9"/>
  <c r="H8" i="9"/>
  <c r="G9" i="9"/>
  <c r="H9" i="9"/>
  <c r="G10" i="9"/>
  <c r="H10" i="9"/>
  <c r="G11" i="9"/>
  <c r="H11" i="9"/>
  <c r="I173" i="6" l="1"/>
  <c r="K173" i="6"/>
  <c r="I174" i="6"/>
  <c r="K174" i="6"/>
  <c r="E175" i="6"/>
  <c r="E174" i="6"/>
  <c r="E173" i="6"/>
  <c r="O173" i="6"/>
  <c r="O174" i="6"/>
  <c r="O175" i="6"/>
  <c r="I131" i="6"/>
  <c r="K131" i="6"/>
  <c r="I132" i="6"/>
  <c r="K132" i="6"/>
  <c r="E133" i="6"/>
  <c r="E132" i="6"/>
  <c r="E131" i="6"/>
  <c r="O131" i="6"/>
  <c r="O132" i="6"/>
  <c r="O133" i="6"/>
  <c r="F67" i="5"/>
  <c r="H173" i="6" s="1"/>
  <c r="M67" i="5"/>
  <c r="I175" i="6" s="1"/>
  <c r="O67" i="5"/>
  <c r="K175" i="6" s="1"/>
  <c r="F68" i="5"/>
  <c r="F37" i="5"/>
  <c r="H37" i="5" s="1"/>
  <c r="J131" i="6" s="1"/>
  <c r="M37" i="5"/>
  <c r="O37" i="5"/>
  <c r="F38" i="5"/>
  <c r="H132" i="6" s="1"/>
  <c r="L67" i="5" l="1"/>
  <c r="N67" i="5" s="1"/>
  <c r="P67" i="5" s="1"/>
  <c r="L175" i="6" s="1"/>
  <c r="H67" i="5"/>
  <c r="H131" i="6"/>
  <c r="H174" i="6"/>
  <c r="Q67" i="5"/>
  <c r="M175" i="6" s="1"/>
  <c r="L37" i="5"/>
  <c r="J37" i="5"/>
  <c r="K37" i="5"/>
  <c r="M131" i="6" s="1"/>
  <c r="E77" i="5"/>
  <c r="J175" i="6" l="1"/>
  <c r="H175" i="6"/>
  <c r="J173" i="6"/>
  <c r="K67" i="5"/>
  <c r="M173" i="6" s="1"/>
  <c r="J67" i="5"/>
  <c r="H38" i="5"/>
  <c r="J132" i="6" s="1"/>
  <c r="L131" i="6"/>
  <c r="N37" i="5"/>
  <c r="H133" i="6"/>
  <c r="R10" i="8"/>
  <c r="S10" i="8" s="1"/>
  <c r="V4" i="8"/>
  <c r="V3" i="8"/>
  <c r="U5" i="8"/>
  <c r="T14" i="8" s="1"/>
  <c r="T5" i="8"/>
  <c r="S14" i="8" s="1"/>
  <c r="U14" i="8" s="1"/>
  <c r="G31" i="5" l="1"/>
  <c r="K38" i="5"/>
  <c r="M132" i="6" s="1"/>
  <c r="L173" i="6"/>
  <c r="H68" i="5"/>
  <c r="P37" i="5"/>
  <c r="Q37" i="5"/>
  <c r="J38" i="5"/>
  <c r="L132" i="6" s="1"/>
  <c r="V5" i="8"/>
  <c r="T10" i="8"/>
  <c r="G49" i="5" s="1"/>
  <c r="G61" i="5" l="1"/>
  <c r="G77" i="5" s="1"/>
  <c r="R11" i="8"/>
  <c r="T11" i="8" s="1"/>
  <c r="J68" i="5"/>
  <c r="L174" i="6" s="1"/>
  <c r="J174" i="6"/>
  <c r="K68" i="5"/>
  <c r="M174" i="6" s="1"/>
  <c r="S11" i="8"/>
  <c r="F43" i="5"/>
  <c r="F13" i="5"/>
  <c r="E37" i="3"/>
  <c r="E36" i="3"/>
  <c r="E33" i="3"/>
  <c r="E32" i="3"/>
  <c r="E49" i="3"/>
  <c r="E48" i="3"/>
  <c r="E41" i="3"/>
  <c r="E40" i="3"/>
  <c r="E31" i="3"/>
  <c r="E30" i="3"/>
  <c r="E7" i="3"/>
  <c r="E29" i="3"/>
  <c r="E25" i="3"/>
  <c r="E24" i="3"/>
  <c r="E23" i="3"/>
  <c r="E21" i="3"/>
  <c r="E19" i="3"/>
  <c r="E17" i="3"/>
  <c r="E15" i="3"/>
  <c r="E13" i="3"/>
  <c r="E12" i="3"/>
  <c r="E11" i="3"/>
  <c r="E9" i="3"/>
  <c r="G50" i="8"/>
  <c r="E48" i="8"/>
  <c r="F48" i="8" s="1"/>
  <c r="H48" i="8" s="1"/>
  <c r="D46" i="8"/>
  <c r="E46" i="8" s="1"/>
  <c r="F46" i="8" s="1"/>
  <c r="H46" i="8" s="1"/>
  <c r="E44" i="8"/>
  <c r="F44" i="8" s="1"/>
  <c r="H44" i="8" s="1"/>
  <c r="E42" i="8"/>
  <c r="F42" i="8" s="1"/>
  <c r="H42" i="8" s="1"/>
  <c r="E40" i="8"/>
  <c r="F40" i="8" s="1"/>
  <c r="H40" i="8" s="1"/>
  <c r="D38" i="8"/>
  <c r="C38" i="8"/>
  <c r="E36" i="8"/>
  <c r="F36" i="8" s="1"/>
  <c r="H36" i="8" s="1"/>
  <c r="D34" i="8"/>
  <c r="E34" i="8" s="1"/>
  <c r="F34" i="8" s="1"/>
  <c r="H34" i="8" s="1"/>
  <c r="E32" i="8"/>
  <c r="F32" i="8" s="1"/>
  <c r="H32" i="8" s="1"/>
  <c r="D30" i="8"/>
  <c r="C30" i="8"/>
  <c r="D28" i="8"/>
  <c r="E28" i="8" s="1"/>
  <c r="F28" i="8" s="1"/>
  <c r="H28" i="8" s="1"/>
  <c r="D12" i="8"/>
  <c r="D8" i="8"/>
  <c r="E8" i="8" s="1"/>
  <c r="F8" i="8" s="1"/>
  <c r="H8" i="8" s="1"/>
  <c r="D2" i="8"/>
  <c r="E2" i="8" s="1"/>
  <c r="F2" i="8" s="1"/>
  <c r="H2" i="8" s="1"/>
  <c r="D20" i="8"/>
  <c r="D4" i="8"/>
  <c r="C12" i="8"/>
  <c r="C4" i="8"/>
  <c r="E6" i="8"/>
  <c r="F6" i="8" s="1"/>
  <c r="H6" i="8" s="1"/>
  <c r="E10" i="8"/>
  <c r="F10" i="8" s="1"/>
  <c r="H10" i="8" s="1"/>
  <c r="E14" i="8"/>
  <c r="F14" i="8" s="1"/>
  <c r="H14" i="8" s="1"/>
  <c r="E16" i="8"/>
  <c r="F16" i="8" s="1"/>
  <c r="H16" i="8" s="1"/>
  <c r="E18" i="8"/>
  <c r="F18" i="8" s="1"/>
  <c r="H18" i="8" s="1"/>
  <c r="E22" i="8"/>
  <c r="F22" i="8" s="1"/>
  <c r="H22" i="8" s="1"/>
  <c r="G24" i="8"/>
  <c r="C50" i="8" l="1"/>
  <c r="D50" i="8"/>
  <c r="E38" i="8"/>
  <c r="F38" i="8" s="1"/>
  <c r="H38" i="8" s="1"/>
  <c r="E30" i="8"/>
  <c r="F30" i="8" s="1"/>
  <c r="H30" i="8" s="1"/>
  <c r="E12" i="8"/>
  <c r="F12" i="8" s="1"/>
  <c r="H12" i="8" s="1"/>
  <c r="D24" i="8"/>
  <c r="E20" i="8"/>
  <c r="F20" i="8" s="1"/>
  <c r="C24" i="8"/>
  <c r="E4" i="8"/>
  <c r="F4" i="8" s="1"/>
  <c r="H4" i="8" s="1"/>
  <c r="B5" i="7"/>
  <c r="F17" i="7"/>
  <c r="G17" i="7"/>
  <c r="G16" i="7"/>
  <c r="F16" i="7"/>
  <c r="H50" i="8" l="1"/>
  <c r="F24" i="8"/>
  <c r="H20" i="8"/>
  <c r="H24" i="8" s="1"/>
  <c r="F50" i="8"/>
  <c r="E50" i="8"/>
  <c r="E24" i="8"/>
  <c r="H26" i="1" l="1"/>
  <c r="G13" i="7"/>
  <c r="H13" i="1" s="1"/>
  <c r="E13" i="7"/>
  <c r="K8" i="7" s="1"/>
  <c r="K13" i="7" s="1"/>
  <c r="D13" i="7"/>
  <c r="I8" i="7" l="1"/>
  <c r="I13" i="7" s="1"/>
  <c r="J8" i="7"/>
  <c r="J13" i="7" s="1"/>
  <c r="M8" i="7" l="1"/>
  <c r="M13" i="7" s="1"/>
  <c r="L8" i="7"/>
  <c r="L13" i="7" s="1"/>
  <c r="I77" i="5" l="1"/>
  <c r="L73" i="5" l="1"/>
  <c r="O73" i="5"/>
  <c r="L75" i="5"/>
  <c r="M75" i="5"/>
  <c r="O75" i="5"/>
  <c r="H73" i="5"/>
  <c r="K73" i="5" s="1"/>
  <c r="M73" i="5" l="1"/>
  <c r="N73" i="5" s="1"/>
  <c r="Q73" i="5" s="1"/>
  <c r="J73" i="5"/>
  <c r="H74" i="5" s="1"/>
  <c r="H75" i="5"/>
  <c r="K75" i="5" s="1"/>
  <c r="N75" i="5"/>
  <c r="P75" i="5" s="1"/>
  <c r="J75" i="5" l="1"/>
  <c r="H76" i="5" s="1"/>
  <c r="J76" i="5" s="1"/>
  <c r="P73" i="5"/>
  <c r="Q75" i="5"/>
  <c r="J74" i="5"/>
  <c r="K74" i="5"/>
  <c r="K76" i="5" l="1"/>
  <c r="F14" i="5"/>
  <c r="F19" i="5" l="1"/>
  <c r="H19" i="5" s="1"/>
  <c r="O91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8" i="6"/>
  <c r="O89" i="6"/>
  <c r="O90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6" i="6"/>
  <c r="O2" i="6"/>
  <c r="B10" i="5"/>
  <c r="B3" i="3"/>
  <c r="B3" i="2"/>
  <c r="B20" i="1"/>
  <c r="K176" i="6"/>
  <c r="I176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E139" i="6"/>
  <c r="E138" i="6"/>
  <c r="E136" i="6"/>
  <c r="E135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E137" i="6"/>
  <c r="E140" i="6"/>
  <c r="E143" i="6"/>
  <c r="E146" i="6"/>
  <c r="E149" i="6"/>
  <c r="E152" i="6"/>
  <c r="E155" i="6"/>
  <c r="E158" i="6"/>
  <c r="E161" i="6"/>
  <c r="E164" i="6"/>
  <c r="E167" i="6"/>
  <c r="E170" i="6"/>
  <c r="E134" i="6"/>
  <c r="E130" i="6"/>
  <c r="E129" i="6"/>
  <c r="E127" i="6"/>
  <c r="E126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I125" i="6"/>
  <c r="K125" i="6"/>
  <c r="I126" i="6"/>
  <c r="K126" i="6"/>
  <c r="I128" i="6"/>
  <c r="K128" i="6"/>
  <c r="I129" i="6"/>
  <c r="K129" i="6"/>
  <c r="E128" i="6"/>
  <c r="E95" i="6"/>
  <c r="E98" i="6"/>
  <c r="E101" i="6"/>
  <c r="E104" i="6"/>
  <c r="E107" i="6"/>
  <c r="E110" i="6"/>
  <c r="E113" i="6"/>
  <c r="E116" i="6"/>
  <c r="E119" i="6"/>
  <c r="E122" i="6"/>
  <c r="E125" i="6"/>
  <c r="E92" i="6"/>
  <c r="E90" i="6"/>
  <c r="E89" i="6"/>
  <c r="E84" i="6"/>
  <c r="E83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I82" i="6"/>
  <c r="K82" i="6"/>
  <c r="I83" i="6"/>
  <c r="K83" i="6"/>
  <c r="I88" i="6"/>
  <c r="K88" i="6"/>
  <c r="I89" i="6"/>
  <c r="K89" i="6"/>
  <c r="E58" i="6"/>
  <c r="E61" i="6"/>
  <c r="E64" i="6"/>
  <c r="E70" i="6"/>
  <c r="E73" i="6"/>
  <c r="E76" i="6"/>
  <c r="E79" i="6"/>
  <c r="E82" i="6"/>
  <c r="E88" i="6"/>
  <c r="E55" i="6"/>
  <c r="E54" i="6"/>
  <c r="E53" i="6"/>
  <c r="E51" i="6"/>
  <c r="E50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49" i="6"/>
  <c r="K49" i="6"/>
  <c r="I50" i="6"/>
  <c r="K50" i="6"/>
  <c r="I52" i="6"/>
  <c r="K52" i="6"/>
  <c r="I53" i="6"/>
  <c r="K53" i="6"/>
  <c r="E25" i="6"/>
  <c r="E28" i="6"/>
  <c r="E31" i="6"/>
  <c r="E34" i="6"/>
  <c r="E37" i="6"/>
  <c r="E40" i="6"/>
  <c r="E43" i="6"/>
  <c r="E46" i="6"/>
  <c r="E49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6" i="1" l="1"/>
  <c r="I26" i="1" s="1"/>
  <c r="G25" i="1"/>
  <c r="J25" i="1" s="1"/>
  <c r="I25" i="1" l="1"/>
  <c r="J26" i="1"/>
  <c r="M43" i="5"/>
  <c r="M15" i="5"/>
  <c r="I97" i="6" s="1"/>
  <c r="O15" i="5"/>
  <c r="M17" i="5"/>
  <c r="I100" i="6" s="1"/>
  <c r="O17" i="5"/>
  <c r="K100" i="6" s="1"/>
  <c r="M19" i="5"/>
  <c r="O19" i="5"/>
  <c r="M21" i="5"/>
  <c r="I106" i="6" s="1"/>
  <c r="O21" i="5"/>
  <c r="K106" i="6" s="1"/>
  <c r="M23" i="5"/>
  <c r="I109" i="6" s="1"/>
  <c r="O23" i="5"/>
  <c r="M25" i="5"/>
  <c r="I112" i="6" s="1"/>
  <c r="O25" i="5"/>
  <c r="K112" i="6" s="1"/>
  <c r="M27" i="5"/>
  <c r="I115" i="6" s="1"/>
  <c r="O27" i="5"/>
  <c r="M29" i="5"/>
  <c r="I118" i="6" s="1"/>
  <c r="O29" i="5"/>
  <c r="K118" i="6" s="1"/>
  <c r="M31" i="5"/>
  <c r="I121" i="6" s="1"/>
  <c r="O31" i="5"/>
  <c r="M33" i="5"/>
  <c r="I124" i="6" s="1"/>
  <c r="O33" i="5"/>
  <c r="K124" i="6" s="1"/>
  <c r="M35" i="5"/>
  <c r="I127" i="6" s="1"/>
  <c r="O35" i="5"/>
  <c r="M41" i="5"/>
  <c r="O41" i="5"/>
  <c r="O43" i="5"/>
  <c r="M45" i="5"/>
  <c r="I139" i="6" s="1"/>
  <c r="O45" i="5"/>
  <c r="K139" i="6" s="1"/>
  <c r="M47" i="5"/>
  <c r="I142" i="6" s="1"/>
  <c r="O47" i="5"/>
  <c r="M49" i="5"/>
  <c r="I145" i="6" s="1"/>
  <c r="O49" i="5"/>
  <c r="M51" i="5"/>
  <c r="I148" i="6" s="1"/>
  <c r="O51" i="5"/>
  <c r="M53" i="5"/>
  <c r="I151" i="6" s="1"/>
  <c r="O53" i="5"/>
  <c r="K151" i="6" s="1"/>
  <c r="M55" i="5"/>
  <c r="I154" i="6" s="1"/>
  <c r="O55" i="5"/>
  <c r="M57" i="5"/>
  <c r="I157" i="6" s="1"/>
  <c r="O57" i="5"/>
  <c r="K157" i="6" s="1"/>
  <c r="M59" i="5"/>
  <c r="I160" i="6" s="1"/>
  <c r="O59" i="5"/>
  <c r="M61" i="5"/>
  <c r="I163" i="6" s="1"/>
  <c r="O61" i="5"/>
  <c r="K163" i="6" s="1"/>
  <c r="M63" i="5"/>
  <c r="I166" i="6" s="1"/>
  <c r="O63" i="5"/>
  <c r="M65" i="5"/>
  <c r="I169" i="6" s="1"/>
  <c r="O65" i="5"/>
  <c r="K169" i="6" s="1"/>
  <c r="M71" i="5"/>
  <c r="I172" i="6" s="1"/>
  <c r="O71" i="5"/>
  <c r="O13" i="5"/>
  <c r="M13" i="5"/>
  <c r="H13" i="5"/>
  <c r="J92" i="6" s="1"/>
  <c r="K130" i="6" l="1"/>
  <c r="K133" i="6"/>
  <c r="I130" i="6"/>
  <c r="I133" i="6"/>
  <c r="I136" i="6"/>
  <c r="F24" i="1"/>
  <c r="K145" i="6"/>
  <c r="H24" i="1"/>
  <c r="O77" i="5"/>
  <c r="I103" i="6"/>
  <c r="M77" i="5"/>
  <c r="H23" i="1"/>
  <c r="J23" i="1" s="1"/>
  <c r="K154" i="6"/>
  <c r="K97" i="6"/>
  <c r="J13" i="5"/>
  <c r="L92" i="6" s="1"/>
  <c r="K136" i="6"/>
  <c r="K103" i="6"/>
  <c r="K13" i="5"/>
  <c r="M92" i="6" s="1"/>
  <c r="I94" i="6"/>
  <c r="K166" i="6"/>
  <c r="K142" i="6"/>
  <c r="K109" i="6"/>
  <c r="K94" i="6"/>
  <c r="K121" i="6"/>
  <c r="K160" i="6"/>
  <c r="K127" i="6"/>
  <c r="F23" i="1"/>
  <c r="H92" i="6"/>
  <c r="K172" i="6"/>
  <c r="K148" i="6"/>
  <c r="K115" i="6"/>
  <c r="F45" i="5"/>
  <c r="F46" i="5"/>
  <c r="H138" i="6" s="1"/>
  <c r="F47" i="5"/>
  <c r="F48" i="5"/>
  <c r="H141" i="6" s="1"/>
  <c r="F49" i="5"/>
  <c r="F50" i="5"/>
  <c r="H144" i="6" s="1"/>
  <c r="F51" i="5"/>
  <c r="F52" i="5"/>
  <c r="H147" i="6" s="1"/>
  <c r="F53" i="5"/>
  <c r="F54" i="5"/>
  <c r="H150" i="6" s="1"/>
  <c r="F55" i="5"/>
  <c r="F56" i="5"/>
  <c r="H153" i="6" s="1"/>
  <c r="F57" i="5"/>
  <c r="F58" i="5"/>
  <c r="H156" i="6" s="1"/>
  <c r="F59" i="5"/>
  <c r="F60" i="5"/>
  <c r="H159" i="6" s="1"/>
  <c r="F61" i="5"/>
  <c r="F62" i="5"/>
  <c r="H162" i="6" s="1"/>
  <c r="F63" i="5"/>
  <c r="F64" i="5"/>
  <c r="H165" i="6" s="1"/>
  <c r="F65" i="5"/>
  <c r="F66" i="5"/>
  <c r="H168" i="6" s="1"/>
  <c r="F71" i="5"/>
  <c r="F72" i="5"/>
  <c r="H171" i="6" s="1"/>
  <c r="F44" i="5"/>
  <c r="H135" i="6" s="1"/>
  <c r="H27" i="1" l="1"/>
  <c r="H164" i="6"/>
  <c r="H63" i="5"/>
  <c r="L63" i="5"/>
  <c r="H152" i="6"/>
  <c r="L55" i="5"/>
  <c r="H55" i="5"/>
  <c r="H146" i="6"/>
  <c r="L51" i="5"/>
  <c r="H51" i="5"/>
  <c r="H140" i="6"/>
  <c r="L47" i="5"/>
  <c r="H47" i="5"/>
  <c r="H170" i="6"/>
  <c r="L71" i="5"/>
  <c r="H71" i="5"/>
  <c r="H158" i="6"/>
  <c r="H59" i="5"/>
  <c r="L59" i="5"/>
  <c r="H134" i="6"/>
  <c r="L43" i="5"/>
  <c r="H43" i="5"/>
  <c r="F27" i="1"/>
  <c r="H167" i="6"/>
  <c r="L65" i="5"/>
  <c r="H65" i="5"/>
  <c r="H161" i="6"/>
  <c r="H61" i="5"/>
  <c r="L61" i="5"/>
  <c r="H155" i="6"/>
  <c r="L57" i="5"/>
  <c r="H57" i="5"/>
  <c r="H149" i="6"/>
  <c r="L53" i="5"/>
  <c r="H53" i="5"/>
  <c r="H143" i="6"/>
  <c r="L49" i="5"/>
  <c r="H49" i="5"/>
  <c r="H137" i="6"/>
  <c r="L45" i="5"/>
  <c r="H45" i="5"/>
  <c r="F42" i="5"/>
  <c r="H129" i="6" s="1"/>
  <c r="F41" i="5"/>
  <c r="F15" i="5"/>
  <c r="F16" i="5"/>
  <c r="H96" i="6" s="1"/>
  <c r="F17" i="5"/>
  <c r="F18" i="5"/>
  <c r="H99" i="6" s="1"/>
  <c r="F20" i="5"/>
  <c r="F21" i="5"/>
  <c r="F22" i="5"/>
  <c r="H105" i="6" s="1"/>
  <c r="F23" i="5"/>
  <c r="F24" i="5"/>
  <c r="H108" i="6" s="1"/>
  <c r="F25" i="5"/>
  <c r="H25" i="5" s="1"/>
  <c r="F26" i="5"/>
  <c r="H111" i="6" s="1"/>
  <c r="F27" i="5"/>
  <c r="F28" i="5"/>
  <c r="H114" i="6" s="1"/>
  <c r="F29" i="5"/>
  <c r="F30" i="5"/>
  <c r="H117" i="6" s="1"/>
  <c r="F31" i="5"/>
  <c r="H31" i="5" s="1"/>
  <c r="F32" i="5"/>
  <c r="H120" i="6" s="1"/>
  <c r="F33" i="5"/>
  <c r="F34" i="5"/>
  <c r="H123" i="6" s="1"/>
  <c r="F35" i="5"/>
  <c r="F36" i="5"/>
  <c r="H126" i="6" s="1"/>
  <c r="E5" i="5"/>
  <c r="E4" i="5"/>
  <c r="D6" i="5"/>
  <c r="C6" i="5"/>
  <c r="E6" i="5" l="1"/>
  <c r="E24" i="1"/>
  <c r="G24" i="1" s="1"/>
  <c r="F77" i="5"/>
  <c r="H77" i="5" s="1"/>
  <c r="H102" i="6"/>
  <c r="L19" i="5"/>
  <c r="H93" i="6"/>
  <c r="H14" i="5"/>
  <c r="L13" i="5"/>
  <c r="H116" i="6"/>
  <c r="H29" i="5"/>
  <c r="L29" i="5"/>
  <c r="H98" i="6"/>
  <c r="L17" i="5"/>
  <c r="H17" i="5"/>
  <c r="J47" i="5"/>
  <c r="J140" i="6"/>
  <c r="K47" i="5"/>
  <c r="M140" i="6" s="1"/>
  <c r="H148" i="6"/>
  <c r="N51" i="5"/>
  <c r="J143" i="6"/>
  <c r="K49" i="5"/>
  <c r="M143" i="6" s="1"/>
  <c r="J49" i="5"/>
  <c r="N53" i="5"/>
  <c r="H151" i="6"/>
  <c r="J167" i="6"/>
  <c r="K65" i="5"/>
  <c r="M167" i="6" s="1"/>
  <c r="J65" i="5"/>
  <c r="J71" i="5"/>
  <c r="J170" i="6"/>
  <c r="K71" i="5"/>
  <c r="M170" i="6" s="1"/>
  <c r="H142" i="6"/>
  <c r="N47" i="5"/>
  <c r="H166" i="6"/>
  <c r="N63" i="5"/>
  <c r="H122" i="6"/>
  <c r="L33" i="5"/>
  <c r="H33" i="5"/>
  <c r="H104" i="6"/>
  <c r="L21" i="5"/>
  <c r="H21" i="5"/>
  <c r="J149" i="6"/>
  <c r="K53" i="5"/>
  <c r="M149" i="6" s="1"/>
  <c r="J53" i="5"/>
  <c r="H125" i="6"/>
  <c r="L35" i="5"/>
  <c r="H35" i="5"/>
  <c r="H113" i="6"/>
  <c r="L27" i="5"/>
  <c r="H27" i="5"/>
  <c r="H101" i="6"/>
  <c r="H95" i="6"/>
  <c r="L15" i="5"/>
  <c r="H15" i="5"/>
  <c r="J137" i="6"/>
  <c r="K45" i="5"/>
  <c r="M137" i="6" s="1"/>
  <c r="J45" i="5"/>
  <c r="N49" i="5"/>
  <c r="H145" i="6"/>
  <c r="N61" i="5"/>
  <c r="H163" i="6"/>
  <c r="N65" i="5"/>
  <c r="H169" i="6"/>
  <c r="J43" i="5"/>
  <c r="J134" i="6"/>
  <c r="K43" i="5"/>
  <c r="M134" i="6" s="1"/>
  <c r="H160" i="6"/>
  <c r="N59" i="5"/>
  <c r="H172" i="6"/>
  <c r="N71" i="5"/>
  <c r="J55" i="5"/>
  <c r="J152" i="6"/>
  <c r="K55" i="5"/>
  <c r="M152" i="6" s="1"/>
  <c r="J63" i="5"/>
  <c r="J164" i="6"/>
  <c r="K63" i="5"/>
  <c r="M164" i="6" s="1"/>
  <c r="H110" i="6"/>
  <c r="L25" i="5"/>
  <c r="N57" i="5"/>
  <c r="H157" i="6"/>
  <c r="H119" i="6"/>
  <c r="L31" i="5"/>
  <c r="H107" i="6"/>
  <c r="H23" i="5"/>
  <c r="L23" i="5"/>
  <c r="H128" i="6"/>
  <c r="H41" i="5"/>
  <c r="K41" i="5" s="1"/>
  <c r="L41" i="5"/>
  <c r="N45" i="5"/>
  <c r="H139" i="6"/>
  <c r="J155" i="6"/>
  <c r="K57" i="5"/>
  <c r="M155" i="6" s="1"/>
  <c r="J57" i="5"/>
  <c r="J161" i="6"/>
  <c r="K61" i="5"/>
  <c r="M161" i="6" s="1"/>
  <c r="J61" i="5"/>
  <c r="H136" i="6"/>
  <c r="N43" i="5"/>
  <c r="J59" i="5"/>
  <c r="J158" i="6"/>
  <c r="K59" i="5"/>
  <c r="M158" i="6" s="1"/>
  <c r="J51" i="5"/>
  <c r="J146" i="6"/>
  <c r="K51" i="5"/>
  <c r="M146" i="6" s="1"/>
  <c r="H154" i="6"/>
  <c r="N55" i="5"/>
  <c r="L77" i="5" l="1"/>
  <c r="N77" i="5" s="1"/>
  <c r="J77" i="5"/>
  <c r="K77" i="5"/>
  <c r="J139" i="6"/>
  <c r="P45" i="5"/>
  <c r="L139" i="6" s="1"/>
  <c r="Q45" i="5"/>
  <c r="M139" i="6" s="1"/>
  <c r="J110" i="6"/>
  <c r="K25" i="5"/>
  <c r="M110" i="6" s="1"/>
  <c r="J25" i="5"/>
  <c r="J19" i="5"/>
  <c r="J101" i="6"/>
  <c r="K19" i="5"/>
  <c r="M101" i="6" s="1"/>
  <c r="J104" i="6"/>
  <c r="K21" i="5"/>
  <c r="M104" i="6" s="1"/>
  <c r="J21" i="5"/>
  <c r="P47" i="5"/>
  <c r="L142" i="6" s="1"/>
  <c r="J142" i="6"/>
  <c r="Q47" i="5"/>
  <c r="M142" i="6" s="1"/>
  <c r="H176" i="6"/>
  <c r="H60" i="5"/>
  <c r="L158" i="6"/>
  <c r="H62" i="5"/>
  <c r="L161" i="6"/>
  <c r="N41" i="5"/>
  <c r="J133" i="6" s="1"/>
  <c r="H130" i="6"/>
  <c r="J23" i="5"/>
  <c r="J107" i="6"/>
  <c r="K23" i="5"/>
  <c r="M107" i="6" s="1"/>
  <c r="N25" i="5"/>
  <c r="H112" i="6"/>
  <c r="H64" i="5"/>
  <c r="L164" i="6"/>
  <c r="P71" i="5"/>
  <c r="L172" i="6" s="1"/>
  <c r="J172" i="6"/>
  <c r="Q71" i="5"/>
  <c r="M172" i="6" s="1"/>
  <c r="J169" i="6"/>
  <c r="Q65" i="5"/>
  <c r="M169" i="6" s="1"/>
  <c r="P65" i="5"/>
  <c r="L169" i="6" s="1"/>
  <c r="J145" i="6"/>
  <c r="P49" i="5"/>
  <c r="L145" i="6" s="1"/>
  <c r="Q49" i="5"/>
  <c r="M145" i="6" s="1"/>
  <c r="J15" i="5"/>
  <c r="J95" i="6"/>
  <c r="K15" i="5"/>
  <c r="M95" i="6" s="1"/>
  <c r="H103" i="6"/>
  <c r="N19" i="5"/>
  <c r="H54" i="5"/>
  <c r="L149" i="6"/>
  <c r="N21" i="5"/>
  <c r="H106" i="6"/>
  <c r="H66" i="5"/>
  <c r="L167" i="6"/>
  <c r="J151" i="6"/>
  <c r="Q53" i="5"/>
  <c r="M151" i="6" s="1"/>
  <c r="P53" i="5"/>
  <c r="L151" i="6" s="1"/>
  <c r="P51" i="5"/>
  <c r="L148" i="6" s="1"/>
  <c r="J148" i="6"/>
  <c r="Q51" i="5"/>
  <c r="M148" i="6" s="1"/>
  <c r="H48" i="5"/>
  <c r="L140" i="6"/>
  <c r="N29" i="5"/>
  <c r="H118" i="6"/>
  <c r="H94" i="6"/>
  <c r="N13" i="5"/>
  <c r="E23" i="1"/>
  <c r="H58" i="5"/>
  <c r="L155" i="6"/>
  <c r="H121" i="6"/>
  <c r="N31" i="5"/>
  <c r="H72" i="5"/>
  <c r="L170" i="6"/>
  <c r="H46" i="5"/>
  <c r="L137" i="6"/>
  <c r="H97" i="6"/>
  <c r="N15" i="5"/>
  <c r="J35" i="5"/>
  <c r="J125" i="6"/>
  <c r="K35" i="5"/>
  <c r="M125" i="6" s="1"/>
  <c r="P63" i="5"/>
  <c r="L166" i="6" s="1"/>
  <c r="J166" i="6"/>
  <c r="Q63" i="5"/>
  <c r="M166" i="6" s="1"/>
  <c r="H50" i="5"/>
  <c r="L143" i="6"/>
  <c r="J98" i="6"/>
  <c r="K17" i="5"/>
  <c r="M98" i="6" s="1"/>
  <c r="J17" i="5"/>
  <c r="J116" i="6"/>
  <c r="K29" i="5"/>
  <c r="M116" i="6" s="1"/>
  <c r="J29" i="5"/>
  <c r="J93" i="6"/>
  <c r="K14" i="5"/>
  <c r="M93" i="6" s="1"/>
  <c r="J14" i="5"/>
  <c r="L93" i="6" s="1"/>
  <c r="H109" i="6"/>
  <c r="N23" i="5"/>
  <c r="H56" i="5"/>
  <c r="L152" i="6"/>
  <c r="H115" i="6"/>
  <c r="N27" i="5"/>
  <c r="N33" i="5"/>
  <c r="H124" i="6"/>
  <c r="P55" i="5"/>
  <c r="L154" i="6" s="1"/>
  <c r="J154" i="6"/>
  <c r="Q55" i="5"/>
  <c r="M154" i="6" s="1"/>
  <c r="H52" i="5"/>
  <c r="L146" i="6"/>
  <c r="J136" i="6"/>
  <c r="P43" i="5"/>
  <c r="L136" i="6" s="1"/>
  <c r="Q43" i="5"/>
  <c r="M136" i="6" s="1"/>
  <c r="J128" i="6"/>
  <c r="M128" i="6"/>
  <c r="J41" i="5"/>
  <c r="I24" i="1"/>
  <c r="J24" i="1"/>
  <c r="J31" i="5"/>
  <c r="J119" i="6"/>
  <c r="K31" i="5"/>
  <c r="M119" i="6" s="1"/>
  <c r="J157" i="6"/>
  <c r="Q57" i="5"/>
  <c r="M157" i="6" s="1"/>
  <c r="P57" i="5"/>
  <c r="L157" i="6" s="1"/>
  <c r="P59" i="5"/>
  <c r="L160" i="6" s="1"/>
  <c r="J160" i="6"/>
  <c r="Q59" i="5"/>
  <c r="M160" i="6" s="1"/>
  <c r="H44" i="5"/>
  <c r="L134" i="6"/>
  <c r="J163" i="6"/>
  <c r="Q61" i="5"/>
  <c r="M163" i="6" s="1"/>
  <c r="P61" i="5"/>
  <c r="L163" i="6" s="1"/>
  <c r="J27" i="5"/>
  <c r="J113" i="6"/>
  <c r="K27" i="5"/>
  <c r="M113" i="6" s="1"/>
  <c r="H127" i="6"/>
  <c r="N35" i="5"/>
  <c r="J122" i="6"/>
  <c r="K33" i="5"/>
  <c r="M122" i="6" s="1"/>
  <c r="J33" i="5"/>
  <c r="N17" i="5"/>
  <c r="H100" i="6"/>
  <c r="Q77" i="5" l="1"/>
  <c r="P77" i="5"/>
  <c r="E27" i="1"/>
  <c r="G27" i="1" s="1"/>
  <c r="J27" i="1" s="1"/>
  <c r="G23" i="1"/>
  <c r="H24" i="5"/>
  <c r="L107" i="6"/>
  <c r="J162" i="6"/>
  <c r="K62" i="5"/>
  <c r="M162" i="6" s="1"/>
  <c r="J62" i="5"/>
  <c r="L162" i="6" s="1"/>
  <c r="H22" i="5"/>
  <c r="L104" i="6"/>
  <c r="J100" i="6"/>
  <c r="P17" i="5"/>
  <c r="L100" i="6" s="1"/>
  <c r="Q17" i="5"/>
  <c r="M100" i="6" s="1"/>
  <c r="P35" i="5"/>
  <c r="L127" i="6" s="1"/>
  <c r="J127" i="6"/>
  <c r="Q35" i="5"/>
  <c r="M127" i="6" s="1"/>
  <c r="H28" i="5"/>
  <c r="L113" i="6"/>
  <c r="J147" i="6"/>
  <c r="K52" i="5"/>
  <c r="M147" i="6" s="1"/>
  <c r="J52" i="5"/>
  <c r="L147" i="6" s="1"/>
  <c r="H36" i="5"/>
  <c r="L125" i="6"/>
  <c r="J138" i="6"/>
  <c r="K46" i="5"/>
  <c r="M138" i="6" s="1"/>
  <c r="J46" i="5"/>
  <c r="L138" i="6" s="1"/>
  <c r="J94" i="6"/>
  <c r="P13" i="5"/>
  <c r="L94" i="6" s="1"/>
  <c r="Q13" i="5"/>
  <c r="M94" i="6" s="1"/>
  <c r="J118" i="6"/>
  <c r="P29" i="5"/>
  <c r="L118" i="6" s="1"/>
  <c r="Q29" i="5"/>
  <c r="M118" i="6" s="1"/>
  <c r="J106" i="6"/>
  <c r="P21" i="5"/>
  <c r="L106" i="6" s="1"/>
  <c r="Q21" i="5"/>
  <c r="M106" i="6" s="1"/>
  <c r="J112" i="6"/>
  <c r="Q25" i="5"/>
  <c r="M112" i="6" s="1"/>
  <c r="P25" i="5"/>
  <c r="L112" i="6" s="1"/>
  <c r="H20" i="5"/>
  <c r="L101" i="6"/>
  <c r="P19" i="5"/>
  <c r="L103" i="6" s="1"/>
  <c r="J103" i="6"/>
  <c r="Q19" i="5"/>
  <c r="M103" i="6" s="1"/>
  <c r="J135" i="6"/>
  <c r="K44" i="5"/>
  <c r="M135" i="6" s="1"/>
  <c r="J44" i="5"/>
  <c r="L135" i="6" s="1"/>
  <c r="J124" i="6"/>
  <c r="Q33" i="5"/>
  <c r="M124" i="6" s="1"/>
  <c r="P33" i="5"/>
  <c r="L124" i="6" s="1"/>
  <c r="J153" i="6"/>
  <c r="J56" i="5"/>
  <c r="L153" i="6" s="1"/>
  <c r="K56" i="5"/>
  <c r="M153" i="6" s="1"/>
  <c r="P15" i="5"/>
  <c r="L97" i="6" s="1"/>
  <c r="J97" i="6"/>
  <c r="Q15" i="5"/>
  <c r="M97" i="6" s="1"/>
  <c r="J130" i="6"/>
  <c r="P41" i="5"/>
  <c r="Q41" i="5"/>
  <c r="J159" i="6"/>
  <c r="K60" i="5"/>
  <c r="M159" i="6" s="1"/>
  <c r="J60" i="5"/>
  <c r="L159" i="6" s="1"/>
  <c r="H26" i="5"/>
  <c r="L110" i="6"/>
  <c r="H30" i="5"/>
  <c r="L116" i="6"/>
  <c r="P31" i="5"/>
  <c r="L121" i="6" s="1"/>
  <c r="J121" i="6"/>
  <c r="Q31" i="5"/>
  <c r="M121" i="6" s="1"/>
  <c r="H16" i="5"/>
  <c r="L95" i="6"/>
  <c r="H34" i="5"/>
  <c r="L122" i="6"/>
  <c r="H42" i="5"/>
  <c r="K42" i="5" s="1"/>
  <c r="L128" i="6"/>
  <c r="H32" i="5"/>
  <c r="L119" i="6"/>
  <c r="P27" i="5"/>
  <c r="L115" i="6" s="1"/>
  <c r="J115" i="6"/>
  <c r="Q27" i="5"/>
  <c r="M115" i="6" s="1"/>
  <c r="P23" i="5"/>
  <c r="L109" i="6" s="1"/>
  <c r="J109" i="6"/>
  <c r="Q23" i="5"/>
  <c r="M109" i="6" s="1"/>
  <c r="H18" i="5"/>
  <c r="L98" i="6"/>
  <c r="J144" i="6"/>
  <c r="K50" i="5"/>
  <c r="M144" i="6" s="1"/>
  <c r="J50" i="5"/>
  <c r="L144" i="6" s="1"/>
  <c r="J171" i="6"/>
  <c r="J72" i="5"/>
  <c r="L171" i="6" s="1"/>
  <c r="K72" i="5"/>
  <c r="M171" i="6" s="1"/>
  <c r="J156" i="6"/>
  <c r="J58" i="5"/>
  <c r="L156" i="6" s="1"/>
  <c r="K58" i="5"/>
  <c r="M156" i="6" s="1"/>
  <c r="J141" i="6"/>
  <c r="J48" i="5"/>
  <c r="L141" i="6" s="1"/>
  <c r="K48" i="5"/>
  <c r="M141" i="6" s="1"/>
  <c r="J168" i="6"/>
  <c r="K66" i="5"/>
  <c r="M168" i="6" s="1"/>
  <c r="J66" i="5"/>
  <c r="L168" i="6" s="1"/>
  <c r="J150" i="6"/>
  <c r="K54" i="5"/>
  <c r="M150" i="6" s="1"/>
  <c r="J54" i="5"/>
  <c r="L150" i="6" s="1"/>
  <c r="J165" i="6"/>
  <c r="J64" i="5"/>
  <c r="L165" i="6" s="1"/>
  <c r="K64" i="5"/>
  <c r="M165" i="6" s="1"/>
  <c r="J176" i="6"/>
  <c r="L176" i="6"/>
  <c r="M176" i="6"/>
  <c r="H56" i="3"/>
  <c r="K91" i="6" s="1"/>
  <c r="F56" i="3"/>
  <c r="I91" i="6" s="1"/>
  <c r="H19" i="2"/>
  <c r="K21" i="6" s="1"/>
  <c r="F19" i="2"/>
  <c r="I21" i="6" s="1"/>
  <c r="M18" i="2"/>
  <c r="F8" i="1" s="1"/>
  <c r="O18" i="2"/>
  <c r="H8" i="1" s="1"/>
  <c r="L18" i="2"/>
  <c r="G18" i="2"/>
  <c r="J20" i="6" s="1"/>
  <c r="M130" i="6" l="1"/>
  <c r="M133" i="6"/>
  <c r="L130" i="6"/>
  <c r="L133" i="6"/>
  <c r="I18" i="2"/>
  <c r="L20" i="6" s="1"/>
  <c r="J18" i="2"/>
  <c r="N18" i="2"/>
  <c r="J129" i="6"/>
  <c r="M129" i="6"/>
  <c r="J42" i="5"/>
  <c r="L129" i="6" s="1"/>
  <c r="J114" i="6"/>
  <c r="J28" i="5"/>
  <c r="L114" i="6" s="1"/>
  <c r="K28" i="5"/>
  <c r="M114" i="6" s="1"/>
  <c r="J105" i="6"/>
  <c r="K22" i="5"/>
  <c r="M105" i="6" s="1"/>
  <c r="J22" i="5"/>
  <c r="L105" i="6" s="1"/>
  <c r="J117" i="6"/>
  <c r="K30" i="5"/>
  <c r="M117" i="6" s="1"/>
  <c r="J30" i="5"/>
  <c r="L117" i="6" s="1"/>
  <c r="J108" i="6"/>
  <c r="K24" i="5"/>
  <c r="M108" i="6" s="1"/>
  <c r="J24" i="5"/>
  <c r="L108" i="6" s="1"/>
  <c r="J99" i="6"/>
  <c r="K18" i="5"/>
  <c r="M99" i="6" s="1"/>
  <c r="J18" i="5"/>
  <c r="L99" i="6" s="1"/>
  <c r="J120" i="6"/>
  <c r="K32" i="5"/>
  <c r="M120" i="6" s="1"/>
  <c r="J32" i="5"/>
  <c r="L120" i="6" s="1"/>
  <c r="J123" i="6"/>
  <c r="K34" i="5"/>
  <c r="M123" i="6" s="1"/>
  <c r="J34" i="5"/>
  <c r="L123" i="6" s="1"/>
  <c r="J102" i="6"/>
  <c r="J20" i="5"/>
  <c r="L102" i="6" s="1"/>
  <c r="K20" i="5"/>
  <c r="M102" i="6" s="1"/>
  <c r="I23" i="1"/>
  <c r="J96" i="6"/>
  <c r="J16" i="5"/>
  <c r="L96" i="6" s="1"/>
  <c r="K16" i="5"/>
  <c r="M96" i="6" s="1"/>
  <c r="J111" i="6"/>
  <c r="J26" i="5"/>
  <c r="L111" i="6" s="1"/>
  <c r="K26" i="5"/>
  <c r="M111" i="6" s="1"/>
  <c r="J126" i="6"/>
  <c r="J36" i="5"/>
  <c r="L126" i="6" s="1"/>
  <c r="K36" i="5"/>
  <c r="M126" i="6" s="1"/>
  <c r="I27" i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G6" i="2"/>
  <c r="J2" i="6" s="1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I48" i="6" s="1"/>
  <c r="N22" i="3"/>
  <c r="K48" i="6" s="1"/>
  <c r="L24" i="3"/>
  <c r="N24" i="3"/>
  <c r="K51" i="6" s="1"/>
  <c r="L28" i="3"/>
  <c r="I54" i="6" s="1"/>
  <c r="N28" i="3"/>
  <c r="K54" i="6" s="1"/>
  <c r="L30" i="3"/>
  <c r="N30" i="3"/>
  <c r="K57" i="6" s="1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I78" i="6" s="1"/>
  <c r="N44" i="3"/>
  <c r="K78" i="6" s="1"/>
  <c r="L46" i="3"/>
  <c r="N46" i="3"/>
  <c r="K81" i="6" s="1"/>
  <c r="L48" i="3"/>
  <c r="I84" i="6" s="1"/>
  <c r="N48" i="3"/>
  <c r="K84" i="6" s="1"/>
  <c r="L54" i="3"/>
  <c r="I90" i="6" s="1"/>
  <c r="N54" i="3"/>
  <c r="K90" i="6" s="1"/>
  <c r="N6" i="3"/>
  <c r="L6" i="3"/>
  <c r="P18" i="2" l="1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L56" i="3"/>
  <c r="I81" i="6"/>
  <c r="I63" i="6"/>
  <c r="J6" i="2"/>
  <c r="M2" i="6" s="1"/>
  <c r="I14" i="2"/>
  <c r="J12" i="2"/>
  <c r="M11" i="6" s="1"/>
  <c r="J11" i="6"/>
  <c r="N6" i="2"/>
  <c r="K7" i="6"/>
  <c r="M20" i="6"/>
  <c r="Q18" i="2"/>
  <c r="I69" i="6"/>
  <c r="I51" i="6"/>
  <c r="G7" i="2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N56" i="3"/>
  <c r="K19" i="6"/>
  <c r="H7" i="1"/>
  <c r="O19" i="2"/>
  <c r="E19" i="2"/>
  <c r="I10" i="1" l="1"/>
  <c r="J10" i="1"/>
  <c r="H9" i="1"/>
  <c r="I7" i="1"/>
  <c r="J7" i="1"/>
  <c r="J11" i="1"/>
  <c r="I11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E9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J3" i="6"/>
  <c r="I7" i="2"/>
  <c r="L3" i="6" s="1"/>
  <c r="J7" i="2"/>
  <c r="M3" i="6" s="1"/>
  <c r="H83" i="6"/>
  <c r="H71" i="6"/>
  <c r="H59" i="6"/>
  <c r="H77" i="6"/>
  <c r="E6" i="3"/>
  <c r="E16" i="3"/>
  <c r="H26" i="6"/>
  <c r="E8" i="3"/>
  <c r="H53" i="6"/>
  <c r="E28" i="3"/>
  <c r="H47" i="6"/>
  <c r="E22" i="3"/>
  <c r="E20" i="3"/>
  <c r="H41" i="6"/>
  <c r="E18" i="3"/>
  <c r="H35" i="6"/>
  <c r="E14" i="3"/>
  <c r="H29" i="6"/>
  <c r="E10" i="3"/>
  <c r="I9" i="1" l="1"/>
  <c r="J9" i="1"/>
  <c r="H14" i="1"/>
  <c r="I12" i="1"/>
  <c r="J12" i="1"/>
  <c r="F14" i="1"/>
  <c r="J9" i="6"/>
  <c r="J11" i="2"/>
  <c r="M9" i="6" s="1"/>
  <c r="I11" i="2"/>
  <c r="L9" i="6" s="1"/>
  <c r="P19" i="2"/>
  <c r="H50" i="6"/>
  <c r="H23" i="6"/>
  <c r="H68" i="6"/>
  <c r="H89" i="6"/>
  <c r="H65" i="6"/>
  <c r="I17" i="2"/>
  <c r="L18" i="6" s="1"/>
  <c r="J17" i="2"/>
  <c r="M18" i="6" s="1"/>
  <c r="J18" i="6"/>
  <c r="H34" i="6"/>
  <c r="K14" i="3"/>
  <c r="G14" i="3"/>
  <c r="H52" i="6"/>
  <c r="G28" i="3"/>
  <c r="K28" i="3"/>
  <c r="H37" i="6"/>
  <c r="G16" i="3"/>
  <c r="K16" i="3"/>
  <c r="H31" i="6"/>
  <c r="K12" i="3"/>
  <c r="G12" i="3"/>
  <c r="H61" i="6"/>
  <c r="K34" i="3"/>
  <c r="G34" i="3"/>
  <c r="H73" i="6"/>
  <c r="K42" i="3"/>
  <c r="G42" i="3"/>
  <c r="H79" i="6"/>
  <c r="K46" i="3"/>
  <c r="G46" i="3"/>
  <c r="H58" i="6"/>
  <c r="K32" i="3"/>
  <c r="G32" i="3"/>
  <c r="H82" i="6"/>
  <c r="K48" i="3"/>
  <c r="G48" i="3"/>
  <c r="H55" i="6"/>
  <c r="K30" i="3"/>
  <c r="G30" i="3"/>
  <c r="H38" i="6"/>
  <c r="H74" i="6"/>
  <c r="H56" i="6"/>
  <c r="L4" i="6"/>
  <c r="H43" i="6"/>
  <c r="K20" i="3"/>
  <c r="G20" i="3"/>
  <c r="H44" i="6"/>
  <c r="H32" i="6"/>
  <c r="H62" i="6"/>
  <c r="H80" i="6"/>
  <c r="H28" i="6"/>
  <c r="K10" i="3"/>
  <c r="G10" i="3"/>
  <c r="H40" i="6"/>
  <c r="K18" i="3"/>
  <c r="G18" i="3"/>
  <c r="H46" i="6"/>
  <c r="K22" i="3"/>
  <c r="G22" i="3"/>
  <c r="H25" i="6"/>
  <c r="K8" i="3"/>
  <c r="G8" i="3"/>
  <c r="H49" i="6"/>
  <c r="G24" i="3"/>
  <c r="K24" i="3"/>
  <c r="H22" i="6"/>
  <c r="K6" i="3"/>
  <c r="G6" i="3"/>
  <c r="E56" i="3"/>
  <c r="H67" i="6"/>
  <c r="K38" i="3"/>
  <c r="G38" i="3"/>
  <c r="H76" i="6"/>
  <c r="K44" i="3"/>
  <c r="G44" i="3"/>
  <c r="H88" i="6"/>
  <c r="K54" i="3"/>
  <c r="G54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I14" i="1" l="1"/>
  <c r="J14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9" i="6"/>
  <c r="I24" i="3"/>
  <c r="J24" i="3"/>
  <c r="M49" i="6" s="1"/>
  <c r="J18" i="3"/>
  <c r="M40" i="6" s="1"/>
  <c r="J40" i="6"/>
  <c r="I18" i="3"/>
  <c r="H30" i="6"/>
  <c r="M10" i="3"/>
  <c r="J48" i="3"/>
  <c r="M82" i="6" s="1"/>
  <c r="J82" i="6"/>
  <c r="I48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J44" i="3"/>
  <c r="M76" i="6" s="1"/>
  <c r="J76" i="6"/>
  <c r="I44" i="3"/>
  <c r="H69" i="6"/>
  <c r="M38" i="3"/>
  <c r="H24" i="6"/>
  <c r="E10" i="1"/>
  <c r="K56" i="3"/>
  <c r="M56" i="3" s="1"/>
  <c r="M6" i="3"/>
  <c r="J22" i="3"/>
  <c r="M46" i="6" s="1"/>
  <c r="J46" i="6"/>
  <c r="I22" i="3"/>
  <c r="H42" i="6"/>
  <c r="M18" i="3"/>
  <c r="J55" i="6"/>
  <c r="I30" i="3"/>
  <c r="J30" i="3"/>
  <c r="M55" i="6" s="1"/>
  <c r="M48" i="3"/>
  <c r="H84" i="6"/>
  <c r="J73" i="6"/>
  <c r="I42" i="3"/>
  <c r="J42" i="3"/>
  <c r="M73" i="6" s="1"/>
  <c r="H63" i="6"/>
  <c r="M34" i="3"/>
  <c r="H54" i="6"/>
  <c r="M28" i="3"/>
  <c r="M14" i="3"/>
  <c r="H36" i="6"/>
  <c r="J36" i="3"/>
  <c r="M64" i="6" s="1"/>
  <c r="J64" i="6"/>
  <c r="I36" i="3"/>
  <c r="J88" i="6"/>
  <c r="I54" i="3"/>
  <c r="J54" i="3"/>
  <c r="M88" i="6" s="1"/>
  <c r="H78" i="6"/>
  <c r="M44" i="3"/>
  <c r="I8" i="3"/>
  <c r="J25" i="6"/>
  <c r="J8" i="3"/>
  <c r="M25" i="6" s="1"/>
  <c r="M22" i="3"/>
  <c r="H48" i="6"/>
  <c r="J43" i="6"/>
  <c r="I20" i="3"/>
  <c r="J20" i="3"/>
  <c r="M43" i="6" s="1"/>
  <c r="M30" i="3"/>
  <c r="H57" i="6"/>
  <c r="E11" i="1"/>
  <c r="J79" i="6"/>
  <c r="I46" i="3"/>
  <c r="J46" i="3"/>
  <c r="M79" i="6" s="1"/>
  <c r="M42" i="3"/>
  <c r="H75" i="6"/>
  <c r="M16" i="3"/>
  <c r="H39" i="6"/>
  <c r="J28" i="3"/>
  <c r="M52" i="6" s="1"/>
  <c r="J52" i="6"/>
  <c r="I28" i="3"/>
  <c r="J40" i="3"/>
  <c r="M70" i="6" s="1"/>
  <c r="J70" i="6"/>
  <c r="I40" i="3"/>
  <c r="H90" i="6"/>
  <c r="M54" i="3"/>
  <c r="H91" i="6"/>
  <c r="G56" i="3"/>
  <c r="H51" i="6"/>
  <c r="M24" i="3"/>
  <c r="M8" i="3"/>
  <c r="H27" i="6"/>
  <c r="J10" i="3"/>
  <c r="M28" i="6" s="1"/>
  <c r="J28" i="6"/>
  <c r="I10" i="3"/>
  <c r="M20" i="3"/>
  <c r="H45" i="6"/>
  <c r="J32" i="3"/>
  <c r="M58" i="6" s="1"/>
  <c r="J58" i="6"/>
  <c r="I32" i="3"/>
  <c r="H81" i="6"/>
  <c r="M46" i="3"/>
  <c r="J31" i="6"/>
  <c r="I12" i="3"/>
  <c r="J12" i="3"/>
  <c r="M31" i="6" s="1"/>
  <c r="J37" i="6"/>
  <c r="I16" i="3"/>
  <c r="J16" i="3"/>
  <c r="M37" i="6" s="1"/>
  <c r="L31" i="6" l="1"/>
  <c r="G13" i="3"/>
  <c r="G29" i="3"/>
  <c r="L52" i="6"/>
  <c r="O16" i="3"/>
  <c r="L39" i="6" s="1"/>
  <c r="J39" i="6"/>
  <c r="P16" i="3"/>
  <c r="M39" i="6" s="1"/>
  <c r="L79" i="6"/>
  <c r="G47" i="3"/>
  <c r="O30" i="3"/>
  <c r="J57" i="6"/>
  <c r="P30" i="3"/>
  <c r="G9" i="3"/>
  <c r="L25" i="6"/>
  <c r="L88" i="6"/>
  <c r="G55" i="3"/>
  <c r="L73" i="6"/>
  <c r="G43" i="3"/>
  <c r="J24" i="6"/>
  <c r="O6" i="3"/>
  <c r="P6" i="3"/>
  <c r="O38" i="3"/>
  <c r="L69" i="6" s="1"/>
  <c r="J69" i="6"/>
  <c r="P38" i="3"/>
  <c r="M69" i="6" s="1"/>
  <c r="G19" i="3"/>
  <c r="L40" i="6"/>
  <c r="L49" i="6"/>
  <c r="G25" i="3"/>
  <c r="G33" i="3"/>
  <c r="L58" i="6"/>
  <c r="O20" i="3"/>
  <c r="L45" i="6" s="1"/>
  <c r="J45" i="6"/>
  <c r="P20" i="3"/>
  <c r="M45" i="6" s="1"/>
  <c r="J91" i="6"/>
  <c r="I56" i="3"/>
  <c r="L91" i="6" s="1"/>
  <c r="J56" i="3"/>
  <c r="M91" i="6" s="1"/>
  <c r="G41" i="3"/>
  <c r="L70" i="6"/>
  <c r="O22" i="3"/>
  <c r="L48" i="6" s="1"/>
  <c r="J48" i="6"/>
  <c r="P22" i="3"/>
  <c r="M48" i="6" s="1"/>
  <c r="O44" i="3"/>
  <c r="L78" i="6" s="1"/>
  <c r="J78" i="6"/>
  <c r="P44" i="3"/>
  <c r="M78" i="6" s="1"/>
  <c r="O34" i="3"/>
  <c r="L63" i="6" s="1"/>
  <c r="J63" i="6"/>
  <c r="P34" i="3"/>
  <c r="M63" i="6" s="1"/>
  <c r="L55" i="6"/>
  <c r="G31" i="3"/>
  <c r="G23" i="3"/>
  <c r="L46" i="6"/>
  <c r="O56" i="3"/>
  <c r="P56" i="3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43" i="6"/>
  <c r="G21" i="3"/>
  <c r="L64" i="6"/>
  <c r="G37" i="3"/>
  <c r="O14" i="3"/>
  <c r="L36" i="6" s="1"/>
  <c r="J36" i="6"/>
  <c r="P14" i="3"/>
  <c r="M36" i="6" s="1"/>
  <c r="E12" i="1"/>
  <c r="G45" i="3"/>
  <c r="L76" i="6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6" i="3"/>
  <c r="L81" i="6" s="1"/>
  <c r="J81" i="6"/>
  <c r="P46" i="3"/>
  <c r="M81" i="6" s="1"/>
  <c r="O24" i="3"/>
  <c r="L51" i="6" s="1"/>
  <c r="J51" i="6"/>
  <c r="P24" i="3"/>
  <c r="M51" i="6" s="1"/>
  <c r="O54" i="3"/>
  <c r="L90" i="6" s="1"/>
  <c r="J90" i="6"/>
  <c r="P54" i="3"/>
  <c r="M90" i="6" s="1"/>
  <c r="O28" i="3"/>
  <c r="L54" i="6" s="1"/>
  <c r="J54" i="6"/>
  <c r="P28" i="3"/>
  <c r="M54" i="6" s="1"/>
  <c r="O48" i="3"/>
  <c r="L84" i="6" s="1"/>
  <c r="J84" i="6"/>
  <c r="P48" i="3"/>
  <c r="M84" i="6" s="1"/>
  <c r="O18" i="3"/>
  <c r="L42" i="6" s="1"/>
  <c r="J42" i="6"/>
  <c r="P18" i="3"/>
  <c r="M42" i="6" s="1"/>
  <c r="L61" i="6"/>
  <c r="G35" i="3"/>
  <c r="G49" i="3"/>
  <c r="L82" i="6"/>
  <c r="I35" i="3" l="1"/>
  <c r="L62" i="6" s="1"/>
  <c r="J62" i="6"/>
  <c r="J35" i="3"/>
  <c r="M62" i="6" s="1"/>
  <c r="J35" i="6"/>
  <c r="I15" i="3"/>
  <c r="L35" i="6" s="1"/>
  <c r="J15" i="3"/>
  <c r="M35" i="6" s="1"/>
  <c r="J47" i="6"/>
  <c r="I23" i="3"/>
  <c r="L47" i="6" s="1"/>
  <c r="J23" i="3"/>
  <c r="M47" i="6" s="1"/>
  <c r="J29" i="6"/>
  <c r="I11" i="3"/>
  <c r="L29" i="6" s="1"/>
  <c r="J11" i="3"/>
  <c r="M29" i="6" s="1"/>
  <c r="J23" i="6"/>
  <c r="I7" i="3"/>
  <c r="L23" i="6" s="1"/>
  <c r="J7" i="3"/>
  <c r="M23" i="6" s="1"/>
  <c r="I21" i="3"/>
  <c r="L44" i="6" s="1"/>
  <c r="J44" i="6"/>
  <c r="J21" i="3"/>
  <c r="M44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9" i="3"/>
  <c r="L53" i="6" s="1"/>
  <c r="J29" i="3"/>
  <c r="M53" i="6" s="1"/>
  <c r="I17" i="3"/>
  <c r="L38" i="6" s="1"/>
  <c r="J38" i="6"/>
  <c r="J17" i="3"/>
  <c r="M38" i="6" s="1"/>
  <c r="J77" i="6"/>
  <c r="I45" i="3"/>
  <c r="L77" i="6" s="1"/>
  <c r="J45" i="3"/>
  <c r="M77" i="6" s="1"/>
  <c r="I25" i="3"/>
  <c r="L50" i="6" s="1"/>
  <c r="J50" i="6"/>
  <c r="J25" i="3"/>
  <c r="M50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3" i="6"/>
  <c r="I49" i="3"/>
  <c r="L83" i="6" s="1"/>
  <c r="J49" i="3"/>
  <c r="M83" i="6" s="1"/>
  <c r="I39" i="3"/>
  <c r="L68" i="6" s="1"/>
  <c r="J68" i="6"/>
  <c r="J39" i="3"/>
  <c r="M68" i="6" s="1"/>
  <c r="E14" i="1"/>
  <c r="J65" i="6"/>
  <c r="I37" i="3"/>
  <c r="L65" i="6" s="1"/>
  <c r="J37" i="3"/>
  <c r="M65" i="6" s="1"/>
  <c r="I55" i="3"/>
  <c r="L89" i="6" s="1"/>
  <c r="J89" i="6"/>
  <c r="J55" i="3"/>
  <c r="M89" i="6" s="1"/>
  <c r="M57" i="6"/>
  <c r="I47" i="3"/>
  <c r="L80" i="6" s="1"/>
  <c r="J80" i="6"/>
  <c r="J47" i="3"/>
  <c r="M80" i="6" s="1"/>
</calcChain>
</file>

<file path=xl/comments1.xml><?xml version="1.0" encoding="utf-8"?>
<comments xmlns="http://schemas.openxmlformats.org/spreadsheetml/2006/main">
  <authors>
    <author>geraldine zuleta</author>
    <author>nperez</author>
    <author>ZULETA ESPINOZA, GERALDINE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N°1 cesion entre ART-IND (BRACPESCA S.A.)
Res N° 1683, IND-ART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219-21</t>
        </r>
      </text>
    </comment>
    <comment ref="F12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N°2271 IND-ART</t>
        </r>
      </text>
    </comment>
    <comment ref="K12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N°152
</t>
        </r>
      </text>
    </comment>
  </commentList>
</comments>
</file>

<file path=xl/comments2.xml><?xml version="1.0" encoding="utf-8"?>
<comments xmlns="http://schemas.openxmlformats.org/spreadsheetml/2006/main">
  <authors>
    <author>ZULETA ESPINOZA, GERALDINE</author>
    <author>geraldine zuleta</author>
    <author>nperez</author>
  </authors>
  <commentList>
    <comment ref="F2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N°2031 IND-IND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N°2031 IND-IND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 xml:space="preserve">geraldine zuleta:
</t>
        </r>
        <r>
          <rPr>
            <sz val="9"/>
            <color indexed="81"/>
            <rFont val="Tahoma"/>
            <family val="2"/>
          </rPr>
          <t>Res N° 1683, IND-ART
Certificado N° 19-21 Comodato
Certificado N° 24-21 Deja sin efecto N° 19-21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N°1 CESIÓN ART-IND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N°2271 IND-ART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N°2031 IND-IND</t>
        </r>
      </text>
    </comment>
    <comment ref="F52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Certificado N° 19-21 Comodato
Certificado N° 24-21 Deja sin efecto N° 19-21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N°2031 IND-IND</t>
        </r>
      </text>
    </comment>
  </commentList>
</comments>
</file>

<file path=xl/comments3.xml><?xml version="1.0" encoding="utf-8"?>
<comments xmlns="http://schemas.openxmlformats.org/spreadsheetml/2006/main">
  <authors>
    <author>ZULETA ESPINOZA, GERALDINE</author>
    <author>geraldine zuleta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N°748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N°932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N°741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N°96
Certificado N°121
Certificado N°741
Certificado N°748
Certificado N°953
Certificado N°977
Certificado N°1191
</t>
        </r>
      </text>
    </comment>
    <comment ref="G25" authorId="1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N°121
Certificado N°920
Certificado N°977
Certificado N°1191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N°932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96
Certificado n° 953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N°920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N°745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N°744
certificado N°988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N°96
Certificado N°124
Certificado N°120
Certificado N°744
Certificado N°745
Certificado N°922
Certificado N°953
Certificado N°961
Certificado N°988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N°1214
Certificado 1304
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96
Certificado N° 953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N°920
</t>
        </r>
      </text>
    </comment>
    <comment ref="G73" authorId="1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N°124
</t>
        </r>
      </text>
    </comment>
    <comment ref="G75" authorId="1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N°120
Certificado N°922
Certificado N°961
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 xml:space="preserve">ZULETA ESPINOZA, GERALDINE:
</t>
        </r>
        <r>
          <rPr>
            <sz val="9"/>
            <color indexed="81"/>
            <rFont val="Tahoma"/>
            <family val="2"/>
          </rPr>
          <t>Certificado N°1214
Certificado N°1304</t>
        </r>
      </text>
    </comment>
  </commentList>
</comments>
</file>

<file path=xl/sharedStrings.xml><?xml version="1.0" encoding="utf-8"?>
<sst xmlns="http://schemas.openxmlformats.org/spreadsheetml/2006/main" count="1685" uniqueCount="183">
  <si>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</si>
  <si>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</si>
  <si>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</si>
  <si>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</si>
  <si>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</si>
  <si>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</si>
  <si>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</si>
  <si>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</si>
  <si>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</si>
  <si>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</si>
  <si>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</si>
  <si>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</si>
  <si>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</si>
  <si>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</si>
  <si>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</si>
  <si>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</si>
  <si>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</si>
  <si>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</si>
  <si>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</si>
  <si>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</si>
  <si>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</si>
  <si>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</si>
  <si>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</si>
  <si>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</si>
  <si>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</si>
  <si>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</si>
  <si>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</si>
  <si>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</si>
  <si>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</si>
  <si>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</si>
  <si>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</si>
  <si>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</si>
  <si>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</si>
  <si>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</si>
  <si>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</si>
  <si>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</si>
  <si>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DA VENEZIA RETAMALES ANTONIO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</si>
  <si>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</si>
  <si>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</si>
  <si>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</si>
  <si>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</si>
  <si>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</si>
  <si>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</si>
  <si>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</si>
  <si>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</si>
  <si>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</si>
  <si>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</si>
  <si>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</si>
  <si>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</si>
  <si>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</si>
  <si>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</si>
  <si>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</si>
  <si>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</si>
  <si>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</si>
  <si>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</si>
  <si>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</si>
  <si>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</si>
  <si>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</si>
  <si>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</si>
  <si>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</si>
  <si>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</si>
  <si>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</si>
  <si>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</si>
  <si>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% LICITADO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</si>
  <si>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</si>
  <si>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</si>
  <si>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</si>
  <si>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</si>
  <si>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</si>
  <si>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</si>
  <si>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</si>
  <si>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</si>
  <si>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</si>
  <si>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</si>
  <si>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</si>
  <si>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</si>
  <si>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</si>
  <si>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</si>
  <si>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</si>
  <si>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</si>
  <si>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</si>
  <si>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</si>
  <si>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</si>
  <si>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</si>
  <si>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</si>
  <si>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 xml:space="preserve">MARZO </t>
  </si>
  <si>
    <t>AGOSTO</t>
  </si>
  <si>
    <t>OCTUBRE</t>
  </si>
  <si>
    <t>DICIEMBRE</t>
  </si>
  <si>
    <t>ENERO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</si>
  <si>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</si>
  <si>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</si>
  <si>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</si>
  <si>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</si>
  <si>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</si>
  <si>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</si>
  <si>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</si>
  <si>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</si>
  <si>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</si>
  <si>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</si>
  <si>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</si>
  <si>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CONTROL CUOTA LANGOSTINO AMARILLO FRACCION ARTESANAL AÑO 2020</t>
  </si>
  <si>
    <t>CONTROL CUOTA LANGOSTINO AMARILLO FRACCION INDUSTRIAL AÑO 2020</t>
  </si>
  <si>
    <t>CONTROL CUOTA LANGOSTINO AMARILLO PEP AÑO 2020</t>
  </si>
  <si>
    <t>TOTAL LTP</t>
  </si>
  <si>
    <t>TOTAL ASIGNATARIOS LTP</t>
  </si>
  <si>
    <t xml:space="preserve"> LANGOSTINO AMARILLO PEP V-VI</t>
  </si>
  <si>
    <t>LANGOSTINO AMARILLO PEP VII-VIII</t>
  </si>
  <si>
    <t>LANGOSTINO AMARILLO PEP  V-VIII</t>
  </si>
  <si>
    <t>REGIONES III-IV</t>
  </si>
  <si>
    <t>JORGE ANDRES COFRE TOLEDO</t>
  </si>
  <si>
    <t>PESQUERA CMK LTDA.</t>
  </si>
  <si>
    <t>CONTROL PESCA DE INVESTIGACION</t>
  </si>
  <si>
    <t>N° RESOLUCION</t>
  </si>
  <si>
    <t>EMBARCACION TITULAR</t>
  </si>
  <si>
    <t>CAPTURA TOTAL</t>
  </si>
  <si>
    <t>CONSUMO</t>
  </si>
  <si>
    <t>CUOTA II-IV</t>
  </si>
  <si>
    <t>CUOTA V-VIII</t>
  </si>
  <si>
    <t>CUOTA TOTAL</t>
  </si>
  <si>
    <t>CAPTURA II-IV</t>
  </si>
  <si>
    <t>CAPTURA V-VIII</t>
  </si>
  <si>
    <t>SALDO II-IV</t>
  </si>
  <si>
    <t>SALDO V-VIII</t>
  </si>
  <si>
    <t>SALDO TOTAL</t>
  </si>
  <si>
    <t>LTPA</t>
  </si>
  <si>
    <t>LTPB</t>
  </si>
  <si>
    <t>A+B</t>
  </si>
  <si>
    <t>TON</t>
  </si>
  <si>
    <t>Folio DEXE 202000119</t>
  </si>
  <si>
    <t>1494  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</si>
  <si>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</si>
  <si>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</si>
  <si>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</si>
  <si>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</si>
  <si>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</si>
  <si>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</si>
  <si>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</si>
  <si>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>PESQ. ANTONIO CRUZ CORDOVA</t>
  </si>
  <si>
    <t>SOC. PESQ. ENFEMAR LTDA.</t>
  </si>
  <si>
    <t>PACIFICBLUE SpA.</t>
  </si>
  <si>
    <t>ANTONIO DA VENEZIA RETAMALES</t>
  </si>
  <si>
    <t>SOC. PESQ. LANDES S.A.</t>
  </si>
  <si>
    <t>GONZALO ZUÑIGA ROMERO</t>
  </si>
  <si>
    <t>CONTROL CUOTA GLOBAL LANGOSTINO AMARILLO III-IV AÑO 2021</t>
  </si>
  <si>
    <t>CONTROL CUOTA GLOBAL LANGOSTINO AMARILLO PEP V-VIII AÑO 2021</t>
  </si>
  <si>
    <t>Detalle Negocios Langostino Amarillo PEP (V-VIII) (Periodo Mar-Ago.)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</si>
  <si>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</si>
  <si>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</si>
  <si>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</si>
  <si>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</si>
  <si>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</si>
  <si>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</si>
  <si>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</si>
  <si>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PACIBICBLU SpA</t>
  </si>
  <si>
    <t xml:space="preserve">CAMANCHACA PESCA SUR S.A. </t>
  </si>
  <si>
    <t>COMERCIALIZADORA SIMON SEAFOOD LTDA.</t>
  </si>
  <si>
    <t xml:space="preserve"> </t>
  </si>
  <si>
    <t>14 Abr-13 May</t>
  </si>
  <si>
    <t xml:space="preserve"> REGIÓN DE COQUIMBO</t>
  </si>
  <si>
    <t>Cierre</t>
  </si>
  <si>
    <t>% Consumo</t>
  </si>
  <si>
    <t>Saldo (T)</t>
  </si>
  <si>
    <t>Captura (T)</t>
  </si>
  <si>
    <t>Cuota Remanente (Ton)</t>
  </si>
  <si>
    <t>Periodo</t>
  </si>
  <si>
    <t>Asignatario</t>
  </si>
  <si>
    <t xml:space="preserve">Región </t>
  </si>
  <si>
    <t xml:space="preserve">Control de Cuotas Remanentes </t>
  </si>
  <si>
    <t xml:space="preserve">REGIÓN DE ATACAMA </t>
  </si>
  <si>
    <t>SOC. PESQ. NORDIOMAR SPA.</t>
  </si>
  <si>
    <t xml:space="preserve">Rubio y Maguad </t>
  </si>
  <si>
    <t xml:space="preserve">Pesquera Isla Damas </t>
  </si>
  <si>
    <t xml:space="preserve">EMBARCACION </t>
  </si>
  <si>
    <t>POLUX</t>
  </si>
  <si>
    <t xml:space="preserve">ALTAIR </t>
  </si>
  <si>
    <t>ISLA ORCA</t>
  </si>
  <si>
    <t>MAORI</t>
  </si>
  <si>
    <t>RES N°318</t>
  </si>
  <si>
    <t>Sociedad pesquera enfermar</t>
  </si>
  <si>
    <t>sociedad pesquera nordiomar</t>
  </si>
  <si>
    <t xml:space="preserve">SOCIEDAD PESQUERA NORDIOMAR </t>
  </si>
  <si>
    <t>PATRICIO GENARO VIAL CHABRILLARD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</si>
</sst>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%"/>
    <numFmt numFmtId="170" formatCode="0.0000000"/>
    <numFmt numFmtId="171" formatCode="0.000000"/>
    <numFmt numFmtId="172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46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9" borderId="43" xfId="0" applyFont="1" applyFill="1" applyBorder="1" applyAlignment="1">
      <alignment horizontal="left" vertical="center"/>
    </xf>
    <xf numFmtId="0" fontId="3" fillId="9" borderId="44" xfId="0" applyFont="1" applyFill="1" applyBorder="1" applyAlignment="1">
      <alignment horizontal="left" vertical="center"/>
    </xf>
    <xf numFmtId="0" fontId="3" fillId="9" borderId="47" xfId="0" applyFont="1" applyFill="1" applyBorder="1" applyAlignment="1">
      <alignment horizontal="left" vertical="center"/>
    </xf>
    <xf numFmtId="0" fontId="3" fillId="10" borderId="43" xfId="0" applyFont="1" applyFill="1" applyBorder="1" applyAlignment="1">
      <alignment horizontal="left" vertical="center"/>
    </xf>
    <xf numFmtId="0" fontId="3" fillId="10" borderId="44" xfId="0" applyFont="1" applyFill="1" applyBorder="1" applyAlignment="1">
      <alignment horizontal="left" vertical="center"/>
    </xf>
    <xf numFmtId="0" fontId="3" fillId="10" borderId="45" xfId="0" applyFont="1" applyFill="1" applyBorder="1" applyAlignment="1">
      <alignment horizontal="left" vertical="center"/>
    </xf>
    <xf numFmtId="164" fontId="2" fillId="10" borderId="31" xfId="0" applyNumberFormat="1" applyFont="1" applyFill="1" applyBorder="1" applyAlignment="1">
      <alignment horizontal="center" vertical="center"/>
    </xf>
    <xf numFmtId="164" fontId="2" fillId="10" borderId="32" xfId="0" applyNumberFormat="1" applyFont="1" applyFill="1" applyBorder="1" applyAlignment="1">
      <alignment horizontal="center" vertical="center"/>
    </xf>
    <xf numFmtId="165" fontId="2" fillId="10" borderId="33" xfId="1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9" fontId="2" fillId="9" borderId="32" xfId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165" fontId="2" fillId="9" borderId="1" xfId="1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9" fontId="2" fillId="13" borderId="32" xfId="1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0" fontId="3" fillId="10" borderId="52" xfId="0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49" xfId="0" applyNumberFormat="1" applyFont="1" applyFill="1" applyBorder="1" applyAlignment="1">
      <alignment horizontal="center" vertical="center"/>
    </xf>
    <xf numFmtId="164" fontId="3" fillId="0" borderId="53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2" fillId="13" borderId="32" xfId="0" applyNumberFormat="1" applyFont="1" applyFill="1" applyBorder="1" applyAlignment="1">
      <alignment horizontal="center" vertical="center"/>
    </xf>
    <xf numFmtId="165" fontId="2" fillId="13" borderId="32" xfId="1" applyNumberFormat="1" applyFont="1" applyFill="1" applyBorder="1" applyAlignment="1">
      <alignment horizontal="center" vertical="center"/>
    </xf>
    <xf numFmtId="165" fontId="2" fillId="13" borderId="33" xfId="1" applyNumberFormat="1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3" fillId="16" borderId="51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3" fillId="17" borderId="52" xfId="0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0" fontId="2" fillId="15" borderId="42" xfId="0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center" vertical="center"/>
    </xf>
    <xf numFmtId="9" fontId="2" fillId="15" borderId="32" xfId="1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0" fontId="2" fillId="15" borderId="56" xfId="0" applyFont="1" applyFill="1" applyBorder="1" applyAlignment="1">
      <alignment horizontal="center" vertical="center"/>
    </xf>
    <xf numFmtId="164" fontId="2" fillId="15" borderId="27" xfId="0" applyNumberFormat="1" applyFont="1" applyFill="1" applyBorder="1" applyAlignment="1">
      <alignment horizontal="center" vertical="center"/>
    </xf>
    <xf numFmtId="165" fontId="2" fillId="15" borderId="27" xfId="1" applyNumberFormat="1" applyFont="1" applyFill="1" applyBorder="1" applyAlignment="1">
      <alignment horizontal="center" vertical="center"/>
    </xf>
    <xf numFmtId="165" fontId="2" fillId="15" borderId="28" xfId="1" applyNumberFormat="1" applyFont="1" applyFill="1" applyBorder="1" applyAlignment="1">
      <alignment horizontal="center" vertical="center"/>
    </xf>
    <xf numFmtId="0" fontId="3" fillId="17" borderId="55" xfId="0" applyFont="1" applyFill="1" applyBorder="1" applyAlignment="1">
      <alignment horizontal="center" vertical="center"/>
    </xf>
    <xf numFmtId="164" fontId="3" fillId="11" borderId="22" xfId="0" applyNumberFormat="1" applyFont="1" applyFill="1" applyBorder="1" applyAlignment="1">
      <alignment horizontal="center" vertical="center"/>
    </xf>
    <xf numFmtId="0" fontId="3" fillId="16" borderId="52" xfId="0" applyFont="1" applyFill="1" applyBorder="1" applyAlignment="1">
      <alignment horizontal="center" vertical="center"/>
    </xf>
    <xf numFmtId="164" fontId="3" fillId="11" borderId="27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7" fillId="18" borderId="1" xfId="0" applyFont="1" applyFill="1" applyBorder="1"/>
    <xf numFmtId="0" fontId="7" fillId="19" borderId="1" xfId="0" applyFont="1" applyFill="1" applyBorder="1"/>
    <xf numFmtId="0" fontId="8" fillId="18" borderId="1" xfId="0" applyFont="1" applyFill="1" applyBorder="1"/>
    <xf numFmtId="2" fontId="8" fillId="19" borderId="1" xfId="0" applyNumberFormat="1" applyFont="1" applyFill="1" applyBorder="1"/>
    <xf numFmtId="167" fontId="8" fillId="19" borderId="1" xfId="0" applyNumberFormat="1" applyFont="1" applyFill="1" applyBorder="1"/>
    <xf numFmtId="2" fontId="9" fillId="19" borderId="1" xfId="0" applyNumberFormat="1" applyFont="1" applyFill="1" applyBorder="1" applyAlignment="1">
      <alignment horizontal="center"/>
    </xf>
    <xf numFmtId="0" fontId="10" fillId="14" borderId="21" xfId="0" applyFont="1" applyFill="1" applyBorder="1"/>
    <xf numFmtId="0" fontId="10" fillId="14" borderId="22" xfId="0" applyFont="1" applyFill="1" applyBorder="1"/>
    <xf numFmtId="0" fontId="10" fillId="14" borderId="23" xfId="0" applyFont="1" applyFill="1" applyBorder="1"/>
    <xf numFmtId="0" fontId="10" fillId="14" borderId="49" xfId="0" applyFont="1" applyFill="1" applyBorder="1"/>
    <xf numFmtId="0" fontId="10" fillId="14" borderId="1" xfId="0" applyFont="1" applyFill="1" applyBorder="1"/>
    <xf numFmtId="0" fontId="10" fillId="14" borderId="24" xfId="0" applyFont="1" applyFill="1" applyBorder="1"/>
    <xf numFmtId="0" fontId="10" fillId="14" borderId="53" xfId="0" applyFont="1" applyFill="1" applyBorder="1"/>
    <xf numFmtId="0" fontId="10" fillId="14" borderId="27" xfId="0" applyFont="1" applyFill="1" applyBorder="1"/>
    <xf numFmtId="0" fontId="10" fillId="14" borderId="28" xfId="0" applyFont="1" applyFill="1" applyBorder="1"/>
    <xf numFmtId="0" fontId="10" fillId="21" borderId="53" xfId="0" applyFont="1" applyFill="1" applyBorder="1"/>
    <xf numFmtId="0" fontId="10" fillId="21" borderId="27" xfId="0" applyFont="1" applyFill="1" applyBorder="1"/>
    <xf numFmtId="0" fontId="10" fillId="21" borderId="28" xfId="0" applyFont="1" applyFill="1" applyBorder="1"/>
    <xf numFmtId="0" fontId="0" fillId="0" borderId="12" xfId="0" applyBorder="1"/>
    <xf numFmtId="0" fontId="0" fillId="0" borderId="57" xfId="0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0" fontId="0" fillId="0" borderId="58" xfId="0" applyBorder="1"/>
    <xf numFmtId="164" fontId="0" fillId="0" borderId="57" xfId="0" applyNumberFormat="1" applyBorder="1" applyAlignment="1">
      <alignment horizontal="center" vertical="center"/>
    </xf>
    <xf numFmtId="164" fontId="0" fillId="0" borderId="58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27" xfId="1" applyFon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9" fontId="0" fillId="0" borderId="22" xfId="1" applyFont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9" fontId="0" fillId="0" borderId="32" xfId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3" fillId="16" borderId="60" xfId="0" applyFon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4" fontId="0" fillId="0" borderId="58" xfId="0" applyNumberFormat="1" applyBorder="1"/>
    <xf numFmtId="164" fontId="3" fillId="0" borderId="1" xfId="0" applyNumberFormat="1" applyFon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0" fontId="3" fillId="5" borderId="27" xfId="1" applyNumberFormat="1" applyFont="1" applyFill="1" applyBorder="1" applyAlignment="1">
      <alignment horizontal="center" vertical="center"/>
    </xf>
    <xf numFmtId="10" fontId="2" fillId="9" borderId="32" xfId="1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5" fontId="3" fillId="12" borderId="2" xfId="1" applyNumberFormat="1" applyFont="1" applyFill="1" applyBorder="1" applyAlignment="1">
      <alignment horizontal="center" vertical="center"/>
    </xf>
    <xf numFmtId="165" fontId="3" fillId="12" borderId="4" xfId="1" applyNumberFormat="1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12" borderId="4" xfId="0" applyNumberFormat="1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165" fontId="3" fillId="12" borderId="3" xfId="1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14" fontId="13" fillId="7" borderId="18" xfId="0" applyNumberFormat="1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/>
    </xf>
    <xf numFmtId="0" fontId="3" fillId="10" borderId="55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14" fontId="2" fillId="13" borderId="18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 textRotation="90"/>
    </xf>
    <xf numFmtId="0" fontId="3" fillId="10" borderId="51" xfId="0" applyFont="1" applyFill="1" applyBorder="1" applyAlignment="1">
      <alignment horizontal="center" vertical="center" textRotation="90"/>
    </xf>
    <xf numFmtId="0" fontId="3" fillId="10" borderId="52" xfId="0" applyFont="1" applyFill="1" applyBorder="1" applyAlignment="1">
      <alignment horizontal="center" vertical="center" textRotation="90"/>
    </xf>
    <xf numFmtId="0" fontId="3" fillId="14" borderId="50" xfId="0" applyFont="1" applyFill="1" applyBorder="1" applyAlignment="1">
      <alignment horizontal="center" vertical="center" textRotation="90"/>
    </xf>
    <xf numFmtId="0" fontId="3" fillId="14" borderId="51" xfId="0" applyFont="1" applyFill="1" applyBorder="1" applyAlignment="1">
      <alignment horizontal="center" vertical="center" textRotation="90"/>
    </xf>
    <xf numFmtId="0" fontId="3" fillId="14" borderId="52" xfId="0" applyFont="1" applyFill="1" applyBorder="1" applyAlignment="1">
      <alignment horizontal="center" vertical="center" textRotation="90"/>
    </xf>
    <xf numFmtId="0" fontId="3" fillId="10" borderId="52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172" fontId="3" fillId="14" borderId="11" xfId="0" applyNumberFormat="1" applyFont="1" applyFill="1" applyBorder="1" applyAlignment="1">
      <alignment horizontal="center" vertical="center"/>
    </xf>
    <xf numFmtId="172" fontId="3" fillId="14" borderId="8" xfId="0" applyNumberFormat="1" applyFont="1" applyFill="1" applyBorder="1" applyAlignment="1">
      <alignment horizontal="center" vertical="center"/>
    </xf>
    <xf numFmtId="165" fontId="3" fillId="0" borderId="4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2" fontId="3" fillId="14" borderId="26" xfId="0" applyNumberFormat="1" applyFont="1" applyFill="1" applyBorder="1" applyAlignment="1">
      <alignment horizontal="center" vertical="center"/>
    </xf>
    <xf numFmtId="172" fontId="3" fillId="14" borderId="1" xfId="0" applyNumberFormat="1" applyFont="1" applyFill="1" applyBorder="1" applyAlignment="1">
      <alignment horizontal="center" vertical="center"/>
    </xf>
    <xf numFmtId="0" fontId="3" fillId="17" borderId="54" xfId="0" applyFont="1" applyFill="1" applyBorder="1" applyAlignment="1">
      <alignment horizontal="center" vertical="center"/>
    </xf>
    <xf numFmtId="0" fontId="3" fillId="17" borderId="55" xfId="0" applyFont="1" applyFill="1" applyBorder="1" applyAlignment="1">
      <alignment horizontal="center" vertical="center"/>
    </xf>
    <xf numFmtId="0" fontId="3" fillId="17" borderId="39" xfId="0" applyFont="1" applyFill="1" applyBorder="1" applyAlignment="1">
      <alignment horizontal="center" vertical="center"/>
    </xf>
    <xf numFmtId="172" fontId="3" fillId="14" borderId="34" xfId="0" applyNumberFormat="1" applyFont="1" applyFill="1" applyBorder="1" applyAlignment="1">
      <alignment horizontal="center" vertical="center"/>
    </xf>
    <xf numFmtId="0" fontId="2" fillId="16" borderId="50" xfId="0" applyFont="1" applyFill="1" applyBorder="1" applyAlignment="1">
      <alignment horizontal="center" vertical="center" textRotation="90"/>
    </xf>
    <xf numFmtId="0" fontId="3" fillId="16" borderId="51" xfId="0" applyFont="1" applyFill="1" applyBorder="1" applyAlignment="1">
      <alignment horizontal="center" vertical="center" textRotation="90"/>
    </xf>
    <xf numFmtId="0" fontId="3" fillId="16" borderId="52" xfId="0" applyFont="1" applyFill="1" applyBorder="1" applyAlignment="1">
      <alignment horizontal="center" vertical="center" textRotation="90"/>
    </xf>
    <xf numFmtId="0" fontId="3" fillId="16" borderId="51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3" fillId="16" borderId="52" xfId="0" applyFont="1" applyFill="1" applyBorder="1" applyAlignment="1">
      <alignment horizontal="center" vertical="center"/>
    </xf>
    <xf numFmtId="172" fontId="3" fillId="14" borderId="6" xfId="0" applyNumberFormat="1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14" fontId="2" fillId="15" borderId="7" xfId="0" applyNumberFormat="1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25" xfId="0" applyFont="1" applyFill="1" applyBorder="1" applyAlignment="1">
      <alignment horizontal="center"/>
    </xf>
    <xf numFmtId="0" fontId="2" fillId="15" borderId="56" xfId="0" applyFont="1" applyFill="1" applyBorder="1" applyAlignment="1">
      <alignment horizontal="center"/>
    </xf>
    <xf numFmtId="0" fontId="2" fillId="17" borderId="38" xfId="0" applyFont="1" applyFill="1" applyBorder="1" applyAlignment="1">
      <alignment horizontal="center" vertical="center" textRotation="90"/>
    </xf>
    <xf numFmtId="0" fontId="3" fillId="17" borderId="38" xfId="0" applyFont="1" applyFill="1" applyBorder="1" applyAlignment="1">
      <alignment horizontal="center" vertical="center" textRotation="90"/>
    </xf>
    <xf numFmtId="0" fontId="3" fillId="17" borderId="39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10" fillId="20" borderId="21" xfId="0" applyFont="1" applyFill="1" applyBorder="1" applyAlignment="1">
      <alignment horizontal="center"/>
    </xf>
    <xf numFmtId="0" fontId="10" fillId="20" borderId="22" xfId="0" applyFont="1" applyFill="1" applyBorder="1" applyAlignment="1">
      <alignment horizontal="center"/>
    </xf>
    <xf numFmtId="0" fontId="10" fillId="20" borderId="23" xfId="0" applyFont="1" applyFill="1" applyBorder="1" applyAlignment="1">
      <alignment horizontal="center"/>
    </xf>
    <xf numFmtId="170" fontId="3" fillId="14" borderId="50" xfId="0" applyNumberFormat="1" applyFont="1" applyFill="1" applyBorder="1" applyAlignment="1">
      <alignment horizontal="center" vertical="center"/>
    </xf>
    <xf numFmtId="170" fontId="3" fillId="14" borderId="51" xfId="0" applyNumberFormat="1" applyFont="1" applyFill="1" applyBorder="1" applyAlignment="1">
      <alignment horizontal="center" vertical="center"/>
    </xf>
    <xf numFmtId="171" fontId="3" fillId="14" borderId="50" xfId="0" applyNumberFormat="1" applyFont="1" applyFill="1" applyBorder="1" applyAlignment="1">
      <alignment horizontal="center" vertical="center"/>
    </xf>
    <xf numFmtId="171" fontId="3" fillId="14" borderId="51" xfId="0" applyNumberFormat="1" applyFont="1" applyFill="1" applyBorder="1" applyAlignment="1">
      <alignment horizontal="center" vertical="center"/>
    </xf>
    <xf numFmtId="164" fontId="3" fillId="22" borderId="22" xfId="0" applyNumberFormat="1" applyFont="1" applyFill="1" applyBorder="1" applyAlignment="1">
      <alignment horizontal="center" vertical="center"/>
    </xf>
    <xf numFmtId="164" fontId="3" fillId="22" borderId="1" xfId="0" applyNumberFormat="1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164" fontId="3" fillId="22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7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33"/>
      <color rgb="FF339966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showGridLines="0" tabSelected="1" zoomScale="110" zoomScaleNormal="110" workbookViewId="0">
      <selection activeCell="K25" sqref="K25"/>
    </sheetView>
  </sheetViews>
  <sheetFormatPr baseColWidth="10" defaultColWidth="11.42578125" defaultRowHeight="12" x14ac:dyDescent="0.25"/>
  <cols>
    <col min="1" max="1" width="11.42578125" style="3"/>
    <col min="2" max="2" width="27.28515625" style="3" bestFit="1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0" ht="12.75" thickBot="1" x14ac:dyDescent="0.3"/>
    <row r="2" spans="2:10" ht="15" customHeight="1" x14ac:dyDescent="0.25">
      <c r="B2" s="203" t="s">
        <v>144</v>
      </c>
      <c r="C2" s="204"/>
      <c r="D2" s="204"/>
      <c r="E2" s="204"/>
      <c r="F2" s="204"/>
      <c r="G2" s="204"/>
      <c r="H2" s="204"/>
      <c r="I2" s="204"/>
      <c r="J2" s="205"/>
    </row>
    <row r="3" spans="2:10" ht="15.75" customHeight="1" thickBot="1" x14ac:dyDescent="0.3">
      <c r="B3" s="206">
        <v>44599</v>
      </c>
      <c r="C3" s="207"/>
      <c r="D3" s="207"/>
      <c r="E3" s="207"/>
      <c r="F3" s="207"/>
      <c r="G3" s="207"/>
      <c r="H3" s="207"/>
      <c r="I3" s="207"/>
      <c r="J3" s="208"/>
    </row>
    <row r="4" spans="2:10" ht="12.75" thickBot="1" x14ac:dyDescent="0.3"/>
    <row r="5" spans="2:10" ht="12.75" thickBot="1" x14ac:dyDescent="0.3">
      <c r="B5" s="54" t="s">
        <v>0</v>
      </c>
      <c r="C5" s="55" t="s">
        <v>8</v>
      </c>
      <c r="D5" s="55" t="s">
        <v>1</v>
      </c>
      <c r="E5" s="55" t="s">
        <v>2</v>
      </c>
      <c r="F5" s="55" t="s">
        <v>3</v>
      </c>
      <c r="G5" s="52" t="s">
        <v>4</v>
      </c>
      <c r="H5" s="55" t="s">
        <v>5</v>
      </c>
      <c r="I5" s="52" t="s">
        <v>6</v>
      </c>
      <c r="J5" s="199" t="s">
        <v>7</v>
      </c>
    </row>
    <row r="6" spans="2:10" x14ac:dyDescent="0.25">
      <c r="B6" s="212" t="s">
        <v>47</v>
      </c>
      <c r="C6" s="216" t="s">
        <v>14</v>
      </c>
      <c r="D6" s="66" t="s">
        <v>9</v>
      </c>
      <c r="E6" s="58">
        <f>'CUOTA ARTESANAL'!L6</f>
        <v>8</v>
      </c>
      <c r="F6" s="59">
        <f>'CUOTA ARTESANAL'!M6</f>
        <v>0</v>
      </c>
      <c r="G6" s="16">
        <f>E6+F6</f>
        <v>8</v>
      </c>
      <c r="H6" s="59">
        <f>'CUOTA ARTESANAL'!O6</f>
        <v>0</v>
      </c>
      <c r="I6" s="16">
        <f>G6-H6</f>
        <v>8</v>
      </c>
      <c r="J6" s="200">
        <f>H6/G6</f>
        <v>0</v>
      </c>
    </row>
    <row r="7" spans="2:10" x14ac:dyDescent="0.25">
      <c r="B7" s="212"/>
      <c r="C7" s="217"/>
      <c r="D7" s="67" t="s">
        <v>39</v>
      </c>
      <c r="E7" s="56">
        <f>SUM('CUOTA ARTESANAL'!L8:L17)</f>
        <v>466.99999999999994</v>
      </c>
      <c r="F7" s="16">
        <f>SUM('CUOTA ARTESANAL'!M8:M17)</f>
        <v>30.665690000000012</v>
      </c>
      <c r="G7" s="16">
        <f t="shared" ref="G7:G14" si="0">E7+F7</f>
        <v>497.66568999999993</v>
      </c>
      <c r="H7" s="16">
        <f>SUM('CUOTA ARTESANAL'!O8:O17)</f>
        <v>428.863</v>
      </c>
      <c r="I7" s="16">
        <f t="shared" ref="I7:I13" si="1">G7-H7</f>
        <v>68.802689999999927</v>
      </c>
      <c r="J7" s="200">
        <f>H7/G7</f>
        <v>0.8617491794541835</v>
      </c>
    </row>
    <row r="8" spans="2:10" x14ac:dyDescent="0.25">
      <c r="B8" s="212"/>
      <c r="C8" s="217"/>
      <c r="D8" s="67" t="s">
        <v>10</v>
      </c>
      <c r="E8" s="56">
        <v>9</v>
      </c>
      <c r="F8" s="16">
        <f>'CUOTA ARTESANAL'!M18</f>
        <v>0</v>
      </c>
      <c r="G8" s="16">
        <f t="shared" si="0"/>
        <v>9</v>
      </c>
      <c r="H8" s="16">
        <f>'CUOTA ARTESANAL'!O18</f>
        <v>0</v>
      </c>
      <c r="I8" s="16">
        <f t="shared" si="1"/>
        <v>9</v>
      </c>
      <c r="J8" s="200">
        <f t="shared" ref="J8" si="2">H8/G8</f>
        <v>0</v>
      </c>
    </row>
    <row r="9" spans="2:10" ht="12.75" thickBot="1" x14ac:dyDescent="0.3">
      <c r="B9" s="212"/>
      <c r="C9" s="218"/>
      <c r="D9" s="68" t="s">
        <v>11</v>
      </c>
      <c r="E9" s="60">
        <f>SUM(E6:E8)</f>
        <v>483.99999999999994</v>
      </c>
      <c r="F9" s="61">
        <f>SUM(F6:F8)</f>
        <v>30.665690000000012</v>
      </c>
      <c r="G9" s="61">
        <f t="shared" si="0"/>
        <v>514.66568999999993</v>
      </c>
      <c r="H9" s="61">
        <f>SUM(H6:H8)</f>
        <v>428.863</v>
      </c>
      <c r="I9" s="61">
        <f t="shared" si="1"/>
        <v>85.802689999999927</v>
      </c>
      <c r="J9" s="201">
        <f t="shared" ref="J9:J14" si="3">H9/G9</f>
        <v>0.83328461238595497</v>
      </c>
    </row>
    <row r="10" spans="2:10" x14ac:dyDescent="0.25">
      <c r="B10" s="212"/>
      <c r="C10" s="216" t="s">
        <v>15</v>
      </c>
      <c r="D10" s="66" t="s">
        <v>40</v>
      </c>
      <c r="E10" s="58">
        <f>SUM('CUOTA LTP'!K6:K29)</f>
        <v>97.687350000000009</v>
      </c>
      <c r="F10" s="65">
        <f>SUM('CUOTA LTP'!L6:L29)</f>
        <v>0</v>
      </c>
      <c r="G10" s="53">
        <f t="shared" si="0"/>
        <v>97.687350000000009</v>
      </c>
      <c r="H10" s="65">
        <f>SUM('CUOTA LTP'!N6:N29)</f>
        <v>34.468000000000004</v>
      </c>
      <c r="I10" s="16">
        <f t="shared" si="1"/>
        <v>63.219350000000006</v>
      </c>
      <c r="J10" s="200">
        <f t="shared" si="3"/>
        <v>0.35283995317715139</v>
      </c>
    </row>
    <row r="11" spans="2:10" x14ac:dyDescent="0.25">
      <c r="B11" s="212"/>
      <c r="C11" s="217"/>
      <c r="D11" s="67" t="s">
        <v>41</v>
      </c>
      <c r="E11" s="56">
        <f>SUM('CUOTA LTP'!K30:K55)</f>
        <v>883.9983299999999</v>
      </c>
      <c r="F11" s="44">
        <f>SUM('CUOTA LTP'!L30:L55)</f>
        <v>-30.665690000000012</v>
      </c>
      <c r="G11" s="16">
        <f t="shared" si="0"/>
        <v>853.33263999999986</v>
      </c>
      <c r="H11" s="44">
        <f>SUM('CUOTA LTP'!N30:N55)</f>
        <v>572.62600000000009</v>
      </c>
      <c r="I11" s="16">
        <f t="shared" si="1"/>
        <v>280.70663999999977</v>
      </c>
      <c r="J11" s="200">
        <f t="shared" si="3"/>
        <v>0.6710466389753944</v>
      </c>
    </row>
    <row r="12" spans="2:10" ht="12.75" thickBot="1" x14ac:dyDescent="0.3">
      <c r="B12" s="212"/>
      <c r="C12" s="218"/>
      <c r="D12" s="68" t="s">
        <v>12</v>
      </c>
      <c r="E12" s="60">
        <f>SUM(E10:E11)</f>
        <v>981.68567999999993</v>
      </c>
      <c r="F12" s="61">
        <f>SUM(F10:F11)</f>
        <v>-30.665690000000012</v>
      </c>
      <c r="G12" s="61">
        <f t="shared" si="0"/>
        <v>951.01998999999989</v>
      </c>
      <c r="H12" s="61">
        <f>SUM(H10:H11)</f>
        <v>607.09400000000005</v>
      </c>
      <c r="I12" s="61">
        <f t="shared" si="1"/>
        <v>343.92598999999984</v>
      </c>
      <c r="J12" s="201">
        <f t="shared" si="3"/>
        <v>0.63836092446384862</v>
      </c>
    </row>
    <row r="13" spans="2:10" ht="14.45" customHeight="1" thickBot="1" x14ac:dyDescent="0.3">
      <c r="B13" s="212"/>
      <c r="C13" s="223" t="s">
        <v>42</v>
      </c>
      <c r="D13" s="224"/>
      <c r="E13" s="62">
        <v>28</v>
      </c>
      <c r="F13" s="63">
        <v>0</v>
      </c>
      <c r="G13" s="53">
        <f t="shared" si="0"/>
        <v>28</v>
      </c>
      <c r="H13" s="64">
        <f>'PESCA DE INVESTIGACION'!G13+'PESCA DE INVESTIGACION'!E17</f>
        <v>12.962</v>
      </c>
      <c r="I13" s="16">
        <f t="shared" si="1"/>
        <v>15.038</v>
      </c>
      <c r="J13" s="200">
        <f t="shared" si="3"/>
        <v>0.46292857142857141</v>
      </c>
    </row>
    <row r="14" spans="2:10" ht="12.75" thickBot="1" x14ac:dyDescent="0.3">
      <c r="B14" s="213"/>
      <c r="C14" s="221" t="s">
        <v>13</v>
      </c>
      <c r="D14" s="222"/>
      <c r="E14" s="75">
        <f>SUM(E9+E12+E13)</f>
        <v>1493.6856799999998</v>
      </c>
      <c r="F14" s="75">
        <f>SUM(F9+F12+F13)</f>
        <v>0</v>
      </c>
      <c r="G14" s="75">
        <f t="shared" si="0"/>
        <v>1493.6856799999998</v>
      </c>
      <c r="H14" s="75">
        <f>SUM(H9+H12+H13)</f>
        <v>1048.9190000000001</v>
      </c>
      <c r="I14" s="75">
        <f>G14-H14</f>
        <v>444.76667999999972</v>
      </c>
      <c r="J14" s="202">
        <f t="shared" si="3"/>
        <v>0.70223542613061685</v>
      </c>
    </row>
    <row r="15" spans="2:10" ht="12.75" thickBot="1" x14ac:dyDescent="0.3"/>
    <row r="16" spans="2:10" s="12" customFormat="1" ht="12.75" thickBot="1" x14ac:dyDescent="0.3">
      <c r="B16" s="32" t="s">
        <v>129</v>
      </c>
      <c r="C16" s="31" t="s">
        <v>130</v>
      </c>
    </row>
    <row r="18" spans="2:10" ht="12.75" thickBot="1" x14ac:dyDescent="0.3"/>
    <row r="19" spans="2:10" ht="15" customHeight="1" x14ac:dyDescent="0.25">
      <c r="B19" s="203" t="s">
        <v>145</v>
      </c>
      <c r="C19" s="204"/>
      <c r="D19" s="204"/>
      <c r="E19" s="204"/>
      <c r="F19" s="204"/>
      <c r="G19" s="204"/>
      <c r="H19" s="204"/>
      <c r="I19" s="204"/>
      <c r="J19" s="205"/>
    </row>
    <row r="20" spans="2:10" ht="15.75" customHeight="1" thickBot="1" x14ac:dyDescent="0.3">
      <c r="B20" s="206">
        <f>B3</f>
        <v>44599</v>
      </c>
      <c r="C20" s="207"/>
      <c r="D20" s="207"/>
      <c r="E20" s="207"/>
      <c r="F20" s="207"/>
      <c r="G20" s="207"/>
      <c r="H20" s="207"/>
      <c r="I20" s="207"/>
      <c r="J20" s="208"/>
    </row>
    <row r="21" spans="2:10" ht="12.75" thickBot="1" x14ac:dyDescent="0.3"/>
    <row r="22" spans="2:10" ht="12.75" thickBot="1" x14ac:dyDescent="0.3">
      <c r="B22" s="51" t="s">
        <v>0</v>
      </c>
      <c r="C22" s="52" t="s">
        <v>8</v>
      </c>
      <c r="D22" s="52" t="s">
        <v>1</v>
      </c>
      <c r="E22" s="47" t="s">
        <v>2</v>
      </c>
      <c r="F22" s="47" t="s">
        <v>3</v>
      </c>
      <c r="G22" s="47" t="s">
        <v>4</v>
      </c>
      <c r="H22" s="47" t="s">
        <v>5</v>
      </c>
      <c r="I22" s="47" t="s">
        <v>6</v>
      </c>
      <c r="J22" s="48" t="s">
        <v>7</v>
      </c>
    </row>
    <row r="23" spans="2:10" x14ac:dyDescent="0.25">
      <c r="B23" s="209" t="s">
        <v>108</v>
      </c>
      <c r="C23" s="219" t="s">
        <v>64</v>
      </c>
      <c r="D23" s="69" t="s">
        <v>43</v>
      </c>
      <c r="E23" s="56">
        <f>SUM('CUOTA LICITADA'!L13:L42)</f>
        <v>1017.0030418470002</v>
      </c>
      <c r="F23" s="44">
        <f>SUM('CUOTA LICITADA'!M13:M42)</f>
        <v>-1.7289999998126859E-4</v>
      </c>
      <c r="G23" s="44">
        <f>E23+F23</f>
        <v>1017.0028689470003</v>
      </c>
      <c r="H23" s="44">
        <f>SUM('CUOTA LICITADA'!O13:O42)</f>
        <v>882.96299999999997</v>
      </c>
      <c r="I23" s="44">
        <f>G23-H23</f>
        <v>134.03986894700029</v>
      </c>
      <c r="J23" s="49">
        <f>H23/G23</f>
        <v>0.86820109063626882</v>
      </c>
    </row>
    <row r="24" spans="2:10" x14ac:dyDescent="0.25">
      <c r="B24" s="210"/>
      <c r="C24" s="220"/>
      <c r="D24" s="70" t="s">
        <v>44</v>
      </c>
      <c r="E24" s="56">
        <f>SUM('CUOTA LICITADA'!L43:L76)</f>
        <v>1243.0037165699996</v>
      </c>
      <c r="F24" s="44">
        <f>SUM('CUOTA LICITADA'!M43:M76)</f>
        <v>0</v>
      </c>
      <c r="G24" s="44">
        <f>E24+F24</f>
        <v>1243.0037165699996</v>
      </c>
      <c r="H24" s="44">
        <f>SUM('CUOTA LICITADA'!O43:O76)</f>
        <v>1130.3679999999999</v>
      </c>
      <c r="I24" s="44">
        <f>G24-H24</f>
        <v>112.63571656999966</v>
      </c>
      <c r="J24" s="49">
        <f>H24/G24</f>
        <v>0.90938424795638451</v>
      </c>
    </row>
    <row r="25" spans="2:10" x14ac:dyDescent="0.25">
      <c r="B25" s="210"/>
      <c r="C25" s="220"/>
      <c r="D25" s="70" t="s">
        <v>45</v>
      </c>
      <c r="E25" s="56">
        <v>27</v>
      </c>
      <c r="F25" s="44">
        <v>0</v>
      </c>
      <c r="G25" s="44">
        <f>E25+F25</f>
        <v>27</v>
      </c>
      <c r="H25" s="90">
        <v>2.5569999999999999</v>
      </c>
      <c r="I25" s="44">
        <f t="shared" ref="I25:I27" si="4">G25-H25</f>
        <v>24.443000000000001</v>
      </c>
      <c r="J25" s="49">
        <f t="shared" ref="J25:J26" si="5">H25/G25</f>
        <v>9.4703703703703707E-2</v>
      </c>
    </row>
    <row r="26" spans="2:10" ht="12.75" thickBot="1" x14ac:dyDescent="0.3">
      <c r="B26" s="210"/>
      <c r="C26" s="220"/>
      <c r="D26" s="71" t="s">
        <v>46</v>
      </c>
      <c r="E26" s="57">
        <v>40</v>
      </c>
      <c r="F26" s="42">
        <v>0</v>
      </c>
      <c r="G26" s="42">
        <f t="shared" ref="G26:G27" si="6">E26+F26</f>
        <v>40</v>
      </c>
      <c r="H26" s="42">
        <f>'PESCA DE INVESTIGACION'!H13</f>
        <v>26.430999999999997</v>
      </c>
      <c r="I26" s="42">
        <f t="shared" si="4"/>
        <v>13.569000000000003</v>
      </c>
      <c r="J26" s="50">
        <f t="shared" si="5"/>
        <v>0.66077499999999989</v>
      </c>
    </row>
    <row r="27" spans="2:10" ht="12.75" thickBot="1" x14ac:dyDescent="0.3">
      <c r="B27" s="211"/>
      <c r="C27" s="214" t="s">
        <v>13</v>
      </c>
      <c r="D27" s="215"/>
      <c r="E27" s="72">
        <f>SUM(E23:E26)</f>
        <v>2327.0067584169997</v>
      </c>
      <c r="F27" s="73">
        <f>SUM(F23:F26)</f>
        <v>-1.7289999998126859E-4</v>
      </c>
      <c r="G27" s="73">
        <f t="shared" si="6"/>
        <v>2327.0065855169996</v>
      </c>
      <c r="H27" s="73">
        <f>SUM(H23:H26)</f>
        <v>2042.319</v>
      </c>
      <c r="I27" s="73">
        <f t="shared" si="4"/>
        <v>284.68758551699966</v>
      </c>
      <c r="J27" s="74">
        <f>H27/G27</f>
        <v>0.87765931248804374</v>
      </c>
    </row>
  </sheetData>
  <mergeCells count="12">
    <mergeCell ref="B2:J2"/>
    <mergeCell ref="B3:J3"/>
    <mergeCell ref="B19:J19"/>
    <mergeCell ref="B20:J20"/>
    <mergeCell ref="B23:B27"/>
    <mergeCell ref="B6:B14"/>
    <mergeCell ref="C27:D27"/>
    <mergeCell ref="C6:C9"/>
    <mergeCell ref="C23:C26"/>
    <mergeCell ref="C14:D14"/>
    <mergeCell ref="C10:C12"/>
    <mergeCell ref="C13:D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0"/>
  <sheetViews>
    <sheetView showGridLines="0" zoomScale="130" zoomScaleNormal="130" workbookViewId="0">
      <selection activeCell="E24" sqref="E24"/>
    </sheetView>
  </sheetViews>
  <sheetFormatPr baseColWidth="10" defaultColWidth="11.42578125" defaultRowHeight="12" x14ac:dyDescent="0.25"/>
  <cols>
    <col min="1" max="1" width="11.42578125" style="12"/>
    <col min="2" max="2" width="20.28515625" style="12" bestFit="1" customWidth="1"/>
    <col min="3" max="3" width="14.28515625" style="12" customWidth="1"/>
    <col min="4" max="4" width="8.285156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1.140625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12"/>
  </cols>
  <sheetData>
    <row r="2" spans="2:17" ht="19.5" customHeight="1" x14ac:dyDescent="0.25">
      <c r="B2" s="230" t="s">
        <v>101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2"/>
    </row>
    <row r="3" spans="2:17" x14ac:dyDescent="0.25">
      <c r="B3" s="233">
        <f>'RESUMEN '!B3:J3</f>
        <v>44599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5"/>
    </row>
    <row r="4" spans="2:17" ht="12.75" thickBot="1" x14ac:dyDescent="0.3"/>
    <row r="5" spans="2:17" ht="12.75" thickBot="1" x14ac:dyDescent="0.3">
      <c r="B5" s="80" t="s">
        <v>16</v>
      </c>
      <c r="C5" s="81" t="s">
        <v>17</v>
      </c>
      <c r="D5" s="82" t="s">
        <v>18</v>
      </c>
      <c r="E5" s="83" t="s">
        <v>2</v>
      </c>
      <c r="F5" s="83" t="s">
        <v>3</v>
      </c>
      <c r="G5" s="83" t="s">
        <v>4</v>
      </c>
      <c r="H5" s="83" t="s">
        <v>5</v>
      </c>
      <c r="I5" s="83" t="s">
        <v>6</v>
      </c>
      <c r="J5" s="84" t="s">
        <v>7</v>
      </c>
      <c r="K5" s="83" t="s">
        <v>19</v>
      </c>
      <c r="L5" s="83" t="s">
        <v>2</v>
      </c>
      <c r="M5" s="83" t="s">
        <v>3</v>
      </c>
      <c r="N5" s="83" t="s">
        <v>4</v>
      </c>
      <c r="O5" s="83" t="s">
        <v>5</v>
      </c>
      <c r="P5" s="83" t="s">
        <v>6</v>
      </c>
      <c r="Q5" s="81" t="s">
        <v>20</v>
      </c>
    </row>
    <row r="6" spans="2:17" x14ac:dyDescent="0.25">
      <c r="B6" s="216" t="s">
        <v>21</v>
      </c>
      <c r="C6" s="216" t="s">
        <v>16</v>
      </c>
      <c r="D6" s="78" t="s">
        <v>52</v>
      </c>
      <c r="E6" s="53">
        <v>7</v>
      </c>
      <c r="F6" s="43"/>
      <c r="G6" s="43">
        <f>E6+F6</f>
        <v>7</v>
      </c>
      <c r="H6" s="43"/>
      <c r="I6" s="43">
        <f>G6-H6</f>
        <v>7</v>
      </c>
      <c r="J6" s="41">
        <f>H6/G6</f>
        <v>0</v>
      </c>
      <c r="K6" s="79" t="s">
        <v>92</v>
      </c>
      <c r="L6" s="229">
        <f>E6+E7</f>
        <v>8</v>
      </c>
      <c r="M6" s="229">
        <f>F6+F7</f>
        <v>0</v>
      </c>
      <c r="N6" s="229">
        <f>L6+M6</f>
        <v>8</v>
      </c>
      <c r="O6" s="229">
        <f>H6+H7</f>
        <v>0</v>
      </c>
      <c r="P6" s="229">
        <f>N6-O6</f>
        <v>8</v>
      </c>
      <c r="Q6" s="238">
        <f>O6/N6</f>
        <v>0</v>
      </c>
    </row>
    <row r="7" spans="2:17" ht="12.75" thickBot="1" x14ac:dyDescent="0.3">
      <c r="B7" s="218"/>
      <c r="C7" s="218"/>
      <c r="D7" s="77" t="s">
        <v>53</v>
      </c>
      <c r="E7" s="16">
        <v>1</v>
      </c>
      <c r="F7" s="14"/>
      <c r="G7" s="14">
        <f>E7+F7+I6</f>
        <v>8</v>
      </c>
      <c r="H7" s="14"/>
      <c r="I7" s="14">
        <f>G7-H7</f>
        <v>8</v>
      </c>
      <c r="J7" s="15">
        <f>H7/G7</f>
        <v>0</v>
      </c>
      <c r="K7" s="33" t="s">
        <v>92</v>
      </c>
      <c r="L7" s="228"/>
      <c r="M7" s="228"/>
      <c r="N7" s="228"/>
      <c r="O7" s="228"/>
      <c r="P7" s="228"/>
      <c r="Q7" s="226"/>
    </row>
    <row r="8" spans="2:17" x14ac:dyDescent="0.25">
      <c r="B8" s="216" t="s">
        <v>22</v>
      </c>
      <c r="C8" s="216" t="s">
        <v>55</v>
      </c>
      <c r="D8" s="77" t="s">
        <v>52</v>
      </c>
      <c r="E8" s="16">
        <v>118.44</v>
      </c>
      <c r="F8" s="14">
        <f>-65.847+30</f>
        <v>-35.846999999999994</v>
      </c>
      <c r="G8" s="14">
        <f t="shared" ref="G8" si="0">E8+F8</f>
        <v>82.593000000000004</v>
      </c>
      <c r="H8" s="90">
        <f>-0.655+80.877</f>
        <v>80.221999999999994</v>
      </c>
      <c r="I8" s="14">
        <f t="shared" ref="I8:I17" si="1">G8-H8</f>
        <v>2.3710000000000093</v>
      </c>
      <c r="J8" s="15">
        <f t="shared" ref="J8:J17" si="2">H8/G8</f>
        <v>0.9712929667163076</v>
      </c>
      <c r="K8" s="33">
        <v>44312</v>
      </c>
      <c r="L8" s="227">
        <f t="shared" ref="L8" si="3">E8+E9</f>
        <v>131.69399999999999</v>
      </c>
      <c r="M8" s="227">
        <f t="shared" ref="M8" si="4">F8+F9</f>
        <v>-35.846999999999994</v>
      </c>
      <c r="N8" s="227">
        <f t="shared" ref="N8" si="5">L8+M8</f>
        <v>95.846999999999994</v>
      </c>
      <c r="O8" s="227">
        <f t="shared" ref="O8" si="6">H8+H9</f>
        <v>93.103999999999999</v>
      </c>
      <c r="P8" s="227">
        <f t="shared" ref="P8" si="7">N8-O8</f>
        <v>2.742999999999995</v>
      </c>
      <c r="Q8" s="225">
        <f t="shared" ref="Q8" si="8">O8/N8</f>
        <v>0.97138147255521823</v>
      </c>
    </row>
    <row r="9" spans="2:17" ht="12.75" thickBot="1" x14ac:dyDescent="0.3">
      <c r="B9" s="217"/>
      <c r="C9" s="218"/>
      <c r="D9" s="77" t="s">
        <v>53</v>
      </c>
      <c r="E9" s="16">
        <v>13.254</v>
      </c>
      <c r="F9" s="14"/>
      <c r="G9" s="14">
        <f t="shared" ref="G9" si="9">E9+F9+I8</f>
        <v>15.625000000000009</v>
      </c>
      <c r="H9" s="90">
        <v>12.882</v>
      </c>
      <c r="I9" s="14">
        <f t="shared" si="1"/>
        <v>2.7430000000000092</v>
      </c>
      <c r="J9" s="15">
        <f t="shared" si="2"/>
        <v>0.82444799999999951</v>
      </c>
      <c r="K9" s="33">
        <v>44470</v>
      </c>
      <c r="L9" s="228"/>
      <c r="M9" s="228"/>
      <c r="N9" s="228"/>
      <c r="O9" s="228"/>
      <c r="P9" s="228"/>
      <c r="Q9" s="226"/>
    </row>
    <row r="10" spans="2:17" x14ac:dyDescent="0.25">
      <c r="B10" s="217"/>
      <c r="C10" s="216" t="s">
        <v>56</v>
      </c>
      <c r="D10" s="77" t="s">
        <v>52</v>
      </c>
      <c r="E10" s="16">
        <v>110.46</v>
      </c>
      <c r="F10" s="14"/>
      <c r="G10" s="14">
        <f t="shared" ref="G10" si="10">E10+F10</f>
        <v>110.46</v>
      </c>
      <c r="H10" s="90">
        <f>-5.072+102.436</f>
        <v>97.364000000000004</v>
      </c>
      <c r="I10" s="14">
        <f t="shared" si="1"/>
        <v>13.095999999999989</v>
      </c>
      <c r="J10" s="15">
        <f t="shared" si="2"/>
        <v>0.88144124569980087</v>
      </c>
      <c r="K10" s="33" t="s">
        <v>92</v>
      </c>
      <c r="L10" s="227">
        <f t="shared" ref="L10" si="11">E10+E11</f>
        <v>122.821</v>
      </c>
      <c r="M10" s="227">
        <f t="shared" ref="M10" si="12">F10+F11</f>
        <v>0</v>
      </c>
      <c r="N10" s="227">
        <f t="shared" ref="N10" si="13">L10+M10</f>
        <v>122.821</v>
      </c>
      <c r="O10" s="227">
        <f t="shared" ref="O10" si="14">H10+H11</f>
        <v>121.32400000000001</v>
      </c>
      <c r="P10" s="227">
        <f t="shared" ref="P10" si="15">N10-O10</f>
        <v>1.4969999999999857</v>
      </c>
      <c r="Q10" s="225">
        <f t="shared" ref="Q10" si="16">O10/N10</f>
        <v>0.98781153060144444</v>
      </c>
    </row>
    <row r="11" spans="2:17" ht="12.75" thickBot="1" x14ac:dyDescent="0.3">
      <c r="B11" s="217"/>
      <c r="C11" s="218"/>
      <c r="D11" s="77" t="s">
        <v>53</v>
      </c>
      <c r="E11" s="16">
        <v>12.361000000000001</v>
      </c>
      <c r="F11" s="14"/>
      <c r="G11" s="14">
        <f t="shared" ref="G11" si="17">E11+F11+I10</f>
        <v>25.45699999999999</v>
      </c>
      <c r="H11" s="90">
        <v>23.96</v>
      </c>
      <c r="I11" s="14">
        <f t="shared" si="1"/>
        <v>1.4969999999999892</v>
      </c>
      <c r="J11" s="15">
        <f>H11/G11</f>
        <v>0.94119495620065252</v>
      </c>
      <c r="K11" s="33" t="s">
        <v>92</v>
      </c>
      <c r="L11" s="228"/>
      <c r="M11" s="228"/>
      <c r="N11" s="228"/>
      <c r="O11" s="228"/>
      <c r="P11" s="228"/>
      <c r="Q11" s="226"/>
    </row>
    <row r="12" spans="2:17" x14ac:dyDescent="0.25">
      <c r="B12" s="217"/>
      <c r="C12" s="216" t="s">
        <v>57</v>
      </c>
      <c r="D12" s="77" t="s">
        <v>52</v>
      </c>
      <c r="E12" s="16">
        <v>85.26</v>
      </c>
      <c r="F12" s="14">
        <v>66.512690000000006</v>
      </c>
      <c r="G12" s="14">
        <f t="shared" ref="G12" si="18">E12+F12</f>
        <v>151.77269000000001</v>
      </c>
      <c r="H12" s="90">
        <f>-2.168+92.88</f>
        <v>90.711999999999989</v>
      </c>
      <c r="I12" s="14">
        <f t="shared" si="1"/>
        <v>61.060690000000022</v>
      </c>
      <c r="J12" s="15">
        <f t="shared" si="2"/>
        <v>0.59768328544483185</v>
      </c>
      <c r="K12" s="33">
        <v>44376</v>
      </c>
      <c r="L12" s="227">
        <f t="shared" ref="L12" si="19">E12+E13</f>
        <v>94.801000000000002</v>
      </c>
      <c r="M12" s="227">
        <f t="shared" ref="M12" si="20">F12+F13</f>
        <v>66.512690000000006</v>
      </c>
      <c r="N12" s="227">
        <f t="shared" ref="N12" si="21">L12+M12</f>
        <v>161.31369000000001</v>
      </c>
      <c r="O12" s="227">
        <f t="shared" ref="O12" si="22">H12+H13</f>
        <v>156.904</v>
      </c>
      <c r="P12" s="227">
        <f t="shared" ref="P12" si="23">N12-O12</f>
        <v>4.4096900000000119</v>
      </c>
      <c r="Q12" s="225">
        <f t="shared" ref="Q12" si="24">O12/N12</f>
        <v>0.97266388240204527</v>
      </c>
    </row>
    <row r="13" spans="2:17" ht="12.75" thickBot="1" x14ac:dyDescent="0.3">
      <c r="B13" s="217"/>
      <c r="C13" s="218"/>
      <c r="D13" s="77" t="s">
        <v>53</v>
      </c>
      <c r="E13" s="16">
        <v>9.5410000000000004</v>
      </c>
      <c r="F13" s="14"/>
      <c r="G13" s="14">
        <f t="shared" ref="G13" si="25">E13+F13+I12</f>
        <v>70.601690000000019</v>
      </c>
      <c r="H13" s="90">
        <f>66.192</f>
        <v>66.191999999999993</v>
      </c>
      <c r="I13" s="14">
        <f t="shared" si="1"/>
        <v>4.4096900000000261</v>
      </c>
      <c r="J13" s="15">
        <f t="shared" si="2"/>
        <v>0.93754129681598242</v>
      </c>
      <c r="K13" s="33" t="s">
        <v>92</v>
      </c>
      <c r="L13" s="228"/>
      <c r="M13" s="228"/>
      <c r="N13" s="228"/>
      <c r="O13" s="228"/>
      <c r="P13" s="228"/>
      <c r="Q13" s="226"/>
    </row>
    <row r="14" spans="2:17" x14ac:dyDescent="0.25">
      <c r="B14" s="217"/>
      <c r="C14" s="216" t="s">
        <v>58</v>
      </c>
      <c r="D14" s="77" t="s">
        <v>52</v>
      </c>
      <c r="E14" s="16">
        <v>80.64</v>
      </c>
      <c r="F14" s="14"/>
      <c r="G14" s="14">
        <f t="shared" ref="G14" si="26">E14+F14</f>
        <v>80.64</v>
      </c>
      <c r="H14" s="90">
        <v>38.917999999999999</v>
      </c>
      <c r="I14" s="14">
        <f t="shared" si="1"/>
        <v>41.722000000000001</v>
      </c>
      <c r="J14" s="15">
        <f t="shared" si="2"/>
        <v>0.48261408730158728</v>
      </c>
      <c r="K14" s="91" t="s">
        <v>92</v>
      </c>
      <c r="L14" s="227">
        <f t="shared" ref="L14" si="27">E14+E15</f>
        <v>89.664000000000001</v>
      </c>
      <c r="M14" s="227">
        <f t="shared" ref="M14" si="28">F14+F15</f>
        <v>0</v>
      </c>
      <c r="N14" s="227">
        <f t="shared" ref="N14" si="29">L14+M14</f>
        <v>89.664000000000001</v>
      </c>
      <c r="O14" s="227">
        <f t="shared" ref="O14" si="30">H14+H15</f>
        <v>38.917999999999999</v>
      </c>
      <c r="P14" s="227">
        <f t="shared" ref="P14" si="31">N14-O14</f>
        <v>50.746000000000002</v>
      </c>
      <c r="Q14" s="225">
        <f t="shared" ref="Q14" si="32">O14/N14</f>
        <v>0.43404264810849391</v>
      </c>
    </row>
    <row r="15" spans="2:17" ht="12.75" thickBot="1" x14ac:dyDescent="0.3">
      <c r="B15" s="217"/>
      <c r="C15" s="218"/>
      <c r="D15" s="77" t="s">
        <v>53</v>
      </c>
      <c r="E15" s="16">
        <v>9.0239999999999991</v>
      </c>
      <c r="F15" s="14"/>
      <c r="G15" s="14">
        <f t="shared" ref="G15" si="33">E15+F15+I14</f>
        <v>50.746000000000002</v>
      </c>
      <c r="H15" s="90"/>
      <c r="I15" s="14">
        <f t="shared" si="1"/>
        <v>50.746000000000002</v>
      </c>
      <c r="J15" s="15">
        <f t="shared" si="2"/>
        <v>0</v>
      </c>
      <c r="K15" s="91" t="s">
        <v>92</v>
      </c>
      <c r="L15" s="228"/>
      <c r="M15" s="228"/>
      <c r="N15" s="228"/>
      <c r="O15" s="228"/>
      <c r="P15" s="228"/>
      <c r="Q15" s="226"/>
    </row>
    <row r="16" spans="2:17" x14ac:dyDescent="0.25">
      <c r="B16" s="217"/>
      <c r="C16" s="216" t="s">
        <v>59</v>
      </c>
      <c r="D16" s="77" t="s">
        <v>52</v>
      </c>
      <c r="E16" s="16">
        <v>25.2</v>
      </c>
      <c r="F16" s="14"/>
      <c r="G16" s="14">
        <f t="shared" ref="G16" si="34">E16+F16</f>
        <v>25.2</v>
      </c>
      <c r="H16" s="90">
        <f>-'REMANENTE '!F11+11.655</f>
        <v>10.014999999999999</v>
      </c>
      <c r="I16" s="14">
        <f t="shared" si="1"/>
        <v>15.185</v>
      </c>
      <c r="J16" s="15">
        <f t="shared" si="2"/>
        <v>0.3974206349206349</v>
      </c>
      <c r="K16" s="33" t="s">
        <v>92</v>
      </c>
      <c r="L16" s="227">
        <f t="shared" ref="L16" si="35">E16+E17</f>
        <v>28.02</v>
      </c>
      <c r="M16" s="227">
        <f t="shared" ref="M16" si="36">F16+F17</f>
        <v>0</v>
      </c>
      <c r="N16" s="227">
        <f t="shared" ref="N16" si="37">L16+M16</f>
        <v>28.02</v>
      </c>
      <c r="O16" s="227">
        <f t="shared" ref="O16" si="38">H16+H17</f>
        <v>18.613</v>
      </c>
      <c r="P16" s="227">
        <f t="shared" ref="P16" si="39">N16-O16</f>
        <v>9.407</v>
      </c>
      <c r="Q16" s="225">
        <f t="shared" ref="Q16" si="40">O16/N16</f>
        <v>0.6642755174875089</v>
      </c>
    </row>
    <row r="17" spans="2:17" ht="12.75" thickBot="1" x14ac:dyDescent="0.3">
      <c r="B17" s="218"/>
      <c r="C17" s="218"/>
      <c r="D17" s="77" t="s">
        <v>53</v>
      </c>
      <c r="E17" s="16">
        <v>2.82</v>
      </c>
      <c r="F17" s="14"/>
      <c r="G17" s="14">
        <f t="shared" ref="G17" si="41">E17+F17+I16</f>
        <v>18.004999999999999</v>
      </c>
      <c r="H17" s="90">
        <v>8.5980000000000008</v>
      </c>
      <c r="I17" s="14">
        <f t="shared" si="1"/>
        <v>9.4069999999999983</v>
      </c>
      <c r="J17" s="15">
        <f t="shared" si="2"/>
        <v>0.47753401832824222</v>
      </c>
      <c r="K17" s="33" t="s">
        <v>92</v>
      </c>
      <c r="L17" s="228"/>
      <c r="M17" s="228"/>
      <c r="N17" s="228"/>
      <c r="O17" s="228"/>
      <c r="P17" s="228"/>
      <c r="Q17" s="226"/>
    </row>
    <row r="18" spans="2:17" ht="12.75" thickBot="1" x14ac:dyDescent="0.3">
      <c r="B18" s="86" t="s">
        <v>10</v>
      </c>
      <c r="C18" s="85" t="s">
        <v>109</v>
      </c>
      <c r="D18" s="77" t="s">
        <v>54</v>
      </c>
      <c r="E18" s="16">
        <v>9</v>
      </c>
      <c r="F18" s="14"/>
      <c r="G18" s="14">
        <f>E18+F18</f>
        <v>9</v>
      </c>
      <c r="H18" s="16"/>
      <c r="I18" s="14">
        <f>G18-H18</f>
        <v>9</v>
      </c>
      <c r="J18" s="15">
        <f>H18/G18</f>
        <v>0</v>
      </c>
      <c r="K18" s="33" t="s">
        <v>92</v>
      </c>
      <c r="L18" s="92">
        <f>E18</f>
        <v>9</v>
      </c>
      <c r="M18" s="92">
        <f t="shared" ref="M18:Q18" si="42">F18</f>
        <v>0</v>
      </c>
      <c r="N18" s="92">
        <f t="shared" si="42"/>
        <v>9</v>
      </c>
      <c r="O18" s="92">
        <f t="shared" si="42"/>
        <v>0</v>
      </c>
      <c r="P18" s="92">
        <f t="shared" si="42"/>
        <v>9</v>
      </c>
      <c r="Q18" s="92">
        <f t="shared" si="42"/>
        <v>0</v>
      </c>
    </row>
    <row r="19" spans="2:17" ht="12.75" thickBot="1" x14ac:dyDescent="0.3">
      <c r="B19" s="236" t="s">
        <v>13</v>
      </c>
      <c r="C19" s="237"/>
      <c r="D19" s="76" t="s">
        <v>54</v>
      </c>
      <c r="E19" s="87">
        <f>SUM(E6:E18)</f>
        <v>483.99999999999994</v>
      </c>
      <c r="F19" s="87">
        <f>SUM(F6:F18)</f>
        <v>30.665690000000012</v>
      </c>
      <c r="G19" s="87">
        <f>E19+F19</f>
        <v>514.66568999999993</v>
      </c>
      <c r="H19" s="87">
        <f>SUM(H6:H18)</f>
        <v>428.863</v>
      </c>
      <c r="I19" s="87">
        <f>G19-H19</f>
        <v>85.802689999999927</v>
      </c>
      <c r="J19" s="88">
        <f>H19/G19</f>
        <v>0.83328461238595497</v>
      </c>
      <c r="K19" s="89" t="s">
        <v>92</v>
      </c>
      <c r="L19" s="87">
        <f>SUM(L6:L18)</f>
        <v>483.99999999999994</v>
      </c>
      <c r="M19" s="87">
        <f>SUM(M6:M18)</f>
        <v>30.665690000000012</v>
      </c>
      <c r="N19" s="87">
        <f>L19+M19</f>
        <v>514.66568999999993</v>
      </c>
      <c r="O19" s="87">
        <f>SUM(O6:O18)</f>
        <v>428.863</v>
      </c>
      <c r="P19" s="87">
        <f>N19-O19</f>
        <v>85.802689999999927</v>
      </c>
      <c r="Q19" s="88">
        <f>O19/N19</f>
        <v>0.83328461238595497</v>
      </c>
    </row>
    <row r="20" spans="2:17" x14ac:dyDescent="0.25">
      <c r="E20" s="22"/>
    </row>
    <row r="30" spans="2:17" x14ac:dyDescent="0.25">
      <c r="H30" s="197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6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workbookViewId="0">
      <selection activeCell="H18" sqref="H18"/>
    </sheetView>
  </sheetViews>
  <sheetFormatPr baseColWidth="10" defaultRowHeight="15" x14ac:dyDescent="0.25"/>
  <cols>
    <col min="1" max="1" width="11.42578125" style="162"/>
    <col min="2" max="2" width="22.7109375" style="162" bestFit="1" customWidth="1"/>
    <col min="3" max="3" width="13.42578125" style="162" bestFit="1" customWidth="1"/>
    <col min="4" max="4" width="16.5703125" style="162" customWidth="1"/>
    <col min="5" max="16384" width="11.42578125" style="162"/>
  </cols>
  <sheetData>
    <row r="1" spans="2:9" ht="15.75" customHeight="1" x14ac:dyDescent="0.25">
      <c r="B1" s="242" t="s">
        <v>168</v>
      </c>
      <c r="C1" s="243"/>
      <c r="D1" s="243"/>
      <c r="E1" s="243"/>
      <c r="F1" s="243"/>
      <c r="G1" s="243"/>
      <c r="H1" s="243"/>
      <c r="I1" s="244"/>
    </row>
    <row r="2" spans="2:9" ht="16.5" thickBot="1" x14ac:dyDescent="0.3">
      <c r="B2" s="245">
        <f>'RESUMEN '!B3:J3</f>
        <v>44599</v>
      </c>
      <c r="C2" s="246"/>
      <c r="D2" s="246"/>
      <c r="E2" s="246"/>
      <c r="F2" s="246"/>
      <c r="G2" s="246"/>
      <c r="H2" s="246"/>
      <c r="I2" s="247"/>
    </row>
    <row r="4" spans="2:9" ht="15.75" thickBot="1" x14ac:dyDescent="0.3"/>
    <row r="5" spans="2:9" ht="45.75" thickBot="1" x14ac:dyDescent="0.3">
      <c r="B5" s="175" t="s">
        <v>167</v>
      </c>
      <c r="C5" s="176" t="s">
        <v>166</v>
      </c>
      <c r="D5" s="177" t="s">
        <v>165</v>
      </c>
      <c r="E5" s="177" t="s">
        <v>164</v>
      </c>
      <c r="F5" s="177" t="s">
        <v>163</v>
      </c>
      <c r="G5" s="177" t="s">
        <v>162</v>
      </c>
      <c r="H5" s="177" t="s">
        <v>161</v>
      </c>
      <c r="I5" s="178" t="s">
        <v>160</v>
      </c>
    </row>
    <row r="6" spans="2:9" ht="15.75" thickBot="1" x14ac:dyDescent="0.3">
      <c r="B6" s="179" t="s">
        <v>169</v>
      </c>
      <c r="C6" s="180" t="s">
        <v>16</v>
      </c>
      <c r="D6" s="181" t="s">
        <v>158</v>
      </c>
      <c r="E6" s="182">
        <v>10</v>
      </c>
      <c r="F6" s="182">
        <v>0</v>
      </c>
      <c r="G6" s="182">
        <f t="shared" ref="G6:G11" si="0">E6-F6</f>
        <v>10</v>
      </c>
      <c r="H6" s="183">
        <f t="shared" ref="H6:H11" si="1">F6/E6</f>
        <v>0</v>
      </c>
      <c r="I6" s="184"/>
    </row>
    <row r="7" spans="2:9" x14ac:dyDescent="0.25">
      <c r="B7" s="239" t="s">
        <v>159</v>
      </c>
      <c r="C7" s="171" t="s">
        <v>55</v>
      </c>
      <c r="D7" s="171" t="s">
        <v>158</v>
      </c>
      <c r="E7" s="172">
        <v>0.65500000000000114</v>
      </c>
      <c r="F7" s="171">
        <v>0.65500000000000003</v>
      </c>
      <c r="G7" s="172">
        <f t="shared" si="0"/>
        <v>1.1102230246251565E-15</v>
      </c>
      <c r="H7" s="173">
        <f t="shared" si="1"/>
        <v>0.99999999999999833</v>
      </c>
      <c r="I7" s="174">
        <v>44312</v>
      </c>
    </row>
    <row r="8" spans="2:9" x14ac:dyDescent="0.25">
      <c r="B8" s="240"/>
      <c r="C8" s="169" t="s">
        <v>56</v>
      </c>
      <c r="D8" s="169" t="s">
        <v>158</v>
      </c>
      <c r="E8" s="168">
        <v>5.0720000000000312</v>
      </c>
      <c r="F8" s="169">
        <v>5.0720000000000001</v>
      </c>
      <c r="G8" s="168">
        <f t="shared" si="0"/>
        <v>3.1086244689504383E-14</v>
      </c>
      <c r="H8" s="167">
        <f t="shared" si="1"/>
        <v>0.99999999999999389</v>
      </c>
      <c r="I8" s="170">
        <v>44312</v>
      </c>
    </row>
    <row r="9" spans="2:9" x14ac:dyDescent="0.25">
      <c r="B9" s="240"/>
      <c r="C9" s="169" t="s">
        <v>57</v>
      </c>
      <c r="D9" s="169" t="s">
        <v>158</v>
      </c>
      <c r="E9" s="168">
        <v>2.1680000000000064</v>
      </c>
      <c r="F9" s="169">
        <v>2.1680000000000001</v>
      </c>
      <c r="G9" s="168">
        <f t="shared" si="0"/>
        <v>6.2172489379008766E-15</v>
      </c>
      <c r="H9" s="167">
        <f t="shared" si="1"/>
        <v>0.99999999999999711</v>
      </c>
      <c r="I9" s="170">
        <v>44312</v>
      </c>
    </row>
    <row r="10" spans="2:9" x14ac:dyDescent="0.25">
      <c r="B10" s="240"/>
      <c r="C10" s="169" t="s">
        <v>58</v>
      </c>
      <c r="D10" s="169" t="s">
        <v>158</v>
      </c>
      <c r="E10" s="168">
        <v>0.57800000000000296</v>
      </c>
      <c r="F10" s="169"/>
      <c r="G10" s="168">
        <f t="shared" si="0"/>
        <v>0.57800000000000296</v>
      </c>
      <c r="H10" s="167">
        <f t="shared" si="1"/>
        <v>0</v>
      </c>
      <c r="I10" s="170">
        <v>44329</v>
      </c>
    </row>
    <row r="11" spans="2:9" ht="15.75" thickBot="1" x14ac:dyDescent="0.3">
      <c r="B11" s="241"/>
      <c r="C11" s="166" t="s">
        <v>59</v>
      </c>
      <c r="D11" s="166" t="s">
        <v>158</v>
      </c>
      <c r="E11" s="164">
        <v>2.9210000000000029</v>
      </c>
      <c r="F11" s="165">
        <v>1.64</v>
      </c>
      <c r="G11" s="164">
        <f t="shared" si="0"/>
        <v>1.281000000000003</v>
      </c>
      <c r="H11" s="163">
        <f t="shared" si="1"/>
        <v>0.56145155768572352</v>
      </c>
      <c r="I11" s="188">
        <v>44329</v>
      </c>
    </row>
  </sheetData>
  <mergeCells count="3">
    <mergeCell ref="B7:B11"/>
    <mergeCell ref="B1:I1"/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showGridLines="0" topLeftCell="B1" zoomScaleNormal="100" workbookViewId="0">
      <pane xSplit="2" ySplit="5" topLeftCell="E18" activePane="bottomRight" state="frozen"/>
      <selection activeCell="B1" sqref="B1"/>
      <selection pane="topRight" activeCell="D1" sqref="D1"/>
      <selection pane="bottomLeft" activeCell="B6" sqref="B6"/>
      <selection pane="bottomRight" activeCell="N32" sqref="N32:N33"/>
    </sheetView>
  </sheetViews>
  <sheetFormatPr baseColWidth="10" defaultColWidth="11.42578125" defaultRowHeight="12" x14ac:dyDescent="0.25"/>
  <cols>
    <col min="1" max="1" width="11.42578125" style="12"/>
    <col min="2" max="2" width="20.85546875" style="12" bestFit="1" customWidth="1"/>
    <col min="3" max="3" width="33" style="12" bestFit="1" customWidth="1"/>
    <col min="4" max="4" width="7.57031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9" style="12" bestFit="1" customWidth="1"/>
    <col min="12" max="12" width="15.5703125" style="12" bestFit="1" customWidth="1"/>
    <col min="13" max="13" width="18" style="12" bestFit="1" customWidth="1"/>
    <col min="14" max="14" width="12.42578125" style="12" bestFit="1" customWidth="1"/>
    <col min="15" max="15" width="10.5703125" style="12" bestFit="1" customWidth="1"/>
    <col min="16" max="16" width="10.42578125" style="12" bestFit="1" customWidth="1"/>
    <col min="17" max="16384" width="11.42578125" style="12"/>
  </cols>
  <sheetData>
    <row r="1" spans="2:16" ht="12.75" thickBot="1" x14ac:dyDescent="0.3"/>
    <row r="2" spans="2:16" x14ac:dyDescent="0.25">
      <c r="B2" s="259" t="s">
        <v>102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1"/>
    </row>
    <row r="3" spans="2:16" ht="19.5" customHeight="1" thickBot="1" x14ac:dyDescent="0.3">
      <c r="B3" s="262">
        <f>'RESUMEN '!B3:J3</f>
        <v>44599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4"/>
    </row>
    <row r="4" spans="2:16" ht="12.75" thickBot="1" x14ac:dyDescent="0.3"/>
    <row r="5" spans="2:16" ht="12.75" thickBot="1" x14ac:dyDescent="0.3">
      <c r="B5" s="94" t="s">
        <v>0</v>
      </c>
      <c r="C5" s="95" t="s">
        <v>23</v>
      </c>
      <c r="D5" s="95" t="s">
        <v>18</v>
      </c>
      <c r="E5" s="95" t="s">
        <v>2</v>
      </c>
      <c r="F5" s="95" t="s">
        <v>3</v>
      </c>
      <c r="G5" s="95" t="s">
        <v>4</v>
      </c>
      <c r="H5" s="95" t="s">
        <v>5</v>
      </c>
      <c r="I5" s="95" t="s">
        <v>6</v>
      </c>
      <c r="J5" s="96" t="s">
        <v>7</v>
      </c>
      <c r="K5" s="95" t="s">
        <v>2</v>
      </c>
      <c r="L5" s="95" t="s">
        <v>3</v>
      </c>
      <c r="M5" s="95" t="s">
        <v>4</v>
      </c>
      <c r="N5" s="95" t="s">
        <v>5</v>
      </c>
      <c r="O5" s="95" t="s">
        <v>6</v>
      </c>
      <c r="P5" s="97" t="s">
        <v>20</v>
      </c>
    </row>
    <row r="6" spans="2:16" x14ac:dyDescent="0.25">
      <c r="B6" s="272" t="s">
        <v>50</v>
      </c>
      <c r="C6" s="258" t="s">
        <v>24</v>
      </c>
      <c r="D6" s="98" t="s">
        <v>52</v>
      </c>
      <c r="E6" s="58">
        <f>29.92323+0.8775+0.8775+0.18+1.2825</f>
        <v>33.140730000000005</v>
      </c>
      <c r="F6" s="101"/>
      <c r="G6" s="65">
        <f>E6+F6</f>
        <v>33.140730000000005</v>
      </c>
      <c r="H6" s="101"/>
      <c r="I6" s="65">
        <f>G6-H6</f>
        <v>33.140730000000005</v>
      </c>
      <c r="J6" s="102">
        <f>H6/G6</f>
        <v>0</v>
      </c>
      <c r="K6" s="255">
        <f>E6+E7</f>
        <v>36.086570000000002</v>
      </c>
      <c r="L6" s="255">
        <f>F6+F7</f>
        <v>0</v>
      </c>
      <c r="M6" s="255">
        <f>K6+L6</f>
        <v>36.086570000000002</v>
      </c>
      <c r="N6" s="255">
        <f>H6+H7</f>
        <v>34.468000000000004</v>
      </c>
      <c r="O6" s="255">
        <f>M6-N6</f>
        <v>1.6185699999999983</v>
      </c>
      <c r="P6" s="256">
        <f>N6/M6</f>
        <v>0.95514757983371656</v>
      </c>
    </row>
    <row r="7" spans="2:16" x14ac:dyDescent="0.25">
      <c r="B7" s="273"/>
      <c r="C7" s="257"/>
      <c r="D7" s="99" t="s">
        <v>53</v>
      </c>
      <c r="E7" s="56">
        <f>2.65984+0.078+0.078+0.016+0.114</f>
        <v>2.9458399999999996</v>
      </c>
      <c r="F7" s="46"/>
      <c r="G7" s="44">
        <f>E7+F7+I6</f>
        <v>36.086570000000002</v>
      </c>
      <c r="H7" s="93">
        <v>34.468000000000004</v>
      </c>
      <c r="I7" s="44">
        <f>G7-H7</f>
        <v>1.6185699999999983</v>
      </c>
      <c r="J7" s="45">
        <f>H7/G7</f>
        <v>0.95514757983371656</v>
      </c>
      <c r="K7" s="250"/>
      <c r="L7" s="250"/>
      <c r="M7" s="250"/>
      <c r="N7" s="250"/>
      <c r="O7" s="250"/>
      <c r="P7" s="251"/>
    </row>
    <row r="8" spans="2:16" x14ac:dyDescent="0.25">
      <c r="B8" s="273"/>
      <c r="C8" s="257" t="s">
        <v>25</v>
      </c>
      <c r="D8" s="99" t="s">
        <v>52</v>
      </c>
      <c r="E8" s="56">
        <f>2.15598+0.52769+0.23909+2.48868+0.5805</f>
        <v>5.9919400000000005</v>
      </c>
      <c r="F8" s="46"/>
      <c r="G8" s="44">
        <f t="shared" ref="G8" si="0">E8+F8</f>
        <v>5.9919400000000005</v>
      </c>
      <c r="H8" s="46"/>
      <c r="I8" s="44">
        <f t="shared" ref="I8:I55" si="1">G8-H8</f>
        <v>5.9919400000000005</v>
      </c>
      <c r="J8" s="45">
        <f t="shared" ref="J8:J55" si="2">H8/G8</f>
        <v>0</v>
      </c>
      <c r="K8" s="250">
        <f t="shared" ref="K8" si="3">E8+E9</f>
        <v>6.5245600000000001</v>
      </c>
      <c r="L8" s="250">
        <f t="shared" ref="L8" si="4">F8+F9</f>
        <v>0</v>
      </c>
      <c r="M8" s="250">
        <f t="shared" ref="M8" si="5">K8+L8</f>
        <v>6.5245600000000001</v>
      </c>
      <c r="N8" s="250">
        <f t="shared" ref="N8" si="6">H8+H9</f>
        <v>0</v>
      </c>
      <c r="O8" s="250">
        <f t="shared" ref="O8" si="7">M8-N8</f>
        <v>6.5245600000000001</v>
      </c>
      <c r="P8" s="251">
        <f t="shared" ref="P8" si="8">N8/M8</f>
        <v>0</v>
      </c>
    </row>
    <row r="9" spans="2:16" x14ac:dyDescent="0.25">
      <c r="B9" s="273"/>
      <c r="C9" s="257"/>
      <c r="D9" s="99" t="s">
        <v>53</v>
      </c>
      <c r="E9" s="56">
        <f>0.19164+0.04691+0.02125+0.22122+0.0516</f>
        <v>0.53261999999999998</v>
      </c>
      <c r="F9" s="46"/>
      <c r="G9" s="44">
        <f t="shared" ref="G9" si="9">E9+F9+I8</f>
        <v>6.5245600000000001</v>
      </c>
      <c r="H9" s="46"/>
      <c r="I9" s="44">
        <f t="shared" si="1"/>
        <v>6.5245600000000001</v>
      </c>
      <c r="J9" s="45">
        <f t="shared" si="2"/>
        <v>0</v>
      </c>
      <c r="K9" s="250"/>
      <c r="L9" s="250"/>
      <c r="M9" s="250"/>
      <c r="N9" s="250"/>
      <c r="O9" s="250"/>
      <c r="P9" s="251"/>
    </row>
    <row r="10" spans="2:16" x14ac:dyDescent="0.25">
      <c r="B10" s="273"/>
      <c r="C10" s="257" t="s">
        <v>26</v>
      </c>
      <c r="D10" s="99" t="s">
        <v>52</v>
      </c>
      <c r="E10" s="56">
        <f>0.0027</f>
        <v>2.7000000000000001E-3</v>
      </c>
      <c r="F10" s="46"/>
      <c r="G10" s="44">
        <f t="shared" ref="G10" si="10">E10+F10</f>
        <v>2.7000000000000001E-3</v>
      </c>
      <c r="H10" s="46"/>
      <c r="I10" s="44">
        <f t="shared" si="1"/>
        <v>2.7000000000000001E-3</v>
      </c>
      <c r="J10" s="45">
        <f t="shared" si="2"/>
        <v>0</v>
      </c>
      <c r="K10" s="250">
        <f t="shared" ref="K10" si="11">E10+E11</f>
        <v>2.9400000000000003E-3</v>
      </c>
      <c r="L10" s="250">
        <f t="shared" ref="L10" si="12">F10+F11</f>
        <v>0</v>
      </c>
      <c r="M10" s="250">
        <f t="shared" ref="M10" si="13">K10+L10</f>
        <v>2.9400000000000003E-3</v>
      </c>
      <c r="N10" s="250">
        <f t="shared" ref="N10" si="14">H10+H11</f>
        <v>0</v>
      </c>
      <c r="O10" s="250">
        <f t="shared" ref="O10" si="15">M10-N10</f>
        <v>2.9400000000000003E-3</v>
      </c>
      <c r="P10" s="251">
        <f t="shared" ref="P10" si="16">N10/M10</f>
        <v>0</v>
      </c>
    </row>
    <row r="11" spans="2:16" x14ac:dyDescent="0.25">
      <c r="B11" s="273"/>
      <c r="C11" s="257"/>
      <c r="D11" s="99" t="s">
        <v>53</v>
      </c>
      <c r="E11" s="56">
        <f>0.00024</f>
        <v>2.4000000000000001E-4</v>
      </c>
      <c r="F11" s="46"/>
      <c r="G11" s="44">
        <f t="shared" ref="G11" si="17">E11+F11+I10</f>
        <v>2.9400000000000003E-3</v>
      </c>
      <c r="H11" s="46"/>
      <c r="I11" s="44">
        <f t="shared" si="1"/>
        <v>2.9400000000000003E-3</v>
      </c>
      <c r="J11" s="45">
        <f t="shared" si="2"/>
        <v>0</v>
      </c>
      <c r="K11" s="250"/>
      <c r="L11" s="250"/>
      <c r="M11" s="250"/>
      <c r="N11" s="250"/>
      <c r="O11" s="250"/>
      <c r="P11" s="251"/>
    </row>
    <row r="12" spans="2:16" x14ac:dyDescent="0.25">
      <c r="B12" s="273"/>
      <c r="C12" s="257" t="s">
        <v>27</v>
      </c>
      <c r="D12" s="99" t="s">
        <v>52</v>
      </c>
      <c r="E12" s="56">
        <f>31.16036+0.6975+0.0234+1.0125+1.2825</f>
        <v>34.176259999999999</v>
      </c>
      <c r="F12" s="16"/>
      <c r="G12" s="44">
        <f t="shared" ref="G12" si="18">E12+F12</f>
        <v>34.176259999999999</v>
      </c>
      <c r="H12" s="46"/>
      <c r="I12" s="44">
        <f t="shared" si="1"/>
        <v>34.176259999999999</v>
      </c>
      <c r="J12" s="45">
        <f t="shared" si="2"/>
        <v>0</v>
      </c>
      <c r="K12" s="250">
        <f t="shared" ref="K12" si="19">E12+E13</f>
        <v>37.214149999999997</v>
      </c>
      <c r="L12" s="250">
        <f t="shared" ref="L12" si="20">F12+F13</f>
        <v>0</v>
      </c>
      <c r="M12" s="250">
        <f t="shared" ref="M12" si="21">K12+L12</f>
        <v>37.214149999999997</v>
      </c>
      <c r="N12" s="250">
        <f t="shared" ref="N12" si="22">H12+H13</f>
        <v>0</v>
      </c>
      <c r="O12" s="250">
        <f t="shared" ref="O12" si="23">M12-N12</f>
        <v>37.214149999999997</v>
      </c>
      <c r="P12" s="251">
        <f t="shared" ref="P12" si="24">N12/M12</f>
        <v>0</v>
      </c>
    </row>
    <row r="13" spans="2:16" x14ac:dyDescent="0.25">
      <c r="B13" s="273"/>
      <c r="C13" s="257"/>
      <c r="D13" s="99" t="s">
        <v>53</v>
      </c>
      <c r="E13" s="56">
        <f>2.76981+0.062+0.00208+0.09+0.114</f>
        <v>3.0378899999999995</v>
      </c>
      <c r="F13" s="46"/>
      <c r="G13" s="44">
        <f t="shared" ref="G13" si="25">E13+F13+I12</f>
        <v>37.214149999999997</v>
      </c>
      <c r="H13" s="46"/>
      <c r="I13" s="44">
        <f t="shared" si="1"/>
        <v>37.214149999999997</v>
      </c>
      <c r="J13" s="45">
        <f t="shared" si="2"/>
        <v>0</v>
      </c>
      <c r="K13" s="250"/>
      <c r="L13" s="250"/>
      <c r="M13" s="250"/>
      <c r="N13" s="250"/>
      <c r="O13" s="250"/>
      <c r="P13" s="251"/>
    </row>
    <row r="14" spans="2:16" x14ac:dyDescent="0.25">
      <c r="B14" s="273"/>
      <c r="C14" s="257" t="s">
        <v>30</v>
      </c>
      <c r="D14" s="99" t="s">
        <v>52</v>
      </c>
      <c r="E14" s="56">
        <f>0.01558</f>
        <v>1.558E-2</v>
      </c>
      <c r="F14" s="46"/>
      <c r="G14" s="44">
        <f t="shared" ref="G14" si="26">E14+F14</f>
        <v>1.558E-2</v>
      </c>
      <c r="H14" s="46"/>
      <c r="I14" s="44">
        <f t="shared" si="1"/>
        <v>1.558E-2</v>
      </c>
      <c r="J14" s="45">
        <f t="shared" si="2"/>
        <v>0</v>
      </c>
      <c r="K14" s="250">
        <f t="shared" ref="K14" si="27">E14+E15</f>
        <v>1.6959999999999999E-2</v>
      </c>
      <c r="L14" s="250">
        <f t="shared" ref="L14" si="28">F14+F15</f>
        <v>0</v>
      </c>
      <c r="M14" s="250">
        <f t="shared" ref="M14" si="29">K14+L14</f>
        <v>1.6959999999999999E-2</v>
      </c>
      <c r="N14" s="250">
        <f t="shared" ref="N14" si="30">H14+H15</f>
        <v>0</v>
      </c>
      <c r="O14" s="250">
        <f t="shared" ref="O14" si="31">M14-N14</f>
        <v>1.6959999999999999E-2</v>
      </c>
      <c r="P14" s="251">
        <f t="shared" ref="P14" si="32">N14/M14</f>
        <v>0</v>
      </c>
    </row>
    <row r="15" spans="2:16" x14ac:dyDescent="0.25">
      <c r="B15" s="273"/>
      <c r="C15" s="257"/>
      <c r="D15" s="99" t="s">
        <v>53</v>
      </c>
      <c r="E15" s="56">
        <f>0.00138</f>
        <v>1.3799999999999999E-3</v>
      </c>
      <c r="F15" s="46"/>
      <c r="G15" s="44">
        <f t="shared" ref="G15" si="33">E15+F15+I14</f>
        <v>1.6959999999999999E-2</v>
      </c>
      <c r="H15" s="46"/>
      <c r="I15" s="44">
        <f t="shared" si="1"/>
        <v>1.6959999999999999E-2</v>
      </c>
      <c r="J15" s="45">
        <f t="shared" si="2"/>
        <v>0</v>
      </c>
      <c r="K15" s="250"/>
      <c r="L15" s="250"/>
      <c r="M15" s="250"/>
      <c r="N15" s="250"/>
      <c r="O15" s="250"/>
      <c r="P15" s="251"/>
    </row>
    <row r="16" spans="2:16" x14ac:dyDescent="0.25">
      <c r="B16" s="273"/>
      <c r="C16" s="257" t="s">
        <v>31</v>
      </c>
      <c r="D16" s="99" t="s">
        <v>52</v>
      </c>
      <c r="E16" s="56">
        <f>3.94835+1.98+1.94955+0.2025+0.81+0.6345</f>
        <v>9.5249000000000006</v>
      </c>
      <c r="F16" s="46"/>
      <c r="G16" s="44">
        <f t="shared" ref="G16" si="34">E16+F16</f>
        <v>9.5249000000000006</v>
      </c>
      <c r="H16" s="46"/>
      <c r="I16" s="44">
        <f t="shared" si="1"/>
        <v>9.5249000000000006</v>
      </c>
      <c r="J16" s="45">
        <f t="shared" si="2"/>
        <v>0</v>
      </c>
      <c r="K16" s="250">
        <f t="shared" ref="K16" si="35">E16+E17</f>
        <v>10.371550000000001</v>
      </c>
      <c r="L16" s="250">
        <f t="shared" ref="L16" si="36">F16+F17</f>
        <v>0</v>
      </c>
      <c r="M16" s="250">
        <f t="shared" ref="M16" si="37">K16+L16</f>
        <v>10.371550000000001</v>
      </c>
      <c r="N16" s="250">
        <f t="shared" ref="N16" si="38">H16+H17</f>
        <v>0</v>
      </c>
      <c r="O16" s="250">
        <f t="shared" ref="O16" si="39">M16-N16</f>
        <v>10.371550000000001</v>
      </c>
      <c r="P16" s="251">
        <f t="shared" ref="P16" si="40">N16/M16</f>
        <v>0</v>
      </c>
    </row>
    <row r="17" spans="2:16" x14ac:dyDescent="0.25">
      <c r="B17" s="273"/>
      <c r="C17" s="257"/>
      <c r="D17" s="99" t="s">
        <v>53</v>
      </c>
      <c r="E17" s="56">
        <f>0.35096+0.176+0.17329+0.018+0.072+0.0564</f>
        <v>0.84665000000000001</v>
      </c>
      <c r="F17" s="46"/>
      <c r="G17" s="44">
        <f t="shared" ref="G17" si="41">E17+F17+I16</f>
        <v>10.371550000000001</v>
      </c>
      <c r="H17" s="46"/>
      <c r="I17" s="44">
        <f t="shared" si="1"/>
        <v>10.371550000000001</v>
      </c>
      <c r="J17" s="45">
        <f t="shared" si="2"/>
        <v>0</v>
      </c>
      <c r="K17" s="250"/>
      <c r="L17" s="250"/>
      <c r="M17" s="250"/>
      <c r="N17" s="250"/>
      <c r="O17" s="250"/>
      <c r="P17" s="251"/>
    </row>
    <row r="18" spans="2:16" x14ac:dyDescent="0.25">
      <c r="B18" s="273"/>
      <c r="C18" s="257" t="s">
        <v>49</v>
      </c>
      <c r="D18" s="99" t="s">
        <v>52</v>
      </c>
      <c r="E18" s="56">
        <f>0.00901</f>
        <v>9.0100000000000006E-3</v>
      </c>
      <c r="F18" s="46"/>
      <c r="G18" s="44">
        <f t="shared" ref="G18" si="42">E18+F18</f>
        <v>9.0100000000000006E-3</v>
      </c>
      <c r="H18" s="46"/>
      <c r="I18" s="44">
        <f t="shared" si="1"/>
        <v>9.0100000000000006E-3</v>
      </c>
      <c r="J18" s="45">
        <f t="shared" si="2"/>
        <v>0</v>
      </c>
      <c r="K18" s="250">
        <f t="shared" ref="K18" si="43">E18+E19</f>
        <v>9.810000000000001E-3</v>
      </c>
      <c r="L18" s="250">
        <f t="shared" ref="L18" si="44">F18+F19</f>
        <v>0</v>
      </c>
      <c r="M18" s="250">
        <f t="shared" ref="M18" si="45">K18+L18</f>
        <v>9.810000000000001E-3</v>
      </c>
      <c r="N18" s="250">
        <f t="shared" ref="N18" si="46">H18+H19</f>
        <v>0</v>
      </c>
      <c r="O18" s="250">
        <f t="shared" ref="O18" si="47">M18-N18</f>
        <v>9.810000000000001E-3</v>
      </c>
      <c r="P18" s="251">
        <f t="shared" ref="P18" si="48">N18/M18</f>
        <v>0</v>
      </c>
    </row>
    <row r="19" spans="2:16" x14ac:dyDescent="0.25">
      <c r="B19" s="273"/>
      <c r="C19" s="257"/>
      <c r="D19" s="99" t="s">
        <v>53</v>
      </c>
      <c r="E19" s="56">
        <f>0.0008</f>
        <v>8.0000000000000004E-4</v>
      </c>
      <c r="F19" s="46"/>
      <c r="G19" s="44">
        <f t="shared" ref="G19" si="49">E19+F19+I18</f>
        <v>9.810000000000001E-3</v>
      </c>
      <c r="H19" s="46"/>
      <c r="I19" s="44">
        <f t="shared" si="1"/>
        <v>9.810000000000001E-3</v>
      </c>
      <c r="J19" s="45">
        <f t="shared" si="2"/>
        <v>0</v>
      </c>
      <c r="K19" s="250"/>
      <c r="L19" s="250"/>
      <c r="M19" s="250"/>
      <c r="N19" s="250"/>
      <c r="O19" s="250"/>
      <c r="P19" s="251"/>
    </row>
    <row r="20" spans="2:16" x14ac:dyDescent="0.25">
      <c r="B20" s="273"/>
      <c r="C20" s="257" t="s">
        <v>34</v>
      </c>
      <c r="D20" s="99" t="s">
        <v>52</v>
      </c>
      <c r="E20" s="56">
        <f>0.00181</f>
        <v>1.81E-3</v>
      </c>
      <c r="F20" s="46"/>
      <c r="G20" s="44">
        <f t="shared" ref="G20" si="50">E20+F20</f>
        <v>1.81E-3</v>
      </c>
      <c r="H20" s="46"/>
      <c r="I20" s="44">
        <f t="shared" si="1"/>
        <v>1.81E-3</v>
      </c>
      <c r="J20" s="45">
        <f t="shared" si="2"/>
        <v>0</v>
      </c>
      <c r="K20" s="250">
        <f t="shared" ref="K20" si="51">E20+E21</f>
        <v>1.97E-3</v>
      </c>
      <c r="L20" s="250">
        <f t="shared" ref="L20" si="52">F20+F21</f>
        <v>0</v>
      </c>
      <c r="M20" s="250">
        <f t="shared" ref="M20" si="53">K20+L20</f>
        <v>1.97E-3</v>
      </c>
      <c r="N20" s="250">
        <f t="shared" ref="N20" si="54">H20+H21</f>
        <v>0</v>
      </c>
      <c r="O20" s="250">
        <f t="shared" ref="O20" si="55">M20-N20</f>
        <v>1.97E-3</v>
      </c>
      <c r="P20" s="251">
        <f t="shared" ref="P20" si="56">N20/M20</f>
        <v>0</v>
      </c>
    </row>
    <row r="21" spans="2:16" x14ac:dyDescent="0.25">
      <c r="B21" s="273"/>
      <c r="C21" s="257"/>
      <c r="D21" s="99" t="s">
        <v>53</v>
      </c>
      <c r="E21" s="56">
        <f>0.00016</f>
        <v>1.6000000000000001E-4</v>
      </c>
      <c r="F21" s="46"/>
      <c r="G21" s="44">
        <f t="shared" ref="G21" si="57">E21+F21+I20</f>
        <v>1.97E-3</v>
      </c>
      <c r="H21" s="46"/>
      <c r="I21" s="44">
        <f t="shared" si="1"/>
        <v>1.97E-3</v>
      </c>
      <c r="J21" s="45">
        <f t="shared" si="2"/>
        <v>0</v>
      </c>
      <c r="K21" s="250"/>
      <c r="L21" s="250"/>
      <c r="M21" s="250"/>
      <c r="N21" s="250"/>
      <c r="O21" s="250"/>
      <c r="P21" s="251"/>
    </row>
    <row r="22" spans="2:16" x14ac:dyDescent="0.25">
      <c r="B22" s="273"/>
      <c r="C22" s="257" t="s">
        <v>33</v>
      </c>
      <c r="D22" s="99" t="s">
        <v>52</v>
      </c>
      <c r="E22" s="56">
        <f>0.0054</f>
        <v>5.4000000000000003E-3</v>
      </c>
      <c r="F22" s="46"/>
      <c r="G22" s="44">
        <f t="shared" ref="G22" si="58">E22+F22</f>
        <v>5.4000000000000003E-3</v>
      </c>
      <c r="H22" s="46"/>
      <c r="I22" s="44">
        <f t="shared" si="1"/>
        <v>5.4000000000000003E-3</v>
      </c>
      <c r="J22" s="45">
        <f t="shared" si="2"/>
        <v>0</v>
      </c>
      <c r="K22" s="250">
        <f t="shared" ref="K22" si="59">E22+E23</f>
        <v>5.8800000000000007E-3</v>
      </c>
      <c r="L22" s="250">
        <f t="shared" ref="L22" si="60">F22+F23</f>
        <v>0</v>
      </c>
      <c r="M22" s="250">
        <f t="shared" ref="M22" si="61">K22+L22</f>
        <v>5.8800000000000007E-3</v>
      </c>
      <c r="N22" s="250">
        <f t="shared" ref="N22" si="62">H22+H23</f>
        <v>0</v>
      </c>
      <c r="O22" s="250">
        <f t="shared" ref="O22" si="63">M22-N22</f>
        <v>5.8800000000000007E-3</v>
      </c>
      <c r="P22" s="251">
        <f t="shared" ref="P22" si="64">N22/M22</f>
        <v>0</v>
      </c>
    </row>
    <row r="23" spans="2:16" x14ac:dyDescent="0.25">
      <c r="B23" s="273"/>
      <c r="C23" s="257"/>
      <c r="D23" s="99" t="s">
        <v>53</v>
      </c>
      <c r="E23" s="56">
        <f>0.00048</f>
        <v>4.8000000000000001E-4</v>
      </c>
      <c r="F23" s="46"/>
      <c r="G23" s="44">
        <f t="shared" ref="G23" si="65">E23+F23+I22</f>
        <v>5.8800000000000007E-3</v>
      </c>
      <c r="H23" s="46"/>
      <c r="I23" s="44">
        <f t="shared" si="1"/>
        <v>5.8800000000000007E-3</v>
      </c>
      <c r="J23" s="45">
        <f t="shared" si="2"/>
        <v>0</v>
      </c>
      <c r="K23" s="250"/>
      <c r="L23" s="250"/>
      <c r="M23" s="250"/>
      <c r="N23" s="250"/>
      <c r="O23" s="250"/>
      <c r="P23" s="251"/>
    </row>
    <row r="24" spans="2:16" x14ac:dyDescent="0.25">
      <c r="B24" s="273"/>
      <c r="C24" s="257" t="s">
        <v>38</v>
      </c>
      <c r="D24" s="99" t="s">
        <v>52</v>
      </c>
      <c r="E24" s="56">
        <f>2.01965+0.0675+0.3375+0.3375+0.4725+0.4725+0.6075+0.7425+0.3645+0.0054+0.0621+1.2825</f>
        <v>6.7716499999999993</v>
      </c>
      <c r="F24" s="46"/>
      <c r="G24" s="44">
        <f t="shared" ref="G24" si="66">E24+F24</f>
        <v>6.7716499999999993</v>
      </c>
      <c r="H24" s="46"/>
      <c r="I24" s="44">
        <f t="shared" si="1"/>
        <v>6.7716499999999993</v>
      </c>
      <c r="J24" s="45">
        <f t="shared" si="2"/>
        <v>0</v>
      </c>
      <c r="K24" s="250">
        <f t="shared" ref="K24" si="67">E24+E25</f>
        <v>7.3735699999999991</v>
      </c>
      <c r="L24" s="250">
        <f t="shared" ref="L24" si="68">F24+F25</f>
        <v>0</v>
      </c>
      <c r="M24" s="250">
        <f t="shared" ref="M24" si="69">K24+L24</f>
        <v>7.3735699999999991</v>
      </c>
      <c r="N24" s="250">
        <f t="shared" ref="N24" si="70">H24+H25</f>
        <v>0</v>
      </c>
      <c r="O24" s="250">
        <f t="shared" ref="O24" si="71">M24-N24</f>
        <v>7.3735699999999991</v>
      </c>
      <c r="P24" s="251">
        <f t="shared" ref="P24" si="72">N24/M24</f>
        <v>0</v>
      </c>
    </row>
    <row r="25" spans="2:16" x14ac:dyDescent="0.25">
      <c r="B25" s="273"/>
      <c r="C25" s="257"/>
      <c r="D25" s="99" t="s">
        <v>53</v>
      </c>
      <c r="E25" s="56">
        <f>0.17952+0.006+0.03+0.03+0.042+0.042+0.054+0.066+0.0324+0.00048+0.00552+0.114</f>
        <v>0.60192000000000001</v>
      </c>
      <c r="F25" s="46"/>
      <c r="G25" s="44">
        <f t="shared" ref="G25" si="73">E25+F25+I24</f>
        <v>7.3735699999999991</v>
      </c>
      <c r="H25" s="46"/>
      <c r="I25" s="44">
        <f t="shared" si="1"/>
        <v>7.3735699999999991</v>
      </c>
      <c r="J25" s="45">
        <f t="shared" si="2"/>
        <v>0</v>
      </c>
      <c r="K25" s="250"/>
      <c r="L25" s="250"/>
      <c r="M25" s="250"/>
      <c r="N25" s="250"/>
      <c r="O25" s="250"/>
      <c r="P25" s="251"/>
    </row>
    <row r="26" spans="2:16" x14ac:dyDescent="0.25">
      <c r="B26" s="273"/>
      <c r="C26" s="257" t="s">
        <v>181</v>
      </c>
      <c r="D26" s="192" t="s">
        <v>52</v>
      </c>
      <c r="E26" s="56">
        <v>0</v>
      </c>
      <c r="F26" s="46">
        <v>3.9199999999999999E-2</v>
      </c>
      <c r="G26" s="191">
        <f t="shared" ref="G26" si="74">E26+F26</f>
        <v>3.9199999999999999E-2</v>
      </c>
      <c r="H26" s="46"/>
      <c r="I26" s="191">
        <f t="shared" ref="I26:I27" si="75">G26-H26</f>
        <v>3.9199999999999999E-2</v>
      </c>
      <c r="J26" s="45">
        <f t="shared" ref="J26:J27" si="76">H26/G26</f>
        <v>0</v>
      </c>
      <c r="K26" s="250">
        <f t="shared" ref="K26" si="77">E26+E27</f>
        <v>0</v>
      </c>
      <c r="L26" s="250">
        <f t="shared" ref="L26" si="78">F26+F27</f>
        <v>3.9199999999999999E-2</v>
      </c>
      <c r="M26" s="250">
        <f t="shared" ref="M26" si="79">K26+L26</f>
        <v>3.9199999999999999E-2</v>
      </c>
      <c r="N26" s="250">
        <f t="shared" ref="N26" si="80">H26+H27</f>
        <v>0</v>
      </c>
      <c r="O26" s="250">
        <f t="shared" ref="O26" si="81">M26-N26</f>
        <v>3.9199999999999999E-2</v>
      </c>
      <c r="P26" s="251">
        <f>N26/M26</f>
        <v>0</v>
      </c>
    </row>
    <row r="27" spans="2:16" x14ac:dyDescent="0.25">
      <c r="B27" s="273"/>
      <c r="C27" s="257"/>
      <c r="D27" s="192" t="s">
        <v>53</v>
      </c>
      <c r="E27" s="56">
        <v>0</v>
      </c>
      <c r="F27" s="46"/>
      <c r="G27" s="191">
        <f t="shared" ref="G27" si="82">E27+F27+I26</f>
        <v>3.9199999999999999E-2</v>
      </c>
      <c r="H27" s="46"/>
      <c r="I27" s="191">
        <f t="shared" si="75"/>
        <v>3.9199999999999999E-2</v>
      </c>
      <c r="J27" s="45">
        <f t="shared" si="76"/>
        <v>0</v>
      </c>
      <c r="K27" s="250"/>
      <c r="L27" s="250"/>
      <c r="M27" s="250"/>
      <c r="N27" s="250"/>
      <c r="O27" s="250"/>
      <c r="P27" s="251"/>
    </row>
    <row r="28" spans="2:16" x14ac:dyDescent="0.25">
      <c r="B28" s="273"/>
      <c r="C28" s="257" t="s">
        <v>37</v>
      </c>
      <c r="D28" s="99" t="s">
        <v>52</v>
      </c>
      <c r="E28" s="56">
        <f>0.07291</f>
        <v>7.2910000000000003E-2</v>
      </c>
      <c r="F28" s="46">
        <v>-3.9199999999999999E-2</v>
      </c>
      <c r="G28" s="44">
        <f t="shared" ref="G28" si="83">E28+F28</f>
        <v>3.3710000000000004E-2</v>
      </c>
      <c r="H28" s="46"/>
      <c r="I28" s="44">
        <f t="shared" si="1"/>
        <v>3.3710000000000004E-2</v>
      </c>
      <c r="J28" s="45">
        <f t="shared" si="2"/>
        <v>0</v>
      </c>
      <c r="K28" s="250">
        <f t="shared" ref="K28" si="84">E28+E29</f>
        <v>7.9390000000000002E-2</v>
      </c>
      <c r="L28" s="250">
        <f t="shared" ref="L28" si="85">F28+F29</f>
        <v>-3.9199999999999999E-2</v>
      </c>
      <c r="M28" s="250">
        <f t="shared" ref="M28" si="86">K28+L28</f>
        <v>4.0190000000000003E-2</v>
      </c>
      <c r="N28" s="250">
        <f t="shared" ref="N28" si="87">H28+H29</f>
        <v>0</v>
      </c>
      <c r="O28" s="250">
        <f t="shared" ref="O28" si="88">M28-N28</f>
        <v>4.0190000000000003E-2</v>
      </c>
      <c r="P28" s="251">
        <f t="shared" ref="P28" si="89">N28/M28</f>
        <v>0</v>
      </c>
    </row>
    <row r="29" spans="2:16" ht="12.75" thickBot="1" x14ac:dyDescent="0.3">
      <c r="B29" s="274"/>
      <c r="C29" s="267"/>
      <c r="D29" s="100" t="s">
        <v>53</v>
      </c>
      <c r="E29" s="103">
        <f>0.00648</f>
        <v>6.4799999999999996E-3</v>
      </c>
      <c r="F29" s="104"/>
      <c r="G29" s="105">
        <f t="shared" ref="G29" si="90">E29+F29+I28</f>
        <v>4.0190000000000003E-2</v>
      </c>
      <c r="H29" s="104"/>
      <c r="I29" s="105">
        <f t="shared" si="1"/>
        <v>4.0190000000000003E-2</v>
      </c>
      <c r="J29" s="106">
        <f t="shared" si="2"/>
        <v>0</v>
      </c>
      <c r="K29" s="253"/>
      <c r="L29" s="253"/>
      <c r="M29" s="253"/>
      <c r="N29" s="253"/>
      <c r="O29" s="253"/>
      <c r="P29" s="254"/>
    </row>
    <row r="30" spans="2:16" x14ac:dyDescent="0.25">
      <c r="B30" s="269" t="s">
        <v>51</v>
      </c>
      <c r="C30" s="268" t="s">
        <v>24</v>
      </c>
      <c r="D30" s="107" t="s">
        <v>52</v>
      </c>
      <c r="E30" s="110">
        <f>264.65432+7.761+7.761+1.592+11.343</f>
        <v>293.11132000000003</v>
      </c>
      <c r="F30" s="117">
        <f>-30</f>
        <v>-30</v>
      </c>
      <c r="G30" s="65">
        <f t="shared" ref="G30" si="91">E30+F30</f>
        <v>263.11132000000003</v>
      </c>
      <c r="H30" s="117">
        <v>155.23500000000001</v>
      </c>
      <c r="I30" s="65">
        <f t="shared" si="1"/>
        <v>107.87632000000002</v>
      </c>
      <c r="J30" s="102">
        <f t="shared" si="2"/>
        <v>0.58999742010339951</v>
      </c>
      <c r="K30" s="255">
        <f t="shared" ref="K30" si="92">E30+E31</f>
        <v>325.51559000000003</v>
      </c>
      <c r="L30" s="255">
        <f t="shared" ref="L30" si="93">F30+F31</f>
        <v>-30</v>
      </c>
      <c r="M30" s="255">
        <f t="shared" ref="M30" si="94">K30+L30</f>
        <v>295.51559000000003</v>
      </c>
      <c r="N30" s="323">
        <f t="shared" ref="N30" si="95">H30+H31</f>
        <v>295.32100000000003</v>
      </c>
      <c r="O30" s="255">
        <f t="shared" ref="O30" si="96">M30-N30</f>
        <v>0.19459000000000515</v>
      </c>
      <c r="P30" s="256">
        <f t="shared" ref="P30" si="97">N30/M30</f>
        <v>0.99934152374160701</v>
      </c>
    </row>
    <row r="31" spans="2:16" x14ac:dyDescent="0.25">
      <c r="B31" s="270"/>
      <c r="C31" s="252"/>
      <c r="D31" s="108" t="s">
        <v>53</v>
      </c>
      <c r="E31" s="111">
        <f>29.25827+0.858+0.858+0.176+1.254</f>
        <v>32.404269999999997</v>
      </c>
      <c r="F31" s="93"/>
      <c r="G31" s="44">
        <f t="shared" ref="G31" si="98">E31+F31+I30</f>
        <v>140.28059000000002</v>
      </c>
      <c r="H31" s="93">
        <v>140.08600000000001</v>
      </c>
      <c r="I31" s="44">
        <f t="shared" si="1"/>
        <v>0.19459000000000515</v>
      </c>
      <c r="J31" s="45">
        <f t="shared" si="2"/>
        <v>0.99861285157126867</v>
      </c>
      <c r="K31" s="250"/>
      <c r="L31" s="250"/>
      <c r="M31" s="250"/>
      <c r="N31" s="324"/>
      <c r="O31" s="250"/>
      <c r="P31" s="251"/>
    </row>
    <row r="32" spans="2:16" x14ac:dyDescent="0.25">
      <c r="B32" s="270"/>
      <c r="C32" s="252" t="s">
        <v>25</v>
      </c>
      <c r="D32" s="108" t="s">
        <v>52</v>
      </c>
      <c r="E32" s="111">
        <f>19.06842+4.66711+2.11465+22.01099+5.1342</f>
        <v>52.995370000000001</v>
      </c>
      <c r="F32" s="93"/>
      <c r="G32" s="44">
        <f t="shared" ref="G32" si="99">E32+F32</f>
        <v>52.995370000000001</v>
      </c>
      <c r="H32" s="93">
        <v>22.893999999999998</v>
      </c>
      <c r="I32" s="44">
        <f t="shared" si="1"/>
        <v>30.101370000000003</v>
      </c>
      <c r="J32" s="45">
        <f t="shared" si="2"/>
        <v>0.43200000301913161</v>
      </c>
      <c r="K32" s="250">
        <f t="shared" ref="K32" si="100">E32+E33</f>
        <v>58.85416</v>
      </c>
      <c r="L32" s="250">
        <f t="shared" ref="L32" si="101">F32+F33</f>
        <v>0</v>
      </c>
      <c r="M32" s="250">
        <f t="shared" ref="M32" si="102">K32+L32</f>
        <v>58.85416</v>
      </c>
      <c r="N32" s="324">
        <f t="shared" ref="N32" si="103">H32+H33</f>
        <v>22.893999999999998</v>
      </c>
      <c r="O32" s="250">
        <f t="shared" ref="O32" si="104">M32-N32</f>
        <v>35.960160000000002</v>
      </c>
      <c r="P32" s="251">
        <f t="shared" ref="P32" si="105">N32/M32</f>
        <v>0.38899544229328903</v>
      </c>
    </row>
    <row r="33" spans="2:16" x14ac:dyDescent="0.25">
      <c r="B33" s="270"/>
      <c r="C33" s="252"/>
      <c r="D33" s="108" t="s">
        <v>53</v>
      </c>
      <c r="E33" s="111">
        <f>2.10807+0.51596+0.23378+2.43338+0.5676</f>
        <v>5.8587899999999999</v>
      </c>
      <c r="F33" s="93"/>
      <c r="G33" s="44">
        <f t="shared" ref="G33" si="106">E33+F33+I32</f>
        <v>35.960160000000002</v>
      </c>
      <c r="H33" s="93"/>
      <c r="I33" s="44">
        <f t="shared" si="1"/>
        <v>35.960160000000002</v>
      </c>
      <c r="J33" s="45">
        <f t="shared" si="2"/>
        <v>0</v>
      </c>
      <c r="K33" s="250"/>
      <c r="L33" s="250"/>
      <c r="M33" s="250"/>
      <c r="N33" s="324"/>
      <c r="O33" s="250"/>
      <c r="P33" s="251"/>
    </row>
    <row r="34" spans="2:16" x14ac:dyDescent="0.25">
      <c r="B34" s="270"/>
      <c r="C34" s="252" t="s">
        <v>26</v>
      </c>
      <c r="D34" s="108" t="s">
        <v>52</v>
      </c>
      <c r="E34" s="111">
        <v>2.3879999999999998E-2</v>
      </c>
      <c r="F34" s="93"/>
      <c r="G34" s="44">
        <f t="shared" ref="G34" si="107">E34+F34</f>
        <v>2.3879999999999998E-2</v>
      </c>
      <c r="H34" s="93"/>
      <c r="I34" s="44">
        <f t="shared" si="1"/>
        <v>2.3879999999999998E-2</v>
      </c>
      <c r="J34" s="45">
        <f t="shared" si="2"/>
        <v>0</v>
      </c>
      <c r="K34" s="250">
        <f t="shared" ref="K34" si="108">E34+E35</f>
        <v>2.6519999999999998E-2</v>
      </c>
      <c r="L34" s="250">
        <f t="shared" ref="L34" si="109">F34+F35</f>
        <v>0</v>
      </c>
      <c r="M34" s="250">
        <f t="shared" ref="M34" si="110">K34+L34</f>
        <v>2.6519999999999998E-2</v>
      </c>
      <c r="N34" s="250">
        <f t="shared" ref="N34" si="111">H34+H35</f>
        <v>0</v>
      </c>
      <c r="O34" s="250">
        <f t="shared" ref="O34" si="112">M34-N34</f>
        <v>2.6519999999999998E-2</v>
      </c>
      <c r="P34" s="251">
        <f t="shared" ref="P34" si="113">N34/M34</f>
        <v>0</v>
      </c>
    </row>
    <row r="35" spans="2:16" x14ac:dyDescent="0.25">
      <c r="B35" s="270"/>
      <c r="C35" s="252"/>
      <c r="D35" s="108" t="s">
        <v>53</v>
      </c>
      <c r="E35" s="111">
        <v>2.64E-3</v>
      </c>
      <c r="F35" s="93"/>
      <c r="G35" s="44">
        <f t="shared" ref="G35" si="114">E35+F35+I34</f>
        <v>2.6519999999999998E-2</v>
      </c>
      <c r="H35" s="93"/>
      <c r="I35" s="44">
        <f t="shared" si="1"/>
        <v>2.6519999999999998E-2</v>
      </c>
      <c r="J35" s="45">
        <f t="shared" si="2"/>
        <v>0</v>
      </c>
      <c r="K35" s="250"/>
      <c r="L35" s="250"/>
      <c r="M35" s="250"/>
      <c r="N35" s="250"/>
      <c r="O35" s="250"/>
      <c r="P35" s="251"/>
    </row>
    <row r="36" spans="2:16" x14ac:dyDescent="0.25">
      <c r="B36" s="270"/>
      <c r="C36" s="252" t="s">
        <v>27</v>
      </c>
      <c r="D36" s="108" t="s">
        <v>52</v>
      </c>
      <c r="E36" s="111">
        <f>275.59606+6.169+0.20696+2.53924+8.955+11.343</f>
        <v>304.80925999999999</v>
      </c>
      <c r="F36" s="90">
        <v>65.846999999999994</v>
      </c>
      <c r="G36" s="44">
        <f t="shared" ref="G36" si="115">E36+F36</f>
        <v>370.65625999999997</v>
      </c>
      <c r="H36" s="93">
        <v>104.764</v>
      </c>
      <c r="I36" s="44">
        <f t="shared" si="1"/>
        <v>265.89225999999996</v>
      </c>
      <c r="J36" s="45">
        <f t="shared" si="2"/>
        <v>0.28264462604786439</v>
      </c>
      <c r="K36" s="250">
        <f t="shared" ref="K36" si="116">E36+E37</f>
        <v>338.50676999999996</v>
      </c>
      <c r="L36" s="250">
        <f t="shared" ref="L36" si="117">F36+F37</f>
        <v>65.846999999999994</v>
      </c>
      <c r="M36" s="250">
        <f t="shared" ref="M36" si="118">K36+L36</f>
        <v>404.35376999999994</v>
      </c>
      <c r="N36" s="324">
        <f t="shared" ref="N36" si="119">H36+H37</f>
        <v>179.61500000000001</v>
      </c>
      <c r="O36" s="250">
        <f t="shared" ref="O36" si="120">M36-N36</f>
        <v>224.73876999999993</v>
      </c>
      <c r="P36" s="251">
        <f t="shared" ref="P36" si="121">N36/M36</f>
        <v>0.44420261000657923</v>
      </c>
    </row>
    <row r="37" spans="2:16" x14ac:dyDescent="0.25">
      <c r="B37" s="270"/>
      <c r="C37" s="252"/>
      <c r="D37" s="108" t="s">
        <v>53</v>
      </c>
      <c r="E37" s="111">
        <f>30.46791+0.682+0.02288+0.28072+0.99+1.254</f>
        <v>33.697509999999994</v>
      </c>
      <c r="F37" s="93"/>
      <c r="G37" s="44">
        <f t="shared" ref="G37" si="122">E37+F37+I36</f>
        <v>299.58976999999993</v>
      </c>
      <c r="H37" s="93">
        <v>74.850999999999999</v>
      </c>
      <c r="I37" s="44">
        <f t="shared" si="1"/>
        <v>224.73876999999993</v>
      </c>
      <c r="J37" s="45">
        <f t="shared" si="2"/>
        <v>0.24984497968672301</v>
      </c>
      <c r="K37" s="250"/>
      <c r="L37" s="250"/>
      <c r="M37" s="250"/>
      <c r="N37" s="324"/>
      <c r="O37" s="250"/>
      <c r="P37" s="251"/>
    </row>
    <row r="38" spans="2:16" x14ac:dyDescent="0.25">
      <c r="B38" s="270"/>
      <c r="C38" s="252" t="s">
        <v>30</v>
      </c>
      <c r="D38" s="108" t="s">
        <v>52</v>
      </c>
      <c r="E38" s="111">
        <v>0.13779</v>
      </c>
      <c r="F38" s="93"/>
      <c r="G38" s="44">
        <f t="shared" ref="G38" si="123">E38+F38</f>
        <v>0.13779</v>
      </c>
      <c r="H38" s="93"/>
      <c r="I38" s="44">
        <f t="shared" si="1"/>
        <v>0.13779</v>
      </c>
      <c r="J38" s="45">
        <f t="shared" si="2"/>
        <v>0</v>
      </c>
      <c r="K38" s="250">
        <f t="shared" ref="K38" si="124">E38+E39</f>
        <v>0.15301999999999999</v>
      </c>
      <c r="L38" s="250">
        <f t="shared" ref="L38" si="125">F38+F39</f>
        <v>0</v>
      </c>
      <c r="M38" s="250">
        <f t="shared" ref="M38" si="126">K38+L38</f>
        <v>0.15301999999999999</v>
      </c>
      <c r="N38" s="250">
        <f t="shared" ref="N38" si="127">H38+H39</f>
        <v>0</v>
      </c>
      <c r="O38" s="250">
        <f t="shared" ref="O38" si="128">M38-N38</f>
        <v>0.15301999999999999</v>
      </c>
      <c r="P38" s="251">
        <f t="shared" ref="P38" si="129">N38/M38</f>
        <v>0</v>
      </c>
    </row>
    <row r="39" spans="2:16" x14ac:dyDescent="0.25">
      <c r="B39" s="270"/>
      <c r="C39" s="252"/>
      <c r="D39" s="108" t="s">
        <v>53</v>
      </c>
      <c r="E39" s="111">
        <v>1.523E-2</v>
      </c>
      <c r="F39" s="93"/>
      <c r="G39" s="44">
        <f t="shared" ref="G39" si="130">E39+F39+I38</f>
        <v>0.15301999999999999</v>
      </c>
      <c r="H39" s="93"/>
      <c r="I39" s="44">
        <f t="shared" si="1"/>
        <v>0.15301999999999999</v>
      </c>
      <c r="J39" s="45">
        <f t="shared" si="2"/>
        <v>0</v>
      </c>
      <c r="K39" s="250"/>
      <c r="L39" s="250"/>
      <c r="M39" s="250"/>
      <c r="N39" s="250"/>
      <c r="O39" s="250"/>
      <c r="P39" s="251"/>
    </row>
    <row r="40" spans="2:16" x14ac:dyDescent="0.25">
      <c r="B40" s="270"/>
      <c r="C40" s="252" t="s">
        <v>31</v>
      </c>
      <c r="D40" s="108" t="s">
        <v>52</v>
      </c>
      <c r="E40" s="111">
        <f>34.921+17.512+17.24271+1.791+7.164+5.6118</f>
        <v>84.242509999999996</v>
      </c>
      <c r="F40" s="93"/>
      <c r="G40" s="44">
        <f t="shared" ref="G40" si="131">E40+F40</f>
        <v>84.242509999999996</v>
      </c>
      <c r="H40" s="93">
        <v>7.5469999999999997</v>
      </c>
      <c r="I40" s="44">
        <f t="shared" si="1"/>
        <v>76.695509999999999</v>
      </c>
      <c r="J40" s="45">
        <f t="shared" si="2"/>
        <v>8.9586599449612794E-2</v>
      </c>
      <c r="K40" s="250">
        <f t="shared" ref="K40" si="132">E40+E41</f>
        <v>93.555749999999989</v>
      </c>
      <c r="L40" s="250">
        <f t="shared" ref="L40" si="133">F40+F41</f>
        <v>0</v>
      </c>
      <c r="M40" s="250">
        <f t="shared" ref="M40" si="134">K40+L40</f>
        <v>93.555749999999989</v>
      </c>
      <c r="N40" s="324">
        <f t="shared" ref="N40" si="135">H40+H41</f>
        <v>74.796000000000006</v>
      </c>
      <c r="O40" s="250">
        <f t="shared" ref="O40" si="136">M40-N40</f>
        <v>18.759749999999983</v>
      </c>
      <c r="P40" s="251">
        <f t="shared" ref="P40" si="137">N40/M40</f>
        <v>0.79948052364499256</v>
      </c>
    </row>
    <row r="41" spans="2:16" x14ac:dyDescent="0.25">
      <c r="B41" s="270"/>
      <c r="C41" s="252"/>
      <c r="D41" s="108" t="s">
        <v>53</v>
      </c>
      <c r="E41" s="111">
        <f>3.86061+1.936+1.90623+0.198+0.792+0.6204</f>
        <v>9.3132400000000004</v>
      </c>
      <c r="F41" s="93"/>
      <c r="G41" s="44">
        <f t="shared" ref="G41" si="138">E41+F41+I40</f>
        <v>86.008749999999992</v>
      </c>
      <c r="H41" s="93">
        <f>62.886+4.363</f>
        <v>67.249000000000009</v>
      </c>
      <c r="I41" s="44">
        <f t="shared" si="1"/>
        <v>18.759749999999983</v>
      </c>
      <c r="J41" s="45">
        <f t="shared" si="2"/>
        <v>0.78188556396878239</v>
      </c>
      <c r="K41" s="250"/>
      <c r="L41" s="250"/>
      <c r="M41" s="250"/>
      <c r="N41" s="324"/>
      <c r="O41" s="250"/>
      <c r="P41" s="251"/>
    </row>
    <row r="42" spans="2:16" x14ac:dyDescent="0.25">
      <c r="B42" s="270"/>
      <c r="C42" s="252" t="s">
        <v>49</v>
      </c>
      <c r="D42" s="108" t="s">
        <v>52</v>
      </c>
      <c r="E42" s="111">
        <v>7.9680000000000001E-2</v>
      </c>
      <c r="F42" s="93"/>
      <c r="G42" s="44">
        <f t="shared" ref="G42" si="139">E42+F42</f>
        <v>7.9680000000000001E-2</v>
      </c>
      <c r="H42" s="93"/>
      <c r="I42" s="44">
        <f t="shared" si="1"/>
        <v>7.9680000000000001E-2</v>
      </c>
      <c r="J42" s="45">
        <f t="shared" si="2"/>
        <v>0</v>
      </c>
      <c r="K42" s="250">
        <f t="shared" ref="K42" si="140">E42+E43</f>
        <v>8.8489999999999999E-2</v>
      </c>
      <c r="L42" s="250">
        <f t="shared" ref="L42" si="141">F42+F43</f>
        <v>0</v>
      </c>
      <c r="M42" s="250">
        <f t="shared" ref="M42" si="142">K42+L42</f>
        <v>8.8489999999999999E-2</v>
      </c>
      <c r="N42" s="250">
        <f t="shared" ref="N42" si="143">H42+H43</f>
        <v>0</v>
      </c>
      <c r="O42" s="250">
        <f t="shared" ref="O42" si="144">M42-N42</f>
        <v>8.8489999999999999E-2</v>
      </c>
      <c r="P42" s="251">
        <f t="shared" ref="P42" si="145">N42/M42</f>
        <v>0</v>
      </c>
    </row>
    <row r="43" spans="2:16" x14ac:dyDescent="0.25">
      <c r="B43" s="270"/>
      <c r="C43" s="252"/>
      <c r="D43" s="108" t="s">
        <v>53</v>
      </c>
      <c r="E43" s="111">
        <v>8.8100000000000001E-3</v>
      </c>
      <c r="F43" s="93"/>
      <c r="G43" s="44">
        <f t="shared" ref="G43" si="146">E43+F43+I42</f>
        <v>8.8489999999999999E-2</v>
      </c>
      <c r="H43" s="93"/>
      <c r="I43" s="44">
        <f t="shared" si="1"/>
        <v>8.8489999999999999E-2</v>
      </c>
      <c r="J43" s="45">
        <f t="shared" si="2"/>
        <v>0</v>
      </c>
      <c r="K43" s="250"/>
      <c r="L43" s="250"/>
      <c r="M43" s="250"/>
      <c r="N43" s="250"/>
      <c r="O43" s="250"/>
      <c r="P43" s="251"/>
    </row>
    <row r="44" spans="2:16" x14ac:dyDescent="0.25">
      <c r="B44" s="270"/>
      <c r="C44" s="252" t="s">
        <v>34</v>
      </c>
      <c r="D44" s="108" t="s">
        <v>52</v>
      </c>
      <c r="E44" s="111">
        <v>1.6E-2</v>
      </c>
      <c r="F44" s="93"/>
      <c r="G44" s="44">
        <f t="shared" ref="G44" si="147">E44+F44</f>
        <v>1.6E-2</v>
      </c>
      <c r="H44" s="93"/>
      <c r="I44" s="44">
        <f t="shared" si="1"/>
        <v>1.6E-2</v>
      </c>
      <c r="J44" s="45">
        <f t="shared" si="2"/>
        <v>0</v>
      </c>
      <c r="K44" s="250">
        <f t="shared" ref="K44" si="148">E44+E45</f>
        <v>1.7770000000000001E-2</v>
      </c>
      <c r="L44" s="250">
        <f t="shared" ref="L44" si="149">F44+F45</f>
        <v>0</v>
      </c>
      <c r="M44" s="250">
        <f t="shared" ref="M44" si="150">K44+L44</f>
        <v>1.7770000000000001E-2</v>
      </c>
      <c r="N44" s="250">
        <f t="shared" ref="N44" si="151">H44+H45</f>
        <v>0</v>
      </c>
      <c r="O44" s="250">
        <f t="shared" ref="O44" si="152">M44-N44</f>
        <v>1.7770000000000001E-2</v>
      </c>
      <c r="P44" s="251">
        <f t="shared" ref="P44" si="153">N44/M44</f>
        <v>0</v>
      </c>
    </row>
    <row r="45" spans="2:16" x14ac:dyDescent="0.25">
      <c r="B45" s="270"/>
      <c r="C45" s="252"/>
      <c r="D45" s="108" t="s">
        <v>53</v>
      </c>
      <c r="E45" s="111">
        <v>1.7700000000000001E-3</v>
      </c>
      <c r="F45" s="93"/>
      <c r="G45" s="44">
        <f t="shared" ref="G45" si="154">E45+F45+I44</f>
        <v>1.7770000000000001E-2</v>
      </c>
      <c r="H45" s="93"/>
      <c r="I45" s="44">
        <f t="shared" si="1"/>
        <v>1.7770000000000001E-2</v>
      </c>
      <c r="J45" s="45">
        <f t="shared" si="2"/>
        <v>0</v>
      </c>
      <c r="K45" s="250"/>
      <c r="L45" s="250"/>
      <c r="M45" s="250"/>
      <c r="N45" s="250"/>
      <c r="O45" s="250"/>
      <c r="P45" s="251"/>
    </row>
    <row r="46" spans="2:16" x14ac:dyDescent="0.25">
      <c r="B46" s="270"/>
      <c r="C46" s="252" t="s">
        <v>33</v>
      </c>
      <c r="D46" s="108" t="s">
        <v>52</v>
      </c>
      <c r="E46" s="111">
        <v>4.7759999999999997E-2</v>
      </c>
      <c r="F46" s="93"/>
      <c r="G46" s="44">
        <f t="shared" ref="G46" si="155">E46+F46</f>
        <v>4.7759999999999997E-2</v>
      </c>
      <c r="H46" s="93"/>
      <c r="I46" s="44">
        <f t="shared" si="1"/>
        <v>4.7759999999999997E-2</v>
      </c>
      <c r="J46" s="45">
        <f t="shared" si="2"/>
        <v>0</v>
      </c>
      <c r="K46" s="250">
        <f t="shared" ref="K46" si="156">E46+E47</f>
        <v>5.3039999999999997E-2</v>
      </c>
      <c r="L46" s="250">
        <f t="shared" ref="L46" si="157">F46+F47</f>
        <v>0</v>
      </c>
      <c r="M46" s="250">
        <f t="shared" ref="M46" si="158">K46+L46</f>
        <v>5.3039999999999997E-2</v>
      </c>
      <c r="N46" s="250">
        <f t="shared" ref="N46" si="159">H46+H47</f>
        <v>0</v>
      </c>
      <c r="O46" s="250">
        <f t="shared" ref="O46" si="160">M46-N46</f>
        <v>5.3039999999999997E-2</v>
      </c>
      <c r="P46" s="251">
        <f t="shared" ref="P46" si="161">N46/M46</f>
        <v>0</v>
      </c>
    </row>
    <row r="47" spans="2:16" x14ac:dyDescent="0.25">
      <c r="B47" s="270"/>
      <c r="C47" s="252"/>
      <c r="D47" s="108" t="s">
        <v>53</v>
      </c>
      <c r="E47" s="111">
        <v>5.28E-3</v>
      </c>
      <c r="F47" s="93"/>
      <c r="G47" s="44">
        <f t="shared" ref="G47" si="162">E47+F47+I46</f>
        <v>5.3039999999999997E-2</v>
      </c>
      <c r="H47" s="93"/>
      <c r="I47" s="44">
        <f t="shared" si="1"/>
        <v>5.3039999999999997E-2</v>
      </c>
      <c r="J47" s="45">
        <f t="shared" si="2"/>
        <v>0</v>
      </c>
      <c r="K47" s="250"/>
      <c r="L47" s="250"/>
      <c r="M47" s="250"/>
      <c r="N47" s="250"/>
      <c r="O47" s="250"/>
      <c r="P47" s="251"/>
    </row>
    <row r="48" spans="2:16" x14ac:dyDescent="0.25">
      <c r="B48" s="270"/>
      <c r="C48" s="252" t="s">
        <v>38</v>
      </c>
      <c r="D48" s="108" t="s">
        <v>52</v>
      </c>
      <c r="E48" s="111">
        <f>17.86272+0.597+2.985+2.985+4.179+4.179+5.373+6.567+3.2238+0.04776+0.54924+11.343</f>
        <v>59.891519999999986</v>
      </c>
      <c r="F48" s="93">
        <v>-66.512690000000006</v>
      </c>
      <c r="G48" s="44">
        <f t="shared" ref="G48" si="163">E48+F48</f>
        <v>-6.6211700000000207</v>
      </c>
      <c r="H48" s="93"/>
      <c r="I48" s="44">
        <f t="shared" si="1"/>
        <v>-6.6211700000000207</v>
      </c>
      <c r="J48" s="45">
        <f t="shared" si="2"/>
        <v>0</v>
      </c>
      <c r="K48" s="250">
        <f t="shared" ref="K48" si="164">E48+E49</f>
        <v>66.511089999999982</v>
      </c>
      <c r="L48" s="250">
        <f t="shared" ref="L48" si="165">F48+F49</f>
        <v>-66.512690000000006</v>
      </c>
      <c r="M48" s="250">
        <f t="shared" ref="M48" si="166">K48+L48</f>
        <v>-1.6000000000246928E-3</v>
      </c>
      <c r="N48" s="250">
        <f t="shared" ref="N48" si="167">H48+H49</f>
        <v>0</v>
      </c>
      <c r="O48" s="250">
        <f t="shared" ref="O48" si="168">M48-N48</f>
        <v>-1.6000000000246928E-3</v>
      </c>
      <c r="P48" s="251">
        <f t="shared" ref="P48" si="169">N48/M48</f>
        <v>0</v>
      </c>
    </row>
    <row r="49" spans="2:16" x14ac:dyDescent="0.25">
      <c r="B49" s="270"/>
      <c r="C49" s="252"/>
      <c r="D49" s="108" t="s">
        <v>53</v>
      </c>
      <c r="E49" s="111">
        <f>1.97477+0.066+0.33+0.33+0.462+0.462+0.5924+0.726+0.3564+0.00528+0.06072+1.254</f>
        <v>6.6195699999999995</v>
      </c>
      <c r="F49" s="93"/>
      <c r="G49" s="44">
        <f t="shared" ref="G49" si="170">E49+F49+I48</f>
        <v>-1.6000000000211401E-3</v>
      </c>
      <c r="H49" s="93"/>
      <c r="I49" s="44">
        <f t="shared" si="1"/>
        <v>-1.6000000000211401E-3</v>
      </c>
      <c r="J49" s="45">
        <f t="shared" si="2"/>
        <v>0</v>
      </c>
      <c r="K49" s="250"/>
      <c r="L49" s="250"/>
      <c r="M49" s="250"/>
      <c r="N49" s="250"/>
      <c r="O49" s="250"/>
      <c r="P49" s="251"/>
    </row>
    <row r="50" spans="2:16" x14ac:dyDescent="0.25">
      <c r="B50" s="270"/>
      <c r="C50" s="252" t="s">
        <v>181</v>
      </c>
      <c r="D50" s="193" t="s">
        <v>52</v>
      </c>
      <c r="E50" s="111">
        <v>0</v>
      </c>
      <c r="F50" s="93">
        <v>0.35360000000000003</v>
      </c>
      <c r="G50" s="191">
        <f t="shared" ref="G50" si="171">E50+F50</f>
        <v>0.35360000000000003</v>
      </c>
      <c r="H50" s="93"/>
      <c r="I50" s="191">
        <f t="shared" ref="I50:I51" si="172">G50-H50</f>
        <v>0.35360000000000003</v>
      </c>
      <c r="J50" s="45">
        <f t="shared" ref="J50:J51" si="173">H50/G50</f>
        <v>0</v>
      </c>
      <c r="K50" s="250">
        <f t="shared" ref="K50" si="174">E50+E51</f>
        <v>0</v>
      </c>
      <c r="L50" s="250">
        <f t="shared" ref="L50" si="175">F50+F51</f>
        <v>0.35360000000000003</v>
      </c>
      <c r="M50" s="250">
        <f t="shared" ref="M50" si="176">K50+L50</f>
        <v>0.35360000000000003</v>
      </c>
      <c r="N50" s="250">
        <f t="shared" ref="N50" si="177">H50+H51</f>
        <v>0</v>
      </c>
      <c r="O50" s="250">
        <f t="shared" ref="O50" si="178">M50-N50</f>
        <v>0.35360000000000003</v>
      </c>
      <c r="P50" s="251">
        <f t="shared" ref="P50" si="179">N50/M50</f>
        <v>0</v>
      </c>
    </row>
    <row r="51" spans="2:16" x14ac:dyDescent="0.25">
      <c r="B51" s="270"/>
      <c r="C51" s="252"/>
      <c r="D51" s="193" t="s">
        <v>53</v>
      </c>
      <c r="E51" s="111">
        <v>0</v>
      </c>
      <c r="F51" s="93"/>
      <c r="G51" s="191">
        <f t="shared" ref="G51" si="180">E51+F51+I50</f>
        <v>0.35360000000000003</v>
      </c>
      <c r="H51" s="93"/>
      <c r="I51" s="191">
        <f t="shared" si="172"/>
        <v>0.35360000000000003</v>
      </c>
      <c r="J51" s="45">
        <f t="shared" si="173"/>
        <v>0</v>
      </c>
      <c r="K51" s="250"/>
      <c r="L51" s="250"/>
      <c r="M51" s="250"/>
      <c r="N51" s="250"/>
      <c r="O51" s="250"/>
      <c r="P51" s="251"/>
    </row>
    <row r="52" spans="2:16" x14ac:dyDescent="0.25">
      <c r="B52" s="270"/>
      <c r="C52" s="248" t="s">
        <v>182</v>
      </c>
      <c r="D52" s="196" t="s">
        <v>52</v>
      </c>
      <c r="E52" s="111">
        <v>0</v>
      </c>
      <c r="F52" s="93"/>
      <c r="G52" s="195">
        <f t="shared" ref="G52" si="181">E52+F52</f>
        <v>0</v>
      </c>
      <c r="H52" s="93">
        <v>0</v>
      </c>
      <c r="I52" s="195">
        <f t="shared" ref="I52:I53" si="182">G52-H52</f>
        <v>0</v>
      </c>
      <c r="J52" s="45">
        <v>0</v>
      </c>
      <c r="K52" s="250">
        <f t="shared" ref="K52" si="183">E52+E53</f>
        <v>0</v>
      </c>
      <c r="L52" s="250">
        <f t="shared" ref="L52" si="184">F52+F53</f>
        <v>0</v>
      </c>
      <c r="M52" s="250">
        <f t="shared" ref="M52" si="185">K52+L52</f>
        <v>0</v>
      </c>
      <c r="N52" s="250">
        <f t="shared" ref="N52" si="186">H52+H53</f>
        <v>0</v>
      </c>
      <c r="O52" s="250">
        <f t="shared" ref="O52" si="187">M52-N52</f>
        <v>0</v>
      </c>
      <c r="P52" s="251" t="e">
        <f t="shared" ref="P52" si="188">N52/M52</f>
        <v>#DIV/0!</v>
      </c>
    </row>
    <row r="53" spans="2:16" x14ac:dyDescent="0.25">
      <c r="B53" s="270"/>
      <c r="C53" s="249"/>
      <c r="D53" s="196" t="s">
        <v>53</v>
      </c>
      <c r="E53" s="111">
        <v>0</v>
      </c>
      <c r="F53" s="93"/>
      <c r="G53" s="195">
        <f t="shared" ref="G53" si="189">E53+F53+I52</f>
        <v>0</v>
      </c>
      <c r="H53" s="93"/>
      <c r="I53" s="195">
        <f t="shared" si="182"/>
        <v>0</v>
      </c>
      <c r="J53" s="45">
        <v>0</v>
      </c>
      <c r="K53" s="250"/>
      <c r="L53" s="250"/>
      <c r="M53" s="250"/>
      <c r="N53" s="250"/>
      <c r="O53" s="250"/>
      <c r="P53" s="251"/>
    </row>
    <row r="54" spans="2:16" x14ac:dyDescent="0.25">
      <c r="B54" s="270"/>
      <c r="C54" s="252" t="s">
        <v>37</v>
      </c>
      <c r="D54" s="108" t="s">
        <v>52</v>
      </c>
      <c r="E54" s="111">
        <v>0.64483999999999997</v>
      </c>
      <c r="F54" s="93">
        <v>-0.35360000000000003</v>
      </c>
      <c r="G54" s="44">
        <f t="shared" ref="G54" si="190">E54+F54</f>
        <v>0.29123999999999994</v>
      </c>
      <c r="H54" s="93"/>
      <c r="I54" s="44">
        <f t="shared" si="1"/>
        <v>0.29123999999999994</v>
      </c>
      <c r="J54" s="45">
        <f t="shared" si="2"/>
        <v>0</v>
      </c>
      <c r="K54" s="250">
        <f>E54+E55</f>
        <v>0.71612999999999993</v>
      </c>
      <c r="L54" s="250">
        <f t="shared" ref="L54" si="191">F54+F55</f>
        <v>-0.35360000000000003</v>
      </c>
      <c r="M54" s="250">
        <f t="shared" ref="M54" si="192">K54+L54</f>
        <v>0.36252999999999991</v>
      </c>
      <c r="N54" s="250">
        <f t="shared" ref="N54" si="193">H54+H55</f>
        <v>0</v>
      </c>
      <c r="O54" s="250">
        <f t="shared" ref="O54" si="194">M54-N54</f>
        <v>0.36252999999999991</v>
      </c>
      <c r="P54" s="251">
        <f t="shared" ref="P54" si="195">N54/M54</f>
        <v>0</v>
      </c>
    </row>
    <row r="55" spans="2:16" ht="12.75" thickBot="1" x14ac:dyDescent="0.3">
      <c r="B55" s="271"/>
      <c r="C55" s="275"/>
      <c r="D55" s="109" t="s">
        <v>53</v>
      </c>
      <c r="E55" s="112">
        <v>7.1290000000000006E-2</v>
      </c>
      <c r="F55" s="104"/>
      <c r="G55" s="105">
        <f t="shared" ref="G55" si="196">E55+F55+I54</f>
        <v>0.36252999999999996</v>
      </c>
      <c r="H55" s="113"/>
      <c r="I55" s="105">
        <f t="shared" si="1"/>
        <v>0.36252999999999996</v>
      </c>
      <c r="J55" s="106">
        <f t="shared" si="2"/>
        <v>0</v>
      </c>
      <c r="K55" s="253"/>
      <c r="L55" s="253"/>
      <c r="M55" s="253"/>
      <c r="N55" s="253"/>
      <c r="O55" s="253"/>
      <c r="P55" s="254"/>
    </row>
    <row r="56" spans="2:16" ht="12.75" thickBot="1" x14ac:dyDescent="0.3">
      <c r="B56" s="265" t="s">
        <v>13</v>
      </c>
      <c r="C56" s="266"/>
      <c r="D56" s="95"/>
      <c r="E56" s="114">
        <f>SUM(E6:E55)</f>
        <v>981.68567999999993</v>
      </c>
      <c r="F56" s="114">
        <f>SUM(F6:F55)</f>
        <v>-30.665690000000012</v>
      </c>
      <c r="G56" s="114">
        <f>E56+F56</f>
        <v>951.01998999999989</v>
      </c>
      <c r="H56" s="114">
        <f>SUM(H6:H55)</f>
        <v>607.09400000000005</v>
      </c>
      <c r="I56" s="114">
        <f>G56-H56</f>
        <v>343.92598999999984</v>
      </c>
      <c r="J56" s="115">
        <f>H56/G56</f>
        <v>0.63836092446384862</v>
      </c>
      <c r="K56" s="114">
        <f>SUM(K6:K55)</f>
        <v>981.68567999999993</v>
      </c>
      <c r="L56" s="114">
        <f>SUM(L6:L55)</f>
        <v>-30.665690000000012</v>
      </c>
      <c r="M56" s="114">
        <f>K56+L56</f>
        <v>951.01998999999989</v>
      </c>
      <c r="N56" s="114">
        <f>SUM(N6:N55)</f>
        <v>607.09400000000005</v>
      </c>
      <c r="O56" s="114">
        <f>M56-N56</f>
        <v>343.92598999999984</v>
      </c>
      <c r="P56" s="116">
        <f>N56/M56</f>
        <v>0.63836092446384862</v>
      </c>
    </row>
  </sheetData>
  <mergeCells count="180">
    <mergeCell ref="B2:P2"/>
    <mergeCell ref="B3:P3"/>
    <mergeCell ref="C40:C41"/>
    <mergeCell ref="C42:C43"/>
    <mergeCell ref="C44:C45"/>
    <mergeCell ref="B56:C56"/>
    <mergeCell ref="C24:C25"/>
    <mergeCell ref="C28:C29"/>
    <mergeCell ref="C30:C31"/>
    <mergeCell ref="C36:C37"/>
    <mergeCell ref="C38:C39"/>
    <mergeCell ref="B30:B55"/>
    <mergeCell ref="B6:B29"/>
    <mergeCell ref="C46:C47"/>
    <mergeCell ref="C48:C49"/>
    <mergeCell ref="C54:C55"/>
    <mergeCell ref="C20:C21"/>
    <mergeCell ref="C18:C19"/>
    <mergeCell ref="C34:C35"/>
    <mergeCell ref="C32:C33"/>
    <mergeCell ref="C14:C15"/>
    <mergeCell ref="C16:C17"/>
    <mergeCell ref="K24:K25"/>
    <mergeCell ref="K28:K29"/>
    <mergeCell ref="K30:K31"/>
    <mergeCell ref="C22:C23"/>
    <mergeCell ref="C6:C7"/>
    <mergeCell ref="C8:C9"/>
    <mergeCell ref="C10:C11"/>
    <mergeCell ref="C12:C13"/>
    <mergeCell ref="L8:L9"/>
    <mergeCell ref="L12:L13"/>
    <mergeCell ref="L16:L17"/>
    <mergeCell ref="L20:L21"/>
    <mergeCell ref="L24:L25"/>
    <mergeCell ref="L30:L31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C26:C27"/>
    <mergeCell ref="K26:K27"/>
    <mergeCell ref="L26:L27"/>
    <mergeCell ref="M8:M9"/>
    <mergeCell ref="N8:N9"/>
    <mergeCell ref="O8:O9"/>
    <mergeCell ref="P8:P9"/>
    <mergeCell ref="L6:L7"/>
    <mergeCell ref="M6:M7"/>
    <mergeCell ref="N6:N7"/>
    <mergeCell ref="O6:O7"/>
    <mergeCell ref="P6:P7"/>
    <mergeCell ref="M12:M13"/>
    <mergeCell ref="N12:N13"/>
    <mergeCell ref="O12:O13"/>
    <mergeCell ref="P12:P13"/>
    <mergeCell ref="L10:L11"/>
    <mergeCell ref="M10:M11"/>
    <mergeCell ref="N10:N11"/>
    <mergeCell ref="O10:O11"/>
    <mergeCell ref="P10:P11"/>
    <mergeCell ref="M16:M17"/>
    <mergeCell ref="N16:N17"/>
    <mergeCell ref="O16:O17"/>
    <mergeCell ref="P16:P17"/>
    <mergeCell ref="L14:L15"/>
    <mergeCell ref="M14:M15"/>
    <mergeCell ref="N14:N15"/>
    <mergeCell ref="O14:O15"/>
    <mergeCell ref="P14:P15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M24:M25"/>
    <mergeCell ref="N24:N25"/>
    <mergeCell ref="O24:O25"/>
    <mergeCell ref="P24:P25"/>
    <mergeCell ref="L22:L23"/>
    <mergeCell ref="M22:M23"/>
    <mergeCell ref="N22:N23"/>
    <mergeCell ref="O22:O23"/>
    <mergeCell ref="P22:P23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P32:P33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O46:O47"/>
    <mergeCell ref="P46:P47"/>
    <mergeCell ref="K44:K45"/>
    <mergeCell ref="L44:L45"/>
    <mergeCell ref="M44:M45"/>
    <mergeCell ref="N44:N45"/>
    <mergeCell ref="O44:O45"/>
    <mergeCell ref="K54:K55"/>
    <mergeCell ref="L54:L55"/>
    <mergeCell ref="M54:M55"/>
    <mergeCell ref="N54:N55"/>
    <mergeCell ref="O54:O55"/>
    <mergeCell ref="P54:P55"/>
    <mergeCell ref="K48:K49"/>
    <mergeCell ref="L48:L49"/>
    <mergeCell ref="M48:M49"/>
    <mergeCell ref="N48:N49"/>
    <mergeCell ref="O48:O49"/>
    <mergeCell ref="C52:C53"/>
    <mergeCell ref="K52:K53"/>
    <mergeCell ref="L52:L53"/>
    <mergeCell ref="M52:M53"/>
    <mergeCell ref="N52:N53"/>
    <mergeCell ref="O52:O53"/>
    <mergeCell ref="P52:P53"/>
    <mergeCell ref="M26:M27"/>
    <mergeCell ref="N26:N27"/>
    <mergeCell ref="O26:O27"/>
    <mergeCell ref="P26:P27"/>
    <mergeCell ref="C50:C51"/>
    <mergeCell ref="K50:K51"/>
    <mergeCell ref="L50:L51"/>
    <mergeCell ref="M50:M51"/>
    <mergeCell ref="N50:N51"/>
    <mergeCell ref="O50:O51"/>
    <mergeCell ref="P50:P51"/>
    <mergeCell ref="P48:P49"/>
    <mergeCell ref="P44:P45"/>
    <mergeCell ref="K46:K47"/>
    <mergeCell ref="L46:L47"/>
    <mergeCell ref="M46:M47"/>
    <mergeCell ref="N46:N47"/>
  </mergeCells>
  <conditionalFormatting sqref="P6:P55">
    <cfRule type="cellIs" dxfId="5" priority="2" operator="greaterThan">
      <formula>1</formula>
    </cfRule>
  </conditionalFormatting>
  <conditionalFormatting sqref="P6:P56">
    <cfRule type="cellIs" dxfId="4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80"/>
  <sheetViews>
    <sheetView showGridLines="0" topLeftCell="B1" zoomScaleNormal="100" workbookViewId="0">
      <pane xSplit="2" ySplit="12" topLeftCell="F31" activePane="bottomRight" state="frozen"/>
      <selection activeCell="B1" sqref="B1"/>
      <selection pane="topRight" activeCell="D1" sqref="D1"/>
      <selection pane="bottomLeft" activeCell="B13" sqref="B13"/>
      <selection pane="bottomRight" activeCell="N81" sqref="N81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12" customWidth="1"/>
    <col min="5" max="5" width="9.5703125" style="12" bestFit="1" customWidth="1"/>
    <col min="6" max="6" width="19" style="12" bestFit="1" customWidth="1"/>
    <col min="7" max="7" width="15.5703125" style="12" bestFit="1" customWidth="1"/>
    <col min="8" max="8" width="18" style="12" bestFit="1" customWidth="1"/>
    <col min="9" max="9" width="12.42578125" style="12" bestFit="1" customWidth="1"/>
    <col min="10" max="10" width="10.5703125" style="12" bestFit="1" customWidth="1"/>
    <col min="11" max="11" width="12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2"/>
  </cols>
  <sheetData>
    <row r="3" spans="2:17" hidden="1" x14ac:dyDescent="0.2">
      <c r="B3" s="1" t="s">
        <v>18</v>
      </c>
      <c r="C3" s="1" t="s">
        <v>61</v>
      </c>
      <c r="D3" s="11" t="s">
        <v>62</v>
      </c>
      <c r="E3" s="11" t="s">
        <v>60</v>
      </c>
    </row>
    <row r="4" spans="2:17" hidden="1" x14ac:dyDescent="0.2">
      <c r="B4" s="1" t="s">
        <v>52</v>
      </c>
      <c r="C4" s="4">
        <v>915</v>
      </c>
      <c r="D4" s="13">
        <v>1119</v>
      </c>
      <c r="E4" s="13">
        <f>SUM(C4:D4)</f>
        <v>2034</v>
      </c>
    </row>
    <row r="5" spans="2:17" hidden="1" x14ac:dyDescent="0.2">
      <c r="B5" s="1" t="s">
        <v>53</v>
      </c>
      <c r="C5" s="4">
        <v>102</v>
      </c>
      <c r="D5" s="13">
        <v>124</v>
      </c>
      <c r="E5" s="13">
        <f t="shared" ref="E5" si="0">SUM(C5:D5)</f>
        <v>226</v>
      </c>
    </row>
    <row r="6" spans="2:17" hidden="1" x14ac:dyDescent="0.2">
      <c r="B6" s="1" t="s">
        <v>60</v>
      </c>
      <c r="C6" s="4">
        <f>SUM(C4:C5)</f>
        <v>1017</v>
      </c>
      <c r="D6" s="13">
        <f>SUM(D4:D5)</f>
        <v>1243</v>
      </c>
      <c r="E6" s="13">
        <f>SUM(C6:D6)</f>
        <v>2260</v>
      </c>
    </row>
    <row r="9" spans="2:17" ht="20.25" customHeight="1" x14ac:dyDescent="0.2">
      <c r="B9" s="296" t="s">
        <v>103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8"/>
    </row>
    <row r="10" spans="2:17" x14ac:dyDescent="0.2">
      <c r="B10" s="299">
        <f>'RESUMEN '!B3:J3</f>
        <v>44599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1"/>
    </row>
    <row r="11" spans="2:17" ht="12.75" thickBot="1" x14ac:dyDescent="0.25"/>
    <row r="12" spans="2:17" ht="12.75" thickBot="1" x14ac:dyDescent="0.25">
      <c r="B12" s="123" t="s">
        <v>0</v>
      </c>
      <c r="C12" s="124" t="s">
        <v>23</v>
      </c>
      <c r="D12" s="124" t="s">
        <v>18</v>
      </c>
      <c r="E12" s="124" t="s">
        <v>63</v>
      </c>
      <c r="F12" s="124" t="s">
        <v>2</v>
      </c>
      <c r="G12" s="124" t="s">
        <v>3</v>
      </c>
      <c r="H12" s="124" t="s">
        <v>4</v>
      </c>
      <c r="I12" s="124" t="s">
        <v>5</v>
      </c>
      <c r="J12" s="124" t="s">
        <v>6</v>
      </c>
      <c r="K12" s="125" t="s">
        <v>7</v>
      </c>
      <c r="L12" s="124" t="s">
        <v>2</v>
      </c>
      <c r="M12" s="124" t="s">
        <v>3</v>
      </c>
      <c r="N12" s="124" t="s">
        <v>4</v>
      </c>
      <c r="O12" s="124" t="s">
        <v>5</v>
      </c>
      <c r="P12" s="124" t="s">
        <v>6</v>
      </c>
      <c r="Q12" s="126" t="s">
        <v>20</v>
      </c>
    </row>
    <row r="13" spans="2:17" x14ac:dyDescent="0.2">
      <c r="B13" s="289" t="s">
        <v>106</v>
      </c>
      <c r="C13" s="293" t="s">
        <v>24</v>
      </c>
      <c r="D13" s="118" t="s">
        <v>52</v>
      </c>
      <c r="E13" s="284">
        <v>9.07</v>
      </c>
      <c r="F13" s="65">
        <f>E13/100*$C$4</f>
        <v>82.990499999999997</v>
      </c>
      <c r="G13" s="65">
        <v>80</v>
      </c>
      <c r="H13" s="65">
        <f>F13+G13</f>
        <v>162.9905</v>
      </c>
      <c r="I13" s="132">
        <v>162.80799999999999</v>
      </c>
      <c r="J13" s="65">
        <f>H13-I13</f>
        <v>0.18250000000000455</v>
      </c>
      <c r="K13" s="102">
        <f>I13/H13</f>
        <v>0.99888030283973606</v>
      </c>
      <c r="L13" s="255">
        <f>F13+F14</f>
        <v>92.241900000000001</v>
      </c>
      <c r="M13" s="255">
        <f>G13+G14</f>
        <v>80</v>
      </c>
      <c r="N13" s="255">
        <f>L13+M13</f>
        <v>172.24189999999999</v>
      </c>
      <c r="O13" s="323">
        <f>I13+I14</f>
        <v>172.21199999999999</v>
      </c>
      <c r="P13" s="255">
        <f>N13-O13</f>
        <v>2.9899999999997817E-2</v>
      </c>
      <c r="Q13" s="256">
        <f>O13/N13</f>
        <v>0.9998264069311823</v>
      </c>
    </row>
    <row r="14" spans="2:17" x14ac:dyDescent="0.2">
      <c r="B14" s="290"/>
      <c r="C14" s="292"/>
      <c r="D14" s="119" t="s">
        <v>53</v>
      </c>
      <c r="E14" s="284"/>
      <c r="F14" s="44">
        <f>E13/100*$C$5</f>
        <v>9.2514000000000003</v>
      </c>
      <c r="G14" s="44"/>
      <c r="H14" s="44">
        <f>F14+G14+J13</f>
        <v>9.4339000000000048</v>
      </c>
      <c r="I14" s="90">
        <v>9.4039999999999999</v>
      </c>
      <c r="J14" s="44">
        <f>H14-I14</f>
        <v>2.9900000000004923E-2</v>
      </c>
      <c r="K14" s="45">
        <f>I14/H14</f>
        <v>0.99683057908182138</v>
      </c>
      <c r="L14" s="280"/>
      <c r="M14" s="280"/>
      <c r="N14" s="280"/>
      <c r="O14" s="325"/>
      <c r="P14" s="280"/>
      <c r="Q14" s="251"/>
    </row>
    <row r="15" spans="2:17" x14ac:dyDescent="0.2">
      <c r="B15" s="290"/>
      <c r="C15" s="292" t="s">
        <v>25</v>
      </c>
      <c r="D15" s="119" t="s">
        <v>52</v>
      </c>
      <c r="E15" s="284">
        <v>1.5226232</v>
      </c>
      <c r="F15" s="44">
        <f t="shared" ref="F15" si="1">E15/100*$C$4</f>
        <v>13.932002279999999</v>
      </c>
      <c r="G15" s="44">
        <v>-3.4000000000000002E-2</v>
      </c>
      <c r="H15" s="44">
        <f t="shared" ref="H15" si="2">F15+G15</f>
        <v>13.898002279999998</v>
      </c>
      <c r="I15" s="90">
        <f>2.386+0.019</f>
        <v>2.4050000000000002</v>
      </c>
      <c r="J15" s="44">
        <f t="shared" ref="J15:J76" si="3">H15-I15</f>
        <v>11.493002279999999</v>
      </c>
      <c r="K15" s="45">
        <f t="shared" ref="K15:K76" si="4">I15/H15</f>
        <v>0.17304645311944794</v>
      </c>
      <c r="L15" s="250">
        <f t="shared" ref="L15" si="5">F15+F16</f>
        <v>15.485077943999999</v>
      </c>
      <c r="M15" s="250">
        <f t="shared" ref="M15" si="6">G15+G16</f>
        <v>-3.4000000000000002E-2</v>
      </c>
      <c r="N15" s="250">
        <f t="shared" ref="N15" si="7">L15+M15</f>
        <v>15.451077943999998</v>
      </c>
      <c r="O15" s="324">
        <f t="shared" ref="O15" si="8">I15+I16</f>
        <v>3.1460000000000004</v>
      </c>
      <c r="P15" s="250">
        <f t="shared" ref="P15" si="9">N15-O15</f>
        <v>12.305077943999997</v>
      </c>
      <c r="Q15" s="251">
        <f t="shared" ref="Q15" si="10">O15/N15</f>
        <v>0.2036103896053196</v>
      </c>
    </row>
    <row r="16" spans="2:17" x14ac:dyDescent="0.2">
      <c r="B16" s="290"/>
      <c r="C16" s="292"/>
      <c r="D16" s="119" t="s">
        <v>53</v>
      </c>
      <c r="E16" s="284"/>
      <c r="F16" s="44">
        <f t="shared" ref="F16" si="11">E15/100*$C$5</f>
        <v>1.5530756639999999</v>
      </c>
      <c r="G16" s="44"/>
      <c r="H16" s="44">
        <f t="shared" ref="H16" si="12">F16+G16+J15</f>
        <v>13.046077943999999</v>
      </c>
      <c r="I16" s="90">
        <v>0.74099999999999999</v>
      </c>
      <c r="J16" s="44">
        <f>H16-I16</f>
        <v>12.305077943999999</v>
      </c>
      <c r="K16" s="45">
        <f t="shared" si="4"/>
        <v>5.6798679509713658E-2</v>
      </c>
      <c r="L16" s="280"/>
      <c r="M16" s="280"/>
      <c r="N16" s="280"/>
      <c r="O16" s="325"/>
      <c r="P16" s="280"/>
      <c r="Q16" s="251"/>
    </row>
    <row r="17" spans="2:17" x14ac:dyDescent="0.2">
      <c r="B17" s="290"/>
      <c r="C17" s="292" t="s">
        <v>27</v>
      </c>
      <c r="D17" s="119" t="s">
        <v>52</v>
      </c>
      <c r="E17" s="284">
        <v>24.85454</v>
      </c>
      <c r="F17" s="44">
        <f t="shared" ref="F17" si="13">E17/100*$C$4</f>
        <v>227.41904099999999</v>
      </c>
      <c r="G17" s="44">
        <v>200</v>
      </c>
      <c r="H17" s="44">
        <f t="shared" ref="H17" si="14">F17+G17</f>
        <v>427.41904099999999</v>
      </c>
      <c r="I17" s="90">
        <v>426.75200000000001</v>
      </c>
      <c r="J17" s="44">
        <f t="shared" si="3"/>
        <v>0.66704099999998334</v>
      </c>
      <c r="K17" s="45">
        <f t="shared" si="4"/>
        <v>0.99843937462767363</v>
      </c>
      <c r="L17" s="250">
        <f t="shared" ref="L17" si="15">F17+F18</f>
        <v>252.7706718</v>
      </c>
      <c r="M17" s="250">
        <f t="shared" ref="M17" si="16">G17+G18</f>
        <v>200</v>
      </c>
      <c r="N17" s="250">
        <f t="shared" ref="N17" si="17">L17+M17</f>
        <v>452.7706718</v>
      </c>
      <c r="O17" s="324">
        <f t="shared" ref="O17" si="18">I17+I18</f>
        <v>452.47399999999999</v>
      </c>
      <c r="P17" s="250">
        <f t="shared" ref="P17" si="19">N17-O17</f>
        <v>0.29667180000001281</v>
      </c>
      <c r="Q17" s="251">
        <f t="shared" ref="Q17" si="20">O17/N17</f>
        <v>0.99934476365525049</v>
      </c>
    </row>
    <row r="18" spans="2:17" x14ac:dyDescent="0.2">
      <c r="B18" s="290"/>
      <c r="C18" s="292"/>
      <c r="D18" s="119" t="s">
        <v>53</v>
      </c>
      <c r="E18" s="284"/>
      <c r="F18" s="44">
        <f t="shared" ref="F18" si="21">E17/100*$C$5</f>
        <v>25.351630799999999</v>
      </c>
      <c r="G18" s="44"/>
      <c r="H18" s="44">
        <f t="shared" ref="H18" si="22">F18+G18+J17</f>
        <v>26.018671799999982</v>
      </c>
      <c r="I18" s="90">
        <v>25.722000000000001</v>
      </c>
      <c r="J18" s="44">
        <f t="shared" si="3"/>
        <v>0.29667179999998083</v>
      </c>
      <c r="K18" s="45">
        <f t="shared" si="4"/>
        <v>0.98859773464685541</v>
      </c>
      <c r="L18" s="280"/>
      <c r="M18" s="280"/>
      <c r="N18" s="280"/>
      <c r="O18" s="325"/>
      <c r="P18" s="280"/>
      <c r="Q18" s="251"/>
    </row>
    <row r="19" spans="2:17" x14ac:dyDescent="0.2">
      <c r="B19" s="290"/>
      <c r="C19" s="292" t="s">
        <v>28</v>
      </c>
      <c r="D19" s="119" t="s">
        <v>52</v>
      </c>
      <c r="E19" s="284">
        <v>29.884251899999999</v>
      </c>
      <c r="F19" s="44">
        <f>E19/100*$C$4</f>
        <v>273.44090488499995</v>
      </c>
      <c r="G19" s="198">
        <f>Hoja1!S10-47.801-200-80+37.72746-20.9128+20.9128</f>
        <v>-205.05233999999999</v>
      </c>
      <c r="H19" s="44">
        <f>F19+G19</f>
        <v>68.388564884999965</v>
      </c>
      <c r="I19" s="90">
        <v>0</v>
      </c>
      <c r="J19" s="44">
        <f t="shared" si="3"/>
        <v>68.388564884999965</v>
      </c>
      <c r="K19" s="45">
        <f t="shared" si="4"/>
        <v>0</v>
      </c>
      <c r="L19" s="250">
        <f>F19+F20</f>
        <v>303.92284182299994</v>
      </c>
      <c r="M19" s="250">
        <f t="shared" ref="M19" si="23">G19+G20</f>
        <v>-205.05233999999999</v>
      </c>
      <c r="N19" s="250">
        <f t="shared" ref="N19" si="24">L19+M19</f>
        <v>98.870501822999955</v>
      </c>
      <c r="O19" s="324">
        <f t="shared" ref="O19" si="25">I19+I20</f>
        <v>7.5510000000000002</v>
      </c>
      <c r="P19" s="250">
        <f t="shared" ref="P19" si="26">N19-O19</f>
        <v>91.319501822999953</v>
      </c>
      <c r="Q19" s="251">
        <f t="shared" ref="Q19" si="27">O19/N19</f>
        <v>7.6372627434600854E-2</v>
      </c>
    </row>
    <row r="20" spans="2:17" x14ac:dyDescent="0.2">
      <c r="B20" s="290"/>
      <c r="C20" s="292"/>
      <c r="D20" s="119" t="s">
        <v>53</v>
      </c>
      <c r="E20" s="284"/>
      <c r="F20" s="44">
        <f t="shared" ref="F20" si="28">E19/100*$C$5</f>
        <v>30.481936937999997</v>
      </c>
      <c r="G20" s="44"/>
      <c r="H20" s="44">
        <f t="shared" ref="H20" si="29">F20+G20+J19</f>
        <v>98.870501822999955</v>
      </c>
      <c r="I20" s="90">
        <v>7.5510000000000002</v>
      </c>
      <c r="J20" s="44">
        <f t="shared" si="3"/>
        <v>91.319501822999953</v>
      </c>
      <c r="K20" s="45">
        <f t="shared" si="4"/>
        <v>7.6372627434600854E-2</v>
      </c>
      <c r="L20" s="280"/>
      <c r="M20" s="280"/>
      <c r="N20" s="280"/>
      <c r="O20" s="325"/>
      <c r="P20" s="280"/>
      <c r="Q20" s="251"/>
    </row>
    <row r="21" spans="2:17" x14ac:dyDescent="0.2">
      <c r="B21" s="290"/>
      <c r="C21" s="292" t="s">
        <v>29</v>
      </c>
      <c r="D21" s="187" t="s">
        <v>52</v>
      </c>
      <c r="E21" s="284">
        <v>0.26877200000000001</v>
      </c>
      <c r="F21" s="44">
        <f t="shared" ref="F21" si="30">E21/100*$C$4</f>
        <v>2.4592638</v>
      </c>
      <c r="G21" s="44"/>
      <c r="H21" s="44">
        <f t="shared" ref="H21" si="31">F21+G21</f>
        <v>2.4592638</v>
      </c>
      <c r="I21" s="90">
        <v>0.67800000000000005</v>
      </c>
      <c r="J21" s="44">
        <f t="shared" si="3"/>
        <v>1.7812638000000001</v>
      </c>
      <c r="K21" s="45">
        <f t="shared" si="4"/>
        <v>0.27569226205013064</v>
      </c>
      <c r="L21" s="250">
        <f t="shared" ref="L21" si="32">F21+F22</f>
        <v>2.7334112400000001</v>
      </c>
      <c r="M21" s="250">
        <f t="shared" ref="M21" si="33">G21+G22</f>
        <v>0</v>
      </c>
      <c r="N21" s="250">
        <f t="shared" ref="N21" si="34">L21+M21</f>
        <v>2.7334112400000001</v>
      </c>
      <c r="O21" s="324">
        <f t="shared" ref="O21" si="35">I21+I22</f>
        <v>0.78300000000000003</v>
      </c>
      <c r="P21" s="250">
        <f t="shared" ref="P21" si="36">N21-O21</f>
        <v>1.9504112400000002</v>
      </c>
      <c r="Q21" s="251">
        <f t="shared" ref="Q21" si="37">O21/N21</f>
        <v>0.28645524996085109</v>
      </c>
    </row>
    <row r="22" spans="2:17" x14ac:dyDescent="0.2">
      <c r="B22" s="290"/>
      <c r="C22" s="292"/>
      <c r="D22" s="187" t="s">
        <v>53</v>
      </c>
      <c r="E22" s="284"/>
      <c r="F22" s="44">
        <f t="shared" ref="F22" si="38">E21/100*$C$5</f>
        <v>0.27414744000000002</v>
      </c>
      <c r="G22" s="44"/>
      <c r="H22" s="44">
        <f t="shared" ref="H22" si="39">F22+G22+J21</f>
        <v>2.0554112400000002</v>
      </c>
      <c r="I22" s="90">
        <v>0.105</v>
      </c>
      <c r="J22" s="44">
        <f t="shared" si="3"/>
        <v>1.9504112400000002</v>
      </c>
      <c r="K22" s="45">
        <f t="shared" si="4"/>
        <v>5.1084667611334067E-2</v>
      </c>
      <c r="L22" s="280"/>
      <c r="M22" s="280"/>
      <c r="N22" s="280"/>
      <c r="O22" s="325"/>
      <c r="P22" s="280"/>
      <c r="Q22" s="251"/>
    </row>
    <row r="23" spans="2:17" x14ac:dyDescent="0.2">
      <c r="B23" s="290"/>
      <c r="C23" s="292" t="s">
        <v>30</v>
      </c>
      <c r="D23" s="187" t="s">
        <v>52</v>
      </c>
      <c r="E23" s="284">
        <v>8.0000000000000002E-3</v>
      </c>
      <c r="F23" s="44">
        <f t="shared" ref="F23" si="40">E23/100*$C$4</f>
        <v>7.3200000000000001E-2</v>
      </c>
      <c r="G23" s="44"/>
      <c r="H23" s="44">
        <f t="shared" ref="H23" si="41">F23+G23</f>
        <v>7.3200000000000001E-2</v>
      </c>
      <c r="I23" s="90"/>
      <c r="J23" s="44">
        <f t="shared" si="3"/>
        <v>7.3200000000000001E-2</v>
      </c>
      <c r="K23" s="45">
        <f t="shared" si="4"/>
        <v>0</v>
      </c>
      <c r="L23" s="250">
        <f t="shared" ref="L23" si="42">F23+F24</f>
        <v>8.1360000000000002E-2</v>
      </c>
      <c r="M23" s="250">
        <f t="shared" ref="M23" si="43">G23+G24</f>
        <v>0</v>
      </c>
      <c r="N23" s="250">
        <f t="shared" ref="N23" si="44">L23+M23</f>
        <v>8.1360000000000002E-2</v>
      </c>
      <c r="O23" s="250">
        <f t="shared" ref="O23" si="45">I23+I24</f>
        <v>0</v>
      </c>
      <c r="P23" s="250">
        <f t="shared" ref="P23" si="46">N23-O23</f>
        <v>8.1360000000000002E-2</v>
      </c>
      <c r="Q23" s="251">
        <f t="shared" ref="Q23" si="47">O23/N23</f>
        <v>0</v>
      </c>
    </row>
    <row r="24" spans="2:17" x14ac:dyDescent="0.2">
      <c r="B24" s="290"/>
      <c r="C24" s="292"/>
      <c r="D24" s="187" t="s">
        <v>53</v>
      </c>
      <c r="E24" s="284"/>
      <c r="F24" s="44">
        <f t="shared" ref="F24" si="48">E23/100*$C$5</f>
        <v>8.1600000000000006E-3</v>
      </c>
      <c r="G24" s="44"/>
      <c r="H24" s="44">
        <f t="shared" ref="H24" si="49">F24+G24+J23</f>
        <v>8.1360000000000002E-2</v>
      </c>
      <c r="I24" s="90"/>
      <c r="J24" s="44">
        <f t="shared" si="3"/>
        <v>8.1360000000000002E-2</v>
      </c>
      <c r="K24" s="45">
        <f t="shared" si="4"/>
        <v>0</v>
      </c>
      <c r="L24" s="280"/>
      <c r="M24" s="280"/>
      <c r="N24" s="280"/>
      <c r="O24" s="280"/>
      <c r="P24" s="280"/>
      <c r="Q24" s="251"/>
    </row>
    <row r="25" spans="2:17" x14ac:dyDescent="0.2">
      <c r="B25" s="290"/>
      <c r="C25" s="292" t="s">
        <v>31</v>
      </c>
      <c r="D25" s="187" t="s">
        <v>52</v>
      </c>
      <c r="E25" s="284">
        <v>14.187989999999999</v>
      </c>
      <c r="F25" s="44">
        <f t="shared" ref="F25" si="50">E25/100*$C$4</f>
        <v>129.8201085</v>
      </c>
      <c r="G25" s="44">
        <f>47.801+56.2058271+20.9128-20.9128</f>
        <v>104.00682710000001</v>
      </c>
      <c r="H25" s="44">
        <f>F25+G25</f>
        <v>233.82693560000001</v>
      </c>
      <c r="I25" s="90">
        <f>17.205+119.053+84.528</f>
        <v>220.786</v>
      </c>
      <c r="J25" s="44">
        <f t="shared" si="3"/>
        <v>13.040935600000012</v>
      </c>
      <c r="K25" s="45">
        <f t="shared" si="4"/>
        <v>0.9442282576789669</v>
      </c>
      <c r="L25" s="250">
        <f t="shared" ref="L25" si="51">F25+F26</f>
        <v>144.2918583</v>
      </c>
      <c r="M25" s="250">
        <f t="shared" ref="M25" si="52">G25+G26</f>
        <v>104.00682710000001</v>
      </c>
      <c r="N25" s="250">
        <f t="shared" ref="N25" si="53">L25+M25</f>
        <v>248.29868540000001</v>
      </c>
      <c r="O25" s="324">
        <f t="shared" ref="O25" si="54">I25+I26</f>
        <v>246.75700000000001</v>
      </c>
      <c r="P25" s="250">
        <f t="shared" ref="P25" si="55">N25-O25</f>
        <v>1.5416854000000058</v>
      </c>
      <c r="Q25" s="251">
        <f t="shared" ref="Q25" si="56">O25/N25</f>
        <v>0.9937910045817745</v>
      </c>
    </row>
    <row r="26" spans="2:17" x14ac:dyDescent="0.2">
      <c r="B26" s="290"/>
      <c r="C26" s="292"/>
      <c r="D26" s="187" t="s">
        <v>53</v>
      </c>
      <c r="E26" s="284"/>
      <c r="F26" s="44">
        <f t="shared" ref="F26" si="57">E25/100*$C$5</f>
        <v>14.4717498</v>
      </c>
      <c r="G26" s="44"/>
      <c r="H26" s="44">
        <f t="shared" ref="H26" si="58">F26+G26+J25</f>
        <v>27.512685400000009</v>
      </c>
      <c r="I26" s="90">
        <v>25.971</v>
      </c>
      <c r="J26" s="44">
        <f t="shared" si="3"/>
        <v>1.5416854000000093</v>
      </c>
      <c r="K26" s="45">
        <f t="shared" si="4"/>
        <v>0.94396456116203009</v>
      </c>
      <c r="L26" s="280"/>
      <c r="M26" s="280"/>
      <c r="N26" s="280"/>
      <c r="O26" s="325"/>
      <c r="P26" s="280"/>
      <c r="Q26" s="251"/>
    </row>
    <row r="27" spans="2:17" x14ac:dyDescent="0.2">
      <c r="B27" s="290"/>
      <c r="C27" s="292" t="s">
        <v>32</v>
      </c>
      <c r="D27" s="187" t="s">
        <v>52</v>
      </c>
      <c r="E27" s="284">
        <v>0.1</v>
      </c>
      <c r="F27" s="44">
        <f t="shared" ref="F27" si="59">E27/100*$C$4</f>
        <v>0.91500000000000004</v>
      </c>
      <c r="G27" s="44"/>
      <c r="H27" s="44">
        <f t="shared" ref="H27" si="60">F27+G27</f>
        <v>0.91500000000000004</v>
      </c>
      <c r="I27" s="90"/>
      <c r="J27" s="44">
        <f t="shared" si="3"/>
        <v>0.91500000000000004</v>
      </c>
      <c r="K27" s="45">
        <f t="shared" si="4"/>
        <v>0</v>
      </c>
      <c r="L27" s="250">
        <f t="shared" ref="L27" si="61">F27+F28</f>
        <v>1.0170000000000001</v>
      </c>
      <c r="M27" s="250">
        <f t="shared" ref="M27" si="62">G27+G28</f>
        <v>0</v>
      </c>
      <c r="N27" s="250">
        <f t="shared" ref="N27" si="63">L27+M27</f>
        <v>1.0170000000000001</v>
      </c>
      <c r="O27" s="250">
        <f t="shared" ref="O27" si="64">I27+I28</f>
        <v>0</v>
      </c>
      <c r="P27" s="250">
        <f t="shared" ref="P27" si="65">N27-O27</f>
        <v>1.0170000000000001</v>
      </c>
      <c r="Q27" s="251">
        <f t="shared" ref="Q27" si="66">O27/N27</f>
        <v>0</v>
      </c>
    </row>
    <row r="28" spans="2:17" x14ac:dyDescent="0.2">
      <c r="B28" s="290"/>
      <c r="C28" s="292"/>
      <c r="D28" s="187" t="s">
        <v>53</v>
      </c>
      <c r="E28" s="284"/>
      <c r="F28" s="44">
        <f t="shared" ref="F28" si="67">E27/100*$C$5</f>
        <v>0.10200000000000001</v>
      </c>
      <c r="G28" s="44"/>
      <c r="H28" s="44">
        <f t="shared" ref="H28" si="68">F28+G28+J27</f>
        <v>1.0170000000000001</v>
      </c>
      <c r="I28" s="90"/>
      <c r="J28" s="44">
        <f t="shared" si="3"/>
        <v>1.0170000000000001</v>
      </c>
      <c r="K28" s="45">
        <f t="shared" si="4"/>
        <v>0</v>
      </c>
      <c r="L28" s="280"/>
      <c r="M28" s="280"/>
      <c r="N28" s="280"/>
      <c r="O28" s="280"/>
      <c r="P28" s="280"/>
      <c r="Q28" s="251"/>
    </row>
    <row r="29" spans="2:17" x14ac:dyDescent="0.2">
      <c r="B29" s="290"/>
      <c r="C29" s="292" t="s">
        <v>33</v>
      </c>
      <c r="D29" s="187" t="s">
        <v>52</v>
      </c>
      <c r="E29" s="284">
        <v>2.5799999999999998E-3</v>
      </c>
      <c r="F29" s="44">
        <f t="shared" ref="F29" si="69">E29/100*$C$4</f>
        <v>2.3606999999999996E-2</v>
      </c>
      <c r="G29" s="44">
        <v>3.4000000000000002E-2</v>
      </c>
      <c r="H29" s="44">
        <f t="shared" ref="H29" si="70">F29+G29</f>
        <v>5.7606999999999998E-2</v>
      </c>
      <c r="I29" s="90">
        <v>0.04</v>
      </c>
      <c r="J29" s="44">
        <f t="shared" si="3"/>
        <v>1.7606999999999998E-2</v>
      </c>
      <c r="K29" s="45">
        <f t="shared" si="4"/>
        <v>0.6943600604093253</v>
      </c>
      <c r="L29" s="250">
        <f t="shared" ref="L29" si="71">F29+F30</f>
        <v>2.6238599999999994E-2</v>
      </c>
      <c r="M29" s="250">
        <f t="shared" ref="M29" si="72">G29+G30</f>
        <v>3.4000000000000002E-2</v>
      </c>
      <c r="N29" s="250">
        <f t="shared" ref="N29" si="73">L29+M29</f>
        <v>6.0238599999999996E-2</v>
      </c>
      <c r="O29" s="324">
        <f t="shared" ref="O29" si="74">I29+I30</f>
        <v>0.04</v>
      </c>
      <c r="P29" s="250">
        <f t="shared" ref="P29" si="75">N29-O29</f>
        <v>2.0238599999999995E-2</v>
      </c>
      <c r="Q29" s="251">
        <f t="shared" ref="Q29" si="76">O29/N29</f>
        <v>0.66402605638245249</v>
      </c>
    </row>
    <row r="30" spans="2:17" x14ac:dyDescent="0.2">
      <c r="B30" s="290"/>
      <c r="C30" s="292"/>
      <c r="D30" s="187" t="s">
        <v>53</v>
      </c>
      <c r="E30" s="284"/>
      <c r="F30" s="44">
        <f t="shared" ref="F30" si="77">E29/100*$C$5</f>
        <v>2.6315999999999996E-3</v>
      </c>
      <c r="G30" s="44"/>
      <c r="H30" s="44">
        <f t="shared" ref="H30" si="78">F30+G30+J29</f>
        <v>2.0238599999999995E-2</v>
      </c>
      <c r="I30" s="90"/>
      <c r="J30" s="44">
        <f t="shared" si="3"/>
        <v>2.0238599999999995E-2</v>
      </c>
      <c r="K30" s="45">
        <f t="shared" si="4"/>
        <v>0</v>
      </c>
      <c r="L30" s="280"/>
      <c r="M30" s="280"/>
      <c r="N30" s="280"/>
      <c r="O30" s="325"/>
      <c r="P30" s="280"/>
      <c r="Q30" s="251"/>
    </row>
    <row r="31" spans="2:17" x14ac:dyDescent="0.2">
      <c r="B31" s="290"/>
      <c r="C31" s="292" t="s">
        <v>35</v>
      </c>
      <c r="D31" s="187" t="s">
        <v>52</v>
      </c>
      <c r="E31" s="284">
        <v>14.166137000000001</v>
      </c>
      <c r="F31" s="44">
        <f t="shared" ref="F31" si="79">E31/100*$C$4</f>
        <v>129.62015355</v>
      </c>
      <c r="G31" s="44">
        <f>-Hoja1!S10-37.72746</f>
        <v>-122.74866</v>
      </c>
      <c r="H31" s="44">
        <f>F31+G31</f>
        <v>6.8714935499999967</v>
      </c>
      <c r="I31" s="90"/>
      <c r="J31" s="44">
        <f t="shared" si="3"/>
        <v>6.8714935499999967</v>
      </c>
      <c r="K31" s="45">
        <f t="shared" si="4"/>
        <v>0</v>
      </c>
      <c r="L31" s="250">
        <f t="shared" ref="L31" si="80">F31+F32</f>
        <v>144.06961329000001</v>
      </c>
      <c r="M31" s="250">
        <f t="shared" ref="M31" si="81">G31+G32</f>
        <v>-122.74866</v>
      </c>
      <c r="N31" s="250">
        <f t="shared" ref="N31" si="82">L31+M31</f>
        <v>21.320953290000006</v>
      </c>
      <c r="O31" s="250">
        <f t="shared" ref="O31" si="83">I31+I32</f>
        <v>0</v>
      </c>
      <c r="P31" s="250">
        <f t="shared" ref="P31" si="84">N31-O31</f>
        <v>21.320953290000006</v>
      </c>
      <c r="Q31" s="251">
        <f t="shared" ref="Q31" si="85">O31/N31</f>
        <v>0</v>
      </c>
    </row>
    <row r="32" spans="2:17" x14ac:dyDescent="0.2">
      <c r="B32" s="290"/>
      <c r="C32" s="292"/>
      <c r="D32" s="187" t="s">
        <v>53</v>
      </c>
      <c r="E32" s="284"/>
      <c r="F32" s="44">
        <f t="shared" ref="F32" si="86">E31/100*$C$5</f>
        <v>14.449459740000002</v>
      </c>
      <c r="G32" s="44"/>
      <c r="H32" s="44">
        <f t="shared" ref="H32" si="87">F32+G32+J31</f>
        <v>21.320953289999999</v>
      </c>
      <c r="I32" s="90"/>
      <c r="J32" s="44">
        <f t="shared" si="3"/>
        <v>21.320953289999999</v>
      </c>
      <c r="K32" s="45">
        <f t="shared" si="4"/>
        <v>0</v>
      </c>
      <c r="L32" s="280"/>
      <c r="M32" s="280"/>
      <c r="N32" s="280"/>
      <c r="O32" s="280"/>
      <c r="P32" s="280"/>
      <c r="Q32" s="251"/>
    </row>
    <row r="33" spans="2:17" x14ac:dyDescent="0.2">
      <c r="B33" s="290"/>
      <c r="C33" s="292" t="s">
        <v>36</v>
      </c>
      <c r="D33" s="187" t="s">
        <v>52</v>
      </c>
      <c r="E33" s="284">
        <v>2.0100000000000001E-3</v>
      </c>
      <c r="F33" s="44">
        <f t="shared" ref="F33" si="88">E33/100*$C$4</f>
        <v>1.8391500000000002E-2</v>
      </c>
      <c r="G33" s="44"/>
      <c r="H33" s="44">
        <f t="shared" ref="H33" si="89">F33+G33</f>
        <v>1.8391500000000002E-2</v>
      </c>
      <c r="I33" s="90"/>
      <c r="J33" s="44">
        <f t="shared" si="3"/>
        <v>1.8391500000000002E-2</v>
      </c>
      <c r="K33" s="45">
        <f t="shared" si="4"/>
        <v>0</v>
      </c>
      <c r="L33" s="250">
        <f t="shared" ref="L33" si="90">F33+F34</f>
        <v>2.04417E-2</v>
      </c>
      <c r="M33" s="250">
        <f t="shared" ref="M33" si="91">G33+G34</f>
        <v>0</v>
      </c>
      <c r="N33" s="250">
        <f t="shared" ref="N33" si="92">L33+M33</f>
        <v>2.04417E-2</v>
      </c>
      <c r="O33" s="250">
        <f t="shared" ref="O33" si="93">I33+I34</f>
        <v>0</v>
      </c>
      <c r="P33" s="250">
        <f t="shared" ref="P33" si="94">N33-O33</f>
        <v>2.04417E-2</v>
      </c>
      <c r="Q33" s="251">
        <f t="shared" ref="Q33" si="95">O33/N33</f>
        <v>0</v>
      </c>
    </row>
    <row r="34" spans="2:17" x14ac:dyDescent="0.2">
      <c r="B34" s="290"/>
      <c r="C34" s="292"/>
      <c r="D34" s="187" t="s">
        <v>53</v>
      </c>
      <c r="E34" s="284"/>
      <c r="F34" s="44">
        <f t="shared" ref="F34" si="96">E33/100*$C$5</f>
        <v>2.0502000000000003E-3</v>
      </c>
      <c r="G34" s="44"/>
      <c r="H34" s="44">
        <f t="shared" ref="H34" si="97">F34+G34+J33</f>
        <v>2.04417E-2</v>
      </c>
      <c r="I34" s="90"/>
      <c r="J34" s="44">
        <f t="shared" si="3"/>
        <v>2.04417E-2</v>
      </c>
      <c r="K34" s="45">
        <f t="shared" si="4"/>
        <v>0</v>
      </c>
      <c r="L34" s="280"/>
      <c r="M34" s="280"/>
      <c r="N34" s="280"/>
      <c r="O34" s="280"/>
      <c r="P34" s="280"/>
      <c r="Q34" s="251"/>
    </row>
    <row r="35" spans="2:17" x14ac:dyDescent="0.2">
      <c r="B35" s="290"/>
      <c r="C35" s="292" t="s">
        <v>37</v>
      </c>
      <c r="D35" s="187" t="s">
        <v>52</v>
      </c>
      <c r="E35" s="284">
        <v>0.35650500000000002</v>
      </c>
      <c r="F35" s="44">
        <f t="shared" ref="F35" si="98">E35/100*$C$4</f>
        <v>3.26202075</v>
      </c>
      <c r="G35" s="44"/>
      <c r="H35" s="44">
        <f t="shared" ref="H35" si="99">F35+G35</f>
        <v>3.26202075</v>
      </c>
      <c r="I35" s="90"/>
      <c r="J35" s="44">
        <f t="shared" si="3"/>
        <v>3.26202075</v>
      </c>
      <c r="K35" s="45">
        <f t="shared" si="4"/>
        <v>0</v>
      </c>
      <c r="L35" s="250">
        <f t="shared" ref="L35" si="100">F35+F36</f>
        <v>3.6256558500000002</v>
      </c>
      <c r="M35" s="250">
        <f t="shared" ref="M35" si="101">G35+G36</f>
        <v>0</v>
      </c>
      <c r="N35" s="250">
        <f t="shared" ref="N35" si="102">L35+M35</f>
        <v>3.6256558500000002</v>
      </c>
      <c r="O35" s="250">
        <f t="shared" ref="O35" si="103">I35+I36</f>
        <v>0</v>
      </c>
      <c r="P35" s="250">
        <f t="shared" ref="P35" si="104">N35-O35</f>
        <v>3.6256558500000002</v>
      </c>
      <c r="Q35" s="251">
        <f t="shared" ref="Q35" si="105">O35/N35</f>
        <v>0</v>
      </c>
    </row>
    <row r="36" spans="2:17" x14ac:dyDescent="0.2">
      <c r="B36" s="290"/>
      <c r="C36" s="292"/>
      <c r="D36" s="187" t="s">
        <v>53</v>
      </c>
      <c r="E36" s="284"/>
      <c r="F36" s="44">
        <f t="shared" ref="F36" si="106">E35/100*$C$5</f>
        <v>0.36363509999999999</v>
      </c>
      <c r="G36" s="44"/>
      <c r="H36" s="44">
        <f t="shared" ref="H36" si="107">F36+G36+J35</f>
        <v>3.6256558500000002</v>
      </c>
      <c r="I36" s="90"/>
      <c r="J36" s="44">
        <f t="shared" si="3"/>
        <v>3.6256558500000002</v>
      </c>
      <c r="K36" s="45">
        <f t="shared" si="4"/>
        <v>0</v>
      </c>
      <c r="L36" s="280"/>
      <c r="M36" s="280"/>
      <c r="N36" s="280"/>
      <c r="O36" s="280"/>
      <c r="P36" s="280"/>
      <c r="Q36" s="251"/>
    </row>
    <row r="37" spans="2:17" x14ac:dyDescent="0.2">
      <c r="B37" s="290"/>
      <c r="C37" s="292" t="s">
        <v>38</v>
      </c>
      <c r="D37" s="187" t="s">
        <v>52</v>
      </c>
      <c r="E37" s="284">
        <v>5.5266299999999999</v>
      </c>
      <c r="F37" s="160">
        <f t="shared" ref="F37" si="108">E37/100*$C$4</f>
        <v>50.568664499999997</v>
      </c>
      <c r="G37" s="160">
        <v>-56.206000000000003</v>
      </c>
      <c r="H37" s="160">
        <f t="shared" ref="H37" si="109">F37+G37</f>
        <v>-5.637335500000006</v>
      </c>
      <c r="I37" s="90"/>
      <c r="J37" s="160">
        <f t="shared" ref="J37:J38" si="110">H37-I37</f>
        <v>-5.637335500000006</v>
      </c>
      <c r="K37" s="45">
        <f t="shared" ref="K37:K38" si="111">I37/H37</f>
        <v>0</v>
      </c>
      <c r="L37" s="250">
        <f t="shared" ref="L37" si="112">F37+F38</f>
        <v>56.205827099999993</v>
      </c>
      <c r="M37" s="250">
        <f t="shared" ref="M37" si="113">G37+G38</f>
        <v>-56.206000000000003</v>
      </c>
      <c r="N37" s="250">
        <f t="shared" ref="N37" si="114">L37+M37</f>
        <v>-1.729000000096903E-4</v>
      </c>
      <c r="O37" s="250">
        <f t="shared" ref="O37" si="115">I37+I38</f>
        <v>0</v>
      </c>
      <c r="P37" s="250">
        <f t="shared" ref="P37" si="116">N37-O37</f>
        <v>-1.729000000096903E-4</v>
      </c>
      <c r="Q37" s="251">
        <f t="shared" ref="Q37" si="117">O37/N37</f>
        <v>0</v>
      </c>
    </row>
    <row r="38" spans="2:17" x14ac:dyDescent="0.2">
      <c r="B38" s="290"/>
      <c r="C38" s="292"/>
      <c r="D38" s="187" t="s">
        <v>53</v>
      </c>
      <c r="E38" s="284"/>
      <c r="F38" s="160">
        <f t="shared" ref="F38" si="118">E37/100*$C$5</f>
        <v>5.6371625999999999</v>
      </c>
      <c r="G38" s="160"/>
      <c r="H38" s="160">
        <f t="shared" ref="H38" si="119">F38+G38+J37</f>
        <v>-1.7290000000613759E-4</v>
      </c>
      <c r="I38" s="90"/>
      <c r="J38" s="160">
        <f t="shared" si="110"/>
        <v>-1.7290000000613759E-4</v>
      </c>
      <c r="K38" s="45">
        <f t="shared" si="111"/>
        <v>0</v>
      </c>
      <c r="L38" s="280"/>
      <c r="M38" s="280"/>
      <c r="N38" s="280"/>
      <c r="O38" s="280"/>
      <c r="P38" s="280"/>
      <c r="Q38" s="251"/>
    </row>
    <row r="39" spans="2:17" x14ac:dyDescent="0.2">
      <c r="B39" s="290"/>
      <c r="C39" s="292" t="s">
        <v>170</v>
      </c>
      <c r="D39" s="187" t="s">
        <v>52</v>
      </c>
      <c r="E39" s="284">
        <v>5.4599999999999996E-3</v>
      </c>
      <c r="F39" s="185">
        <f t="shared" ref="F39" si="120">E39/100*$C$4</f>
        <v>4.9958999999999996E-2</v>
      </c>
      <c r="G39" s="185"/>
      <c r="H39" s="185">
        <f t="shared" ref="H39" si="121">F39+G39</f>
        <v>4.9958999999999996E-2</v>
      </c>
      <c r="I39" s="90"/>
      <c r="J39" s="185">
        <f t="shared" ref="J39:J40" si="122">H39-I39</f>
        <v>4.9958999999999996E-2</v>
      </c>
      <c r="K39" s="45">
        <f t="shared" ref="K39:K40" si="123">I39/H39</f>
        <v>0</v>
      </c>
      <c r="L39" s="250">
        <f t="shared" ref="L39" si="124">F39+F40</f>
        <v>5.55282E-2</v>
      </c>
      <c r="M39" s="250">
        <f t="shared" ref="M39" si="125">G39+G40</f>
        <v>0</v>
      </c>
      <c r="N39" s="250">
        <f t="shared" ref="N39" si="126">L39+M39</f>
        <v>5.55282E-2</v>
      </c>
      <c r="O39" s="250">
        <f t="shared" ref="O39" si="127">I39+I40</f>
        <v>0</v>
      </c>
      <c r="P39" s="250">
        <f t="shared" ref="P39" si="128">N39-O39</f>
        <v>5.55282E-2</v>
      </c>
      <c r="Q39" s="251">
        <f t="shared" ref="Q39" si="129">O39/N39</f>
        <v>0</v>
      </c>
    </row>
    <row r="40" spans="2:17" x14ac:dyDescent="0.2">
      <c r="B40" s="290"/>
      <c r="C40" s="292"/>
      <c r="D40" s="187" t="s">
        <v>53</v>
      </c>
      <c r="E40" s="284"/>
      <c r="F40" s="185">
        <f t="shared" ref="F40" si="130">E39/100*$C$5</f>
        <v>5.5691999999999998E-3</v>
      </c>
      <c r="G40" s="185"/>
      <c r="H40" s="185">
        <f t="shared" ref="H40" si="131">F40+G40+J39</f>
        <v>5.55282E-2</v>
      </c>
      <c r="I40" s="90"/>
      <c r="J40" s="185">
        <f t="shared" si="122"/>
        <v>5.55282E-2</v>
      </c>
      <c r="K40" s="45">
        <f t="shared" si="123"/>
        <v>0</v>
      </c>
      <c r="L40" s="280"/>
      <c r="M40" s="280"/>
      <c r="N40" s="280"/>
      <c r="O40" s="280"/>
      <c r="P40" s="280"/>
      <c r="Q40" s="251"/>
    </row>
    <row r="41" spans="2:17" x14ac:dyDescent="0.2">
      <c r="B41" s="290"/>
      <c r="C41" s="292" t="s">
        <v>156</v>
      </c>
      <c r="D41" s="119" t="s">
        <v>52</v>
      </c>
      <c r="E41" s="278">
        <v>4.48E-2</v>
      </c>
      <c r="F41" s="44">
        <f>E41/100*$C$4</f>
        <v>0.40992000000000001</v>
      </c>
      <c r="G41" s="44"/>
      <c r="H41" s="44">
        <f t="shared" ref="H41" si="132">F41+G41</f>
        <v>0.40992000000000001</v>
      </c>
      <c r="I41" s="90"/>
      <c r="J41" s="44">
        <f t="shared" si="3"/>
        <v>0.40992000000000001</v>
      </c>
      <c r="K41" s="45">
        <f t="shared" si="4"/>
        <v>0</v>
      </c>
      <c r="L41" s="250">
        <f t="shared" ref="L41" si="133">F41+F42</f>
        <v>0.45561600000000002</v>
      </c>
      <c r="M41" s="250">
        <f t="shared" ref="M41" si="134">G41+G42</f>
        <v>0</v>
      </c>
      <c r="N41" s="250">
        <f t="shared" ref="N41" si="135">L41+M41</f>
        <v>0.45561600000000002</v>
      </c>
      <c r="O41" s="250">
        <f t="shared" ref="O41" si="136">I41+I42</f>
        <v>0</v>
      </c>
      <c r="P41" s="250">
        <f t="shared" ref="P41" si="137">N41-O41</f>
        <v>0.45561600000000002</v>
      </c>
      <c r="Q41" s="251">
        <f t="shared" ref="Q41" si="138">O41/N41</f>
        <v>0</v>
      </c>
    </row>
    <row r="42" spans="2:17" ht="12.75" thickBot="1" x14ac:dyDescent="0.25">
      <c r="B42" s="291"/>
      <c r="C42" s="294"/>
      <c r="D42" s="133" t="s">
        <v>53</v>
      </c>
      <c r="E42" s="283"/>
      <c r="F42" s="105">
        <f>E41/100*$C$5</f>
        <v>4.5696000000000001E-2</v>
      </c>
      <c r="G42" s="105"/>
      <c r="H42" s="105">
        <f t="shared" ref="H42" si="139">F42+G42+J41</f>
        <v>0.45561600000000002</v>
      </c>
      <c r="I42" s="134"/>
      <c r="J42" s="105">
        <f t="shared" si="3"/>
        <v>0.45561600000000002</v>
      </c>
      <c r="K42" s="106">
        <f t="shared" si="4"/>
        <v>0</v>
      </c>
      <c r="L42" s="282"/>
      <c r="M42" s="282"/>
      <c r="N42" s="282"/>
      <c r="O42" s="282"/>
      <c r="P42" s="282"/>
      <c r="Q42" s="254"/>
    </row>
    <row r="43" spans="2:17" ht="12" customHeight="1" x14ac:dyDescent="0.2">
      <c r="B43" s="304" t="s">
        <v>107</v>
      </c>
      <c r="C43" s="286" t="s">
        <v>24</v>
      </c>
      <c r="D43" s="131" t="s">
        <v>52</v>
      </c>
      <c r="E43" s="277">
        <v>9.07</v>
      </c>
      <c r="F43" s="43">
        <f>E43/100*$D$4</f>
        <v>101.4933</v>
      </c>
      <c r="G43" s="43">
        <v>-80</v>
      </c>
      <c r="H43" s="43">
        <f t="shared" ref="H43" si="140">F43+G43</f>
        <v>21.493300000000005</v>
      </c>
      <c r="I43" s="122">
        <v>21.393000000000001</v>
      </c>
      <c r="J43" s="43">
        <f t="shared" si="3"/>
        <v>0.10030000000000427</v>
      </c>
      <c r="K43" s="41">
        <f t="shared" si="4"/>
        <v>0.99533342948732839</v>
      </c>
      <c r="L43" s="281">
        <f>F43+F44</f>
        <v>112.74010000000001</v>
      </c>
      <c r="M43" s="281">
        <f>G43+G44</f>
        <v>-80</v>
      </c>
      <c r="N43" s="281">
        <f>L43+M43</f>
        <v>32.740100000000012</v>
      </c>
      <c r="O43" s="326">
        <f t="shared" ref="O43" si="141">I43+I44</f>
        <v>31.113</v>
      </c>
      <c r="P43" s="281">
        <f>N43-O43</f>
        <v>1.6271000000000129</v>
      </c>
      <c r="Q43" s="279">
        <f t="shared" ref="Q43" si="142">O43/N43</f>
        <v>0.95030253420117805</v>
      </c>
    </row>
    <row r="44" spans="2:17" x14ac:dyDescent="0.2">
      <c r="B44" s="305"/>
      <c r="C44" s="276"/>
      <c r="D44" s="120" t="s">
        <v>53</v>
      </c>
      <c r="E44" s="278"/>
      <c r="F44" s="44">
        <f>E43/100*$D$5</f>
        <v>11.2468</v>
      </c>
      <c r="G44" s="44"/>
      <c r="H44" s="44">
        <f t="shared" ref="H44" si="143">F44+G44+J43</f>
        <v>11.347100000000005</v>
      </c>
      <c r="I44" s="90">
        <v>9.7200000000000006</v>
      </c>
      <c r="J44" s="44">
        <f t="shared" si="3"/>
        <v>1.627100000000004</v>
      </c>
      <c r="K44" s="45">
        <f t="shared" si="4"/>
        <v>0.85660653382802621</v>
      </c>
      <c r="L44" s="280"/>
      <c r="M44" s="280"/>
      <c r="N44" s="280"/>
      <c r="O44" s="325"/>
      <c r="P44" s="280"/>
      <c r="Q44" s="251"/>
    </row>
    <row r="45" spans="2:17" x14ac:dyDescent="0.2">
      <c r="B45" s="305"/>
      <c r="C45" s="276" t="s">
        <v>25</v>
      </c>
      <c r="D45" s="120" t="s">
        <v>52</v>
      </c>
      <c r="E45" s="277">
        <v>1.5226230000000001</v>
      </c>
      <c r="F45" s="44">
        <f t="shared" ref="F45" si="144">E45/100*$D$4</f>
        <v>17.038151370000001</v>
      </c>
      <c r="G45" s="44"/>
      <c r="H45" s="44">
        <f t="shared" ref="H45" si="145">F45+G45</f>
        <v>17.038151370000001</v>
      </c>
      <c r="I45" s="90">
        <v>0.113</v>
      </c>
      <c r="J45" s="44">
        <f t="shared" si="3"/>
        <v>16.925151370000002</v>
      </c>
      <c r="K45" s="45">
        <f t="shared" si="4"/>
        <v>6.6321749083040338E-3</v>
      </c>
      <c r="L45" s="250">
        <f t="shared" ref="L45" si="146">F45+F46</f>
        <v>18.92620389</v>
      </c>
      <c r="M45" s="250">
        <f t="shared" ref="M45" si="147">G45+G46</f>
        <v>0</v>
      </c>
      <c r="N45" s="250">
        <f t="shared" ref="N45" si="148">L45+M45</f>
        <v>18.92620389</v>
      </c>
      <c r="O45" s="250">
        <f t="shared" ref="O45" si="149">I45+I46</f>
        <v>0.113</v>
      </c>
      <c r="P45" s="250">
        <f t="shared" ref="P45" si="150">N45-O45</f>
        <v>18.81320389</v>
      </c>
      <c r="Q45" s="251">
        <f t="shared" ref="Q45" si="151">O45/N45</f>
        <v>5.9705581032922081E-3</v>
      </c>
    </row>
    <row r="46" spans="2:17" x14ac:dyDescent="0.2">
      <c r="B46" s="305"/>
      <c r="C46" s="276"/>
      <c r="D46" s="120" t="s">
        <v>53</v>
      </c>
      <c r="E46" s="278"/>
      <c r="F46" s="44">
        <f t="shared" ref="F46" si="152">E45/100*$D$5</f>
        <v>1.88805252</v>
      </c>
      <c r="G46" s="44"/>
      <c r="H46" s="44">
        <f t="shared" ref="H46" si="153">F46+G46+J45</f>
        <v>18.81320389</v>
      </c>
      <c r="I46" s="90"/>
      <c r="J46" s="44">
        <f t="shared" si="3"/>
        <v>18.81320389</v>
      </c>
      <c r="K46" s="45">
        <f t="shared" si="4"/>
        <v>0</v>
      </c>
      <c r="L46" s="280"/>
      <c r="M46" s="280"/>
      <c r="N46" s="280"/>
      <c r="O46" s="280"/>
      <c r="P46" s="280"/>
      <c r="Q46" s="251"/>
    </row>
    <row r="47" spans="2:17" x14ac:dyDescent="0.2">
      <c r="B47" s="305"/>
      <c r="C47" s="276" t="s">
        <v>27</v>
      </c>
      <c r="D47" s="120" t="s">
        <v>52</v>
      </c>
      <c r="E47" s="277">
        <v>24.85454</v>
      </c>
      <c r="F47" s="44">
        <f t="shared" ref="F47" si="154">E47/100*$D$4</f>
        <v>278.12230260000001</v>
      </c>
      <c r="G47" s="44">
        <f>-200-22</f>
        <v>-222</v>
      </c>
      <c r="H47" s="44">
        <f t="shared" ref="H47" si="155">F47+G47</f>
        <v>56.122302600000012</v>
      </c>
      <c r="I47" s="90">
        <v>76.649000000000001</v>
      </c>
      <c r="J47" s="44">
        <f t="shared" si="3"/>
        <v>-20.526697399999989</v>
      </c>
      <c r="K47" s="45">
        <f t="shared" si="4"/>
        <v>1.3657493803541836</v>
      </c>
      <c r="L47" s="250">
        <f t="shared" ref="L47" si="156">F47+F48</f>
        <v>308.9419322</v>
      </c>
      <c r="M47" s="250">
        <f t="shared" ref="M47" si="157">G47+G48</f>
        <v>-222</v>
      </c>
      <c r="N47" s="250">
        <f t="shared" ref="N47" si="158">L47+M47</f>
        <v>86.941932199999997</v>
      </c>
      <c r="O47" s="324">
        <f t="shared" ref="O47" si="159">I47+I48</f>
        <v>76.649000000000001</v>
      </c>
      <c r="P47" s="250">
        <f t="shared" ref="P47" si="160">N47-O47</f>
        <v>10.292932199999996</v>
      </c>
      <c r="Q47" s="251">
        <f t="shared" ref="Q47" si="161">O47/N47</f>
        <v>0.88161141649897679</v>
      </c>
    </row>
    <row r="48" spans="2:17" x14ac:dyDescent="0.2">
      <c r="B48" s="305"/>
      <c r="C48" s="276"/>
      <c r="D48" s="120" t="s">
        <v>53</v>
      </c>
      <c r="E48" s="278"/>
      <c r="F48" s="44">
        <f t="shared" ref="F48" si="162">E47/100*$D$5</f>
        <v>30.819629599999999</v>
      </c>
      <c r="G48" s="44"/>
      <c r="H48" s="44">
        <f t="shared" ref="H48" si="163">F48+G48+J47</f>
        <v>10.29293220000001</v>
      </c>
      <c r="I48" s="90"/>
      <c r="J48" s="44">
        <f t="shared" si="3"/>
        <v>10.29293220000001</v>
      </c>
      <c r="K48" s="45">
        <f t="shared" si="4"/>
        <v>0</v>
      </c>
      <c r="L48" s="280"/>
      <c r="M48" s="280"/>
      <c r="N48" s="280"/>
      <c r="O48" s="325"/>
      <c r="P48" s="280"/>
      <c r="Q48" s="251"/>
    </row>
    <row r="49" spans="2:17" x14ac:dyDescent="0.2">
      <c r="B49" s="305"/>
      <c r="C49" s="276" t="s">
        <v>28</v>
      </c>
      <c r="D49" s="120" t="s">
        <v>52</v>
      </c>
      <c r="E49" s="277">
        <v>29.884252</v>
      </c>
      <c r="F49" s="44">
        <f t="shared" ref="F49" si="164">E49/100*$D$4</f>
        <v>334.40477987999998</v>
      </c>
      <c r="G49" s="44">
        <f>Hoja1!T10-65.54-36.386+200+80-26.216+46.11134-22.6+22</f>
        <v>301.28413999999992</v>
      </c>
      <c r="H49" s="44">
        <f t="shared" ref="H49" si="165">F49+G49</f>
        <v>635.68891987999996</v>
      </c>
      <c r="I49" s="90">
        <v>230.155</v>
      </c>
      <c r="J49" s="44">
        <f t="shared" si="3"/>
        <v>405.53391987999998</v>
      </c>
      <c r="K49" s="45">
        <f t="shared" si="4"/>
        <v>0.36205601954403538</v>
      </c>
      <c r="L49" s="250">
        <f t="shared" ref="L49" si="166">F49+F50</f>
        <v>371.46125236</v>
      </c>
      <c r="M49" s="250">
        <f t="shared" ref="M49" si="167">G49+G50</f>
        <v>304.77413999999993</v>
      </c>
      <c r="N49" s="250">
        <f t="shared" ref="N49" si="168">L49+M49</f>
        <v>676.23539235999988</v>
      </c>
      <c r="O49" s="324">
        <f t="shared" ref="O49" si="169">I49+I50</f>
        <v>624.09799999999996</v>
      </c>
      <c r="P49" s="250">
        <f t="shared" ref="P49" si="170">N49-O49</f>
        <v>52.137392359999922</v>
      </c>
      <c r="Q49" s="251">
        <f t="shared" ref="Q49" si="171">O49/N49</f>
        <v>0.92290052702204006</v>
      </c>
    </row>
    <row r="50" spans="2:17" x14ac:dyDescent="0.2">
      <c r="B50" s="305"/>
      <c r="C50" s="276"/>
      <c r="D50" s="120" t="s">
        <v>53</v>
      </c>
      <c r="E50" s="278"/>
      <c r="F50" s="44">
        <f t="shared" ref="F50" si="172">E49/100*$D$5</f>
        <v>37.056472479999996</v>
      </c>
      <c r="G50" s="44">
        <f>-33.9+37.39</f>
        <v>3.490000000000002</v>
      </c>
      <c r="H50" s="44">
        <f t="shared" ref="H50" si="173">F50+G50+J49</f>
        <v>446.08039235999996</v>
      </c>
      <c r="I50" s="90">
        <v>393.94299999999998</v>
      </c>
      <c r="J50" s="44">
        <f t="shared" si="3"/>
        <v>52.137392359999978</v>
      </c>
      <c r="K50" s="45">
        <f t="shared" si="4"/>
        <v>0.88312108477988516</v>
      </c>
      <c r="L50" s="280"/>
      <c r="M50" s="280"/>
      <c r="N50" s="280"/>
      <c r="O50" s="325"/>
      <c r="P50" s="280"/>
      <c r="Q50" s="251"/>
    </row>
    <row r="51" spans="2:17" x14ac:dyDescent="0.2">
      <c r="B51" s="305"/>
      <c r="C51" s="276" t="s">
        <v>29</v>
      </c>
      <c r="D51" s="120" t="s">
        <v>52</v>
      </c>
      <c r="E51" s="277">
        <v>0.26877200000000001</v>
      </c>
      <c r="F51" s="44">
        <f t="shared" ref="F51" si="174">E51/100*$D$4</f>
        <v>3.0075586800000003</v>
      </c>
      <c r="G51" s="44"/>
      <c r="H51" s="44">
        <f t="shared" ref="H51" si="175">F51+G51</f>
        <v>3.0075586800000003</v>
      </c>
      <c r="I51" s="90"/>
      <c r="J51" s="44">
        <f t="shared" si="3"/>
        <v>3.0075586800000003</v>
      </c>
      <c r="K51" s="45">
        <f t="shared" si="4"/>
        <v>0</v>
      </c>
      <c r="L51" s="250">
        <f t="shared" ref="L51" si="176">F51+F52</f>
        <v>3.3408359600000002</v>
      </c>
      <c r="M51" s="250">
        <f t="shared" ref="M51" si="177">G51+G52</f>
        <v>0</v>
      </c>
      <c r="N51" s="250">
        <f t="shared" ref="N51" si="178">L51+M51</f>
        <v>3.3408359600000002</v>
      </c>
      <c r="O51" s="250">
        <f t="shared" ref="O51" si="179">I51+I52</f>
        <v>0</v>
      </c>
      <c r="P51" s="250">
        <f t="shared" ref="P51" si="180">N51-O51</f>
        <v>3.3408359600000002</v>
      </c>
      <c r="Q51" s="251">
        <f t="shared" ref="Q51" si="181">O51/N51</f>
        <v>0</v>
      </c>
    </row>
    <row r="52" spans="2:17" x14ac:dyDescent="0.2">
      <c r="B52" s="305"/>
      <c r="C52" s="276"/>
      <c r="D52" s="120" t="s">
        <v>53</v>
      </c>
      <c r="E52" s="278"/>
      <c r="F52" s="44">
        <f t="shared" ref="F52" si="182">E51/100*$D$5</f>
        <v>0.33327728000000001</v>
      </c>
      <c r="G52" s="44"/>
      <c r="H52" s="44">
        <f t="shared" ref="H52" si="183">F52+G52+J51</f>
        <v>3.3408359600000002</v>
      </c>
      <c r="I52" s="90"/>
      <c r="J52" s="44">
        <f t="shared" si="3"/>
        <v>3.3408359600000002</v>
      </c>
      <c r="K52" s="45">
        <f t="shared" si="4"/>
        <v>0</v>
      </c>
      <c r="L52" s="280"/>
      <c r="M52" s="280"/>
      <c r="N52" s="280"/>
      <c r="O52" s="280"/>
      <c r="P52" s="280"/>
      <c r="Q52" s="251"/>
    </row>
    <row r="53" spans="2:17" x14ac:dyDescent="0.2">
      <c r="B53" s="305"/>
      <c r="C53" s="276" t="s">
        <v>30</v>
      </c>
      <c r="D53" s="120" t="s">
        <v>52</v>
      </c>
      <c r="E53" s="277">
        <v>8.0000000000000002E-3</v>
      </c>
      <c r="F53" s="44">
        <f t="shared" ref="F53" si="184">E53/100*$D$4</f>
        <v>8.9520000000000002E-2</v>
      </c>
      <c r="G53" s="44"/>
      <c r="H53" s="44">
        <f t="shared" ref="H53" si="185">F53+G53</f>
        <v>8.9520000000000002E-2</v>
      </c>
      <c r="I53" s="90"/>
      <c r="J53" s="44">
        <f t="shared" si="3"/>
        <v>8.9520000000000002E-2</v>
      </c>
      <c r="K53" s="45">
        <f t="shared" si="4"/>
        <v>0</v>
      </c>
      <c r="L53" s="250">
        <f t="shared" ref="L53" si="186">F53+F54</f>
        <v>9.9440000000000001E-2</v>
      </c>
      <c r="M53" s="250">
        <f t="shared" ref="M53" si="187">G53+G54</f>
        <v>0</v>
      </c>
      <c r="N53" s="250">
        <f t="shared" ref="N53" si="188">L53+M53</f>
        <v>9.9440000000000001E-2</v>
      </c>
      <c r="O53" s="250">
        <f t="shared" ref="O53" si="189">I53+I54</f>
        <v>0</v>
      </c>
      <c r="P53" s="250">
        <f t="shared" ref="P53" si="190">N53-O53</f>
        <v>9.9440000000000001E-2</v>
      </c>
      <c r="Q53" s="251">
        <f t="shared" ref="Q53" si="191">O53/N53</f>
        <v>0</v>
      </c>
    </row>
    <row r="54" spans="2:17" x14ac:dyDescent="0.2">
      <c r="B54" s="305"/>
      <c r="C54" s="276"/>
      <c r="D54" s="120" t="s">
        <v>53</v>
      </c>
      <c r="E54" s="278"/>
      <c r="F54" s="44">
        <f t="shared" ref="F54" si="192">E53/100*$D$5</f>
        <v>9.92E-3</v>
      </c>
      <c r="G54" s="44"/>
      <c r="H54" s="44">
        <f t="shared" ref="H54" si="193">F54+G54+J53</f>
        <v>9.9440000000000001E-2</v>
      </c>
      <c r="I54" s="90"/>
      <c r="J54" s="44">
        <f t="shared" si="3"/>
        <v>9.9440000000000001E-2</v>
      </c>
      <c r="K54" s="45">
        <f t="shared" si="4"/>
        <v>0</v>
      </c>
      <c r="L54" s="280"/>
      <c r="M54" s="280"/>
      <c r="N54" s="280"/>
      <c r="O54" s="280"/>
      <c r="P54" s="280"/>
      <c r="Q54" s="251"/>
    </row>
    <row r="55" spans="2:17" x14ac:dyDescent="0.2">
      <c r="B55" s="305"/>
      <c r="C55" s="276" t="s">
        <v>31</v>
      </c>
      <c r="D55" s="120" t="s">
        <v>52</v>
      </c>
      <c r="E55" s="277">
        <v>14.187989999999999</v>
      </c>
      <c r="F55" s="44">
        <f t="shared" ref="F55" si="194">E55/100*$D$4</f>
        <v>158.7636081</v>
      </c>
      <c r="G55" s="44">
        <v>68.695999999999998</v>
      </c>
      <c r="H55" s="44">
        <f t="shared" ref="H55" si="195">F55+G55</f>
        <v>227.4596081</v>
      </c>
      <c r="I55" s="90">
        <f>84.146+23.916</f>
        <v>108.062</v>
      </c>
      <c r="J55" s="44">
        <f t="shared" si="3"/>
        <v>119.3976081</v>
      </c>
      <c r="K55" s="45">
        <f t="shared" si="4"/>
        <v>0.47508215151980648</v>
      </c>
      <c r="L55" s="250">
        <f t="shared" ref="L55" si="196">F55+F56</f>
        <v>176.3567157</v>
      </c>
      <c r="M55" s="250">
        <f t="shared" ref="M55" si="197">G55+G56</f>
        <v>68.695999999999998</v>
      </c>
      <c r="N55" s="250">
        <f t="shared" ref="N55" si="198">L55+M55</f>
        <v>245.05271569999999</v>
      </c>
      <c r="O55" s="324">
        <f t="shared" ref="O55" si="199">I55+I56</f>
        <v>234.541</v>
      </c>
      <c r="P55" s="250">
        <f t="shared" ref="P55" si="200">N55-O55</f>
        <v>10.511715699999996</v>
      </c>
      <c r="Q55" s="251">
        <f t="shared" ref="Q55" si="201">O55/N55</f>
        <v>0.95710426766757928</v>
      </c>
    </row>
    <row r="56" spans="2:17" x14ac:dyDescent="0.2">
      <c r="B56" s="305"/>
      <c r="C56" s="276"/>
      <c r="D56" s="120" t="s">
        <v>53</v>
      </c>
      <c r="E56" s="278"/>
      <c r="F56" s="44">
        <f t="shared" ref="F56" si="202">E55/100*$D$5</f>
        <v>17.5931076</v>
      </c>
      <c r="G56" s="44"/>
      <c r="H56" s="44">
        <f t="shared" ref="H56" si="203">F56+G56+J55</f>
        <v>136.99071570000001</v>
      </c>
      <c r="I56" s="90">
        <f>46.141+80.338</f>
        <v>126.47899999999998</v>
      </c>
      <c r="J56" s="44">
        <f t="shared" si="3"/>
        <v>10.511715700000025</v>
      </c>
      <c r="K56" s="45">
        <f t="shared" si="4"/>
        <v>0.92326694808267196</v>
      </c>
      <c r="L56" s="280"/>
      <c r="M56" s="280"/>
      <c r="N56" s="280"/>
      <c r="O56" s="325"/>
      <c r="P56" s="280"/>
      <c r="Q56" s="251"/>
    </row>
    <row r="57" spans="2:17" x14ac:dyDescent="0.2">
      <c r="B57" s="305"/>
      <c r="C57" s="276" t="s">
        <v>32</v>
      </c>
      <c r="D57" s="120" t="s">
        <v>52</v>
      </c>
      <c r="E57" s="277">
        <v>0.1</v>
      </c>
      <c r="F57" s="44">
        <f t="shared" ref="F57" si="204">E57/100*$D$4</f>
        <v>1.119</v>
      </c>
      <c r="G57" s="44"/>
      <c r="H57" s="44">
        <f t="shared" ref="H57" si="205">F57+G57</f>
        <v>1.119</v>
      </c>
      <c r="I57" s="90"/>
      <c r="J57" s="44">
        <f t="shared" si="3"/>
        <v>1.119</v>
      </c>
      <c r="K57" s="45">
        <f t="shared" si="4"/>
        <v>0</v>
      </c>
      <c r="L57" s="250">
        <f t="shared" ref="L57" si="206">F57+F58</f>
        <v>1.2429999999999999</v>
      </c>
      <c r="M57" s="250">
        <f t="shared" ref="M57" si="207">G57+G58</f>
        <v>0</v>
      </c>
      <c r="N57" s="250">
        <f t="shared" ref="N57" si="208">L57+M57</f>
        <v>1.2429999999999999</v>
      </c>
      <c r="O57" s="250">
        <f t="shared" ref="O57" si="209">I57+I58</f>
        <v>0</v>
      </c>
      <c r="P57" s="250">
        <f t="shared" ref="P57" si="210">N57-O57</f>
        <v>1.2429999999999999</v>
      </c>
      <c r="Q57" s="251">
        <f t="shared" ref="Q57" si="211">O57/N57</f>
        <v>0</v>
      </c>
    </row>
    <row r="58" spans="2:17" x14ac:dyDescent="0.2">
      <c r="B58" s="305"/>
      <c r="C58" s="276"/>
      <c r="D58" s="120" t="s">
        <v>53</v>
      </c>
      <c r="E58" s="278"/>
      <c r="F58" s="44">
        <f t="shared" ref="F58" si="212">E57/100*$D$5</f>
        <v>0.124</v>
      </c>
      <c r="G58" s="44"/>
      <c r="H58" s="44">
        <f t="shared" ref="H58" si="213">F58+G58+J57</f>
        <v>1.2429999999999999</v>
      </c>
      <c r="I58" s="90"/>
      <c r="J58" s="44">
        <f t="shared" si="3"/>
        <v>1.2429999999999999</v>
      </c>
      <c r="K58" s="45">
        <f t="shared" si="4"/>
        <v>0</v>
      </c>
      <c r="L58" s="280"/>
      <c r="M58" s="280"/>
      <c r="N58" s="280"/>
      <c r="O58" s="280"/>
      <c r="P58" s="280"/>
      <c r="Q58" s="251"/>
    </row>
    <row r="59" spans="2:17" x14ac:dyDescent="0.2">
      <c r="B59" s="305"/>
      <c r="C59" s="276" t="s">
        <v>33</v>
      </c>
      <c r="D59" s="120" t="s">
        <v>52</v>
      </c>
      <c r="E59" s="277">
        <v>2.5799999999999998E-3</v>
      </c>
      <c r="F59" s="44">
        <f t="shared" ref="F59" si="214">E59/100*$D$4</f>
        <v>2.8870199999999995E-2</v>
      </c>
      <c r="G59" s="44"/>
      <c r="H59" s="44">
        <f t="shared" ref="H59" si="215">F59+G59</f>
        <v>2.8870199999999995E-2</v>
      </c>
      <c r="I59" s="90"/>
      <c r="J59" s="44">
        <f t="shared" si="3"/>
        <v>2.8870199999999995E-2</v>
      </c>
      <c r="K59" s="45">
        <f t="shared" si="4"/>
        <v>0</v>
      </c>
      <c r="L59" s="250">
        <f t="shared" ref="L59" si="216">F59+F60</f>
        <v>3.2069399999999998E-2</v>
      </c>
      <c r="M59" s="250">
        <f t="shared" ref="M59" si="217">G59+G60</f>
        <v>0</v>
      </c>
      <c r="N59" s="250">
        <f t="shared" ref="N59" si="218">L59+M59</f>
        <v>3.2069399999999998E-2</v>
      </c>
      <c r="O59" s="250">
        <f t="shared" ref="O59" si="219">I59+I60</f>
        <v>0</v>
      </c>
      <c r="P59" s="250">
        <f t="shared" ref="P59" si="220">N59-O59</f>
        <v>3.2069399999999998E-2</v>
      </c>
      <c r="Q59" s="251">
        <f t="shared" ref="Q59" si="221">O59/N59</f>
        <v>0</v>
      </c>
    </row>
    <row r="60" spans="2:17" x14ac:dyDescent="0.2">
      <c r="B60" s="305"/>
      <c r="C60" s="276"/>
      <c r="D60" s="120" t="s">
        <v>53</v>
      </c>
      <c r="E60" s="278"/>
      <c r="F60" s="44">
        <f t="shared" ref="F60" si="222">E59/100*$D$5</f>
        <v>3.1991999999999997E-3</v>
      </c>
      <c r="G60" s="44"/>
      <c r="H60" s="44">
        <f t="shared" ref="H60" si="223">F60+G60+J59</f>
        <v>3.2069399999999998E-2</v>
      </c>
      <c r="I60" s="90"/>
      <c r="J60" s="44">
        <f t="shared" si="3"/>
        <v>3.2069399999999998E-2</v>
      </c>
      <c r="K60" s="45">
        <f t="shared" si="4"/>
        <v>0</v>
      </c>
      <c r="L60" s="280"/>
      <c r="M60" s="280"/>
      <c r="N60" s="280"/>
      <c r="O60" s="280"/>
      <c r="P60" s="280"/>
      <c r="Q60" s="251"/>
    </row>
    <row r="61" spans="2:17" x14ac:dyDescent="0.2">
      <c r="B61" s="305"/>
      <c r="C61" s="276" t="s">
        <v>35</v>
      </c>
      <c r="D61" s="120" t="s">
        <v>52</v>
      </c>
      <c r="E61" s="277">
        <v>14.166137000000001</v>
      </c>
      <c r="F61" s="44">
        <f t="shared" ref="F61" si="224">E61/100*$D$4</f>
        <v>158.51907303000002</v>
      </c>
      <c r="G61" s="44">
        <f>-Hoja1!T10-46.11134</f>
        <v>-150.02614</v>
      </c>
      <c r="H61" s="44">
        <f t="shared" ref="H61" si="225">F61+G61</f>
        <v>8.4929330300000174</v>
      </c>
      <c r="I61" s="90">
        <v>14.948</v>
      </c>
      <c r="J61" s="44">
        <f t="shared" si="3"/>
        <v>-6.455066969999983</v>
      </c>
      <c r="K61" s="45">
        <f t="shared" si="4"/>
        <v>1.7600515566528574</v>
      </c>
      <c r="L61" s="250">
        <f t="shared" ref="L61" si="226">F61+F62</f>
        <v>176.08508291000001</v>
      </c>
      <c r="M61" s="250">
        <f t="shared" ref="M61" si="227">G61+G62</f>
        <v>-150.02614</v>
      </c>
      <c r="N61" s="250">
        <f t="shared" ref="N61" si="228">L61+M61</f>
        <v>26.058942910000013</v>
      </c>
      <c r="O61" s="324">
        <f t="shared" ref="O61" si="229">I61+I62</f>
        <v>16.975000000000001</v>
      </c>
      <c r="P61" s="250">
        <f t="shared" ref="P61" si="230">N61-O61</f>
        <v>9.0839429100000118</v>
      </c>
      <c r="Q61" s="251">
        <f t="shared" ref="Q61" si="231">O61/N61</f>
        <v>0.65140785098715248</v>
      </c>
    </row>
    <row r="62" spans="2:17" x14ac:dyDescent="0.2">
      <c r="B62" s="305"/>
      <c r="C62" s="276"/>
      <c r="D62" s="120" t="s">
        <v>53</v>
      </c>
      <c r="E62" s="278"/>
      <c r="F62" s="44">
        <f t="shared" ref="F62" si="232">E61/100*$D$5</f>
        <v>17.566009880000003</v>
      </c>
      <c r="G62" s="44"/>
      <c r="H62" s="44">
        <f t="shared" ref="H62" si="233">F62+G62+J61</f>
        <v>11.11094291000002</v>
      </c>
      <c r="I62" s="90">
        <v>2.0270000000000001</v>
      </c>
      <c r="J62" s="44">
        <f t="shared" si="3"/>
        <v>9.0839429100000189</v>
      </c>
      <c r="K62" s="45">
        <f t="shared" si="4"/>
        <v>0.18243276168538936</v>
      </c>
      <c r="L62" s="280"/>
      <c r="M62" s="280"/>
      <c r="N62" s="280"/>
      <c r="O62" s="325"/>
      <c r="P62" s="280"/>
      <c r="Q62" s="251"/>
    </row>
    <row r="63" spans="2:17" x14ac:dyDescent="0.2">
      <c r="B63" s="305"/>
      <c r="C63" s="276" t="s">
        <v>36</v>
      </c>
      <c r="D63" s="120" t="s">
        <v>52</v>
      </c>
      <c r="E63" s="277">
        <v>2.0100000000000001E-3</v>
      </c>
      <c r="F63" s="44">
        <f t="shared" ref="F63" si="234">E63/100*$D$4</f>
        <v>2.2491900000000002E-2</v>
      </c>
      <c r="G63" s="44"/>
      <c r="H63" s="44">
        <f t="shared" ref="H63" si="235">F63+G63</f>
        <v>2.2491900000000002E-2</v>
      </c>
      <c r="I63" s="90"/>
      <c r="J63" s="44">
        <f t="shared" si="3"/>
        <v>2.2491900000000002E-2</v>
      </c>
      <c r="K63" s="45">
        <f t="shared" si="4"/>
        <v>0</v>
      </c>
      <c r="L63" s="250">
        <f t="shared" ref="L63" si="236">F63+F64</f>
        <v>2.4984300000000001E-2</v>
      </c>
      <c r="M63" s="250">
        <f t="shared" ref="M63" si="237">G63+G64</f>
        <v>0</v>
      </c>
      <c r="N63" s="250">
        <f t="shared" ref="N63" si="238">L63+M63</f>
        <v>2.4984300000000001E-2</v>
      </c>
      <c r="O63" s="250">
        <f t="shared" ref="O63" si="239">I63+I64</f>
        <v>0</v>
      </c>
      <c r="P63" s="250">
        <f t="shared" ref="P63" si="240">N63-O63</f>
        <v>2.4984300000000001E-2</v>
      </c>
      <c r="Q63" s="251">
        <f t="shared" ref="Q63" si="241">O63/N63</f>
        <v>0</v>
      </c>
    </row>
    <row r="64" spans="2:17" x14ac:dyDescent="0.2">
      <c r="B64" s="305"/>
      <c r="C64" s="276"/>
      <c r="D64" s="120" t="s">
        <v>53</v>
      </c>
      <c r="E64" s="278"/>
      <c r="F64" s="44">
        <f t="shared" ref="F64" si="242">E63/100*$D$5</f>
        <v>2.4924000000000001E-3</v>
      </c>
      <c r="G64" s="44"/>
      <c r="H64" s="44">
        <f t="shared" ref="H64" si="243">F64+G64+J63</f>
        <v>2.4984300000000001E-2</v>
      </c>
      <c r="I64" s="90"/>
      <c r="J64" s="44">
        <f t="shared" si="3"/>
        <v>2.4984300000000001E-2</v>
      </c>
      <c r="K64" s="45">
        <f t="shared" si="4"/>
        <v>0</v>
      </c>
      <c r="L64" s="280"/>
      <c r="M64" s="280"/>
      <c r="N64" s="280"/>
      <c r="O64" s="280"/>
      <c r="P64" s="280"/>
      <c r="Q64" s="251"/>
    </row>
    <row r="65" spans="2:17" x14ac:dyDescent="0.2">
      <c r="B65" s="305"/>
      <c r="C65" s="276" t="s">
        <v>37</v>
      </c>
      <c r="D65" s="120" t="s">
        <v>52</v>
      </c>
      <c r="E65" s="277">
        <v>0.35650500000000002</v>
      </c>
      <c r="F65" s="44">
        <f t="shared" ref="F65" si="244">E65/100*$D$4</f>
        <v>3.98929095</v>
      </c>
      <c r="G65" s="44"/>
      <c r="H65" s="44">
        <f t="shared" ref="H65" si="245">F65+G65</f>
        <v>3.98929095</v>
      </c>
      <c r="I65" s="90"/>
      <c r="J65" s="44">
        <f t="shared" si="3"/>
        <v>3.98929095</v>
      </c>
      <c r="K65" s="45">
        <f t="shared" si="4"/>
        <v>0</v>
      </c>
      <c r="L65" s="250">
        <f t="shared" ref="L65" si="246">F65+F66</f>
        <v>4.4313571500000002</v>
      </c>
      <c r="M65" s="250">
        <f t="shared" ref="M65" si="247">G65+G66</f>
        <v>0</v>
      </c>
      <c r="N65" s="250">
        <f t="shared" ref="N65" si="248">L65+M65</f>
        <v>4.4313571500000002</v>
      </c>
      <c r="O65" s="250">
        <f t="shared" ref="O65" si="249">I65+I66</f>
        <v>0</v>
      </c>
      <c r="P65" s="250">
        <f t="shared" ref="P65" si="250">N65-O65</f>
        <v>4.4313571500000002</v>
      </c>
      <c r="Q65" s="251">
        <f t="shared" ref="Q65" si="251">O65/N65</f>
        <v>0</v>
      </c>
    </row>
    <row r="66" spans="2:17" x14ac:dyDescent="0.2">
      <c r="B66" s="305"/>
      <c r="C66" s="276"/>
      <c r="D66" s="120" t="s">
        <v>53</v>
      </c>
      <c r="E66" s="278"/>
      <c r="F66" s="44">
        <f t="shared" ref="F66" si="252">E65/100*$D$5</f>
        <v>0.44206620000000002</v>
      </c>
      <c r="G66" s="44"/>
      <c r="H66" s="44">
        <f t="shared" ref="H66" si="253">F66+G66+J65</f>
        <v>4.4313571500000002</v>
      </c>
      <c r="I66" s="90"/>
      <c r="J66" s="44">
        <f t="shared" si="3"/>
        <v>4.4313571500000002</v>
      </c>
      <c r="K66" s="45">
        <f t="shared" si="4"/>
        <v>0</v>
      </c>
      <c r="L66" s="280"/>
      <c r="M66" s="280"/>
      <c r="N66" s="280"/>
      <c r="O66" s="280"/>
      <c r="P66" s="280"/>
      <c r="Q66" s="251"/>
    </row>
    <row r="67" spans="2:17" x14ac:dyDescent="0.2">
      <c r="B67" s="305"/>
      <c r="C67" s="276" t="s">
        <v>38</v>
      </c>
      <c r="D67" s="161" t="s">
        <v>52</v>
      </c>
      <c r="E67" s="277">
        <v>5.5266299999999999</v>
      </c>
      <c r="F67" s="160">
        <f t="shared" ref="F67" si="254">E67/100*$D$4</f>
        <v>61.842989699999997</v>
      </c>
      <c r="G67" s="160">
        <v>-68.695999999999998</v>
      </c>
      <c r="H67" s="160">
        <f t="shared" ref="H67" si="255">F67+G67</f>
        <v>-6.8530103000000011</v>
      </c>
      <c r="I67" s="90"/>
      <c r="J67" s="160">
        <f t="shared" ref="J67:J68" si="256">H67-I67</f>
        <v>-6.8530103000000011</v>
      </c>
      <c r="K67" s="45">
        <f t="shared" ref="K67:K68" si="257">I67/H67</f>
        <v>0</v>
      </c>
      <c r="L67" s="250">
        <f t="shared" ref="L67" si="258">F67+F68</f>
        <v>68.69601089999999</v>
      </c>
      <c r="M67" s="250">
        <f t="shared" ref="M67" si="259">G67+G68</f>
        <v>-68.695999999999998</v>
      </c>
      <c r="N67" s="250">
        <f t="shared" ref="N67" si="260">L67+M67</f>
        <v>1.0899999992375342E-5</v>
      </c>
      <c r="O67" s="250">
        <f t="shared" ref="O67" si="261">I67+I68</f>
        <v>0</v>
      </c>
      <c r="P67" s="250">
        <f t="shared" ref="P67" si="262">N67-O67</f>
        <v>1.0899999992375342E-5</v>
      </c>
      <c r="Q67" s="251">
        <f t="shared" ref="Q67" si="263">O67/N67</f>
        <v>0</v>
      </c>
    </row>
    <row r="68" spans="2:17" x14ac:dyDescent="0.2">
      <c r="B68" s="305"/>
      <c r="C68" s="276"/>
      <c r="D68" s="161" t="s">
        <v>53</v>
      </c>
      <c r="E68" s="278"/>
      <c r="F68" s="160">
        <f t="shared" ref="F68" si="264">E67/100*$D$5</f>
        <v>6.8530211999999997</v>
      </c>
      <c r="G68" s="160"/>
      <c r="H68" s="160">
        <f t="shared" ref="H68" si="265">F68+G68+J67</f>
        <v>1.0899999998592591E-5</v>
      </c>
      <c r="I68" s="90"/>
      <c r="J68" s="160">
        <f t="shared" si="256"/>
        <v>1.0899999998592591E-5</v>
      </c>
      <c r="K68" s="45">
        <f t="shared" si="257"/>
        <v>0</v>
      </c>
      <c r="L68" s="280"/>
      <c r="M68" s="280"/>
      <c r="N68" s="280"/>
      <c r="O68" s="280"/>
      <c r="P68" s="280"/>
      <c r="Q68" s="251"/>
    </row>
    <row r="69" spans="2:17" x14ac:dyDescent="0.2">
      <c r="B69" s="305"/>
      <c r="C69" s="276" t="s">
        <v>170</v>
      </c>
      <c r="D69" s="186" t="s">
        <v>52</v>
      </c>
      <c r="E69" s="277">
        <v>5.4599999999999996E-3</v>
      </c>
      <c r="F69" s="185">
        <f t="shared" ref="F69" si="266">E69/100*$D$4</f>
        <v>6.1097399999999996E-2</v>
      </c>
      <c r="G69" s="185"/>
      <c r="H69" s="185">
        <f t="shared" ref="H69" si="267">F69+G69</f>
        <v>6.1097399999999996E-2</v>
      </c>
      <c r="I69" s="90"/>
      <c r="J69" s="185">
        <f t="shared" ref="J69:J70" si="268">H69-I69</f>
        <v>6.1097399999999996E-2</v>
      </c>
      <c r="K69" s="45">
        <f t="shared" ref="K69:K70" si="269">I69/H69</f>
        <v>0</v>
      </c>
      <c r="L69" s="250">
        <f t="shared" ref="L69" si="270">F69+F70</f>
        <v>6.7867799999999992E-2</v>
      </c>
      <c r="M69" s="250">
        <f t="shared" ref="M69" si="271">G69+G70</f>
        <v>0</v>
      </c>
      <c r="N69" s="250">
        <f t="shared" ref="N69" si="272">L69+M69</f>
        <v>6.7867799999999992E-2</v>
      </c>
      <c r="O69" s="250">
        <f t="shared" ref="O69" si="273">I69+I70</f>
        <v>0</v>
      </c>
      <c r="P69" s="250">
        <f t="shared" ref="P69" si="274">N69-O69</f>
        <v>6.7867799999999992E-2</v>
      </c>
      <c r="Q69" s="251">
        <f t="shared" ref="Q69" si="275">O69/N69</f>
        <v>0</v>
      </c>
    </row>
    <row r="70" spans="2:17" x14ac:dyDescent="0.2">
      <c r="B70" s="305"/>
      <c r="C70" s="276"/>
      <c r="D70" s="186" t="s">
        <v>53</v>
      </c>
      <c r="E70" s="278"/>
      <c r="F70" s="185">
        <f t="shared" ref="F70" si="276">E69/100*$D$5</f>
        <v>6.7704000000000002E-3</v>
      </c>
      <c r="G70" s="185"/>
      <c r="H70" s="185">
        <f t="shared" ref="H70" si="277">F70+G70+J69</f>
        <v>6.7867799999999992E-2</v>
      </c>
      <c r="I70" s="90"/>
      <c r="J70" s="185">
        <f t="shared" si="268"/>
        <v>6.7867799999999992E-2</v>
      </c>
      <c r="K70" s="45">
        <f t="shared" si="269"/>
        <v>0</v>
      </c>
      <c r="L70" s="280"/>
      <c r="M70" s="280"/>
      <c r="N70" s="280"/>
      <c r="O70" s="280"/>
      <c r="P70" s="280"/>
      <c r="Q70" s="251"/>
    </row>
    <row r="71" spans="2:17" x14ac:dyDescent="0.2">
      <c r="B71" s="305"/>
      <c r="C71" s="276" t="s">
        <v>156</v>
      </c>
      <c r="D71" s="120" t="s">
        <v>52</v>
      </c>
      <c r="E71" s="295">
        <v>4.48E-2</v>
      </c>
      <c r="F71" s="44">
        <f t="shared" ref="F71" si="278">E71/100*$D$4</f>
        <v>0.50131199999999998</v>
      </c>
      <c r="G71" s="44"/>
      <c r="H71" s="44">
        <f t="shared" ref="H71:H75" si="279">F71+G71</f>
        <v>0.50131199999999998</v>
      </c>
      <c r="I71" s="90"/>
      <c r="J71" s="44">
        <f t="shared" si="3"/>
        <v>0.50131199999999998</v>
      </c>
      <c r="K71" s="45">
        <f t="shared" si="4"/>
        <v>0</v>
      </c>
      <c r="L71" s="250">
        <f t="shared" ref="L71" si="280">F71+F72</f>
        <v>0.55686400000000003</v>
      </c>
      <c r="M71" s="250">
        <f t="shared" ref="M71" si="281">G71+G72</f>
        <v>0</v>
      </c>
      <c r="N71" s="250">
        <f t="shared" ref="N71" si="282">L71+M71</f>
        <v>0.55686400000000003</v>
      </c>
      <c r="O71" s="250">
        <f t="shared" ref="O71" si="283">I71+I72</f>
        <v>0</v>
      </c>
      <c r="P71" s="250">
        <f t="shared" ref="P71" si="284">N71-O71</f>
        <v>0.55686400000000003</v>
      </c>
      <c r="Q71" s="251">
        <f t="shared" ref="Q71" si="285">O71/N71</f>
        <v>0</v>
      </c>
    </row>
    <row r="72" spans="2:17" ht="12.75" thickBot="1" x14ac:dyDescent="0.25">
      <c r="B72" s="305"/>
      <c r="C72" s="276"/>
      <c r="D72" s="120" t="s">
        <v>53</v>
      </c>
      <c r="E72" s="283"/>
      <c r="F72" s="44">
        <f t="shared" ref="F72" si="286">E71/100*$D$5</f>
        <v>5.5551999999999997E-2</v>
      </c>
      <c r="G72" s="44"/>
      <c r="H72" s="44">
        <f t="shared" ref="H72:H76" si="287">F72+G72+J71</f>
        <v>0.55686400000000003</v>
      </c>
      <c r="I72" s="90"/>
      <c r="J72" s="44">
        <f>H72-I72</f>
        <v>0.55686400000000003</v>
      </c>
      <c r="K72" s="45">
        <f t="shared" si="4"/>
        <v>0</v>
      </c>
      <c r="L72" s="280"/>
      <c r="M72" s="280"/>
      <c r="N72" s="280"/>
      <c r="O72" s="280"/>
      <c r="P72" s="280"/>
      <c r="Q72" s="251"/>
    </row>
    <row r="73" spans="2:17" x14ac:dyDescent="0.2">
      <c r="B73" s="305"/>
      <c r="C73" s="285" t="s">
        <v>110</v>
      </c>
      <c r="D73" s="120" t="s">
        <v>52</v>
      </c>
      <c r="E73" s="288"/>
      <c r="F73" s="44">
        <v>0</v>
      </c>
      <c r="G73" s="44">
        <v>65.540000000000006</v>
      </c>
      <c r="H73" s="44">
        <f t="shared" si="279"/>
        <v>65.540000000000006</v>
      </c>
      <c r="I73" s="90">
        <v>42.354999999999997</v>
      </c>
      <c r="J73" s="44">
        <f t="shared" si="3"/>
        <v>23.185000000000009</v>
      </c>
      <c r="K73" s="45">
        <f t="shared" si="4"/>
        <v>0.64624656698199567</v>
      </c>
      <c r="L73" s="250">
        <f t="shared" ref="L73" si="288">F73+F74</f>
        <v>0</v>
      </c>
      <c r="M73" s="250">
        <f t="shared" ref="M73" si="289">G73+G74</f>
        <v>65.540000000000006</v>
      </c>
      <c r="N73" s="250">
        <f t="shared" ref="N73" si="290">L73+M73</f>
        <v>65.540000000000006</v>
      </c>
      <c r="O73" s="250">
        <f t="shared" ref="O73" si="291">I73+I74</f>
        <v>65.167000000000002</v>
      </c>
      <c r="P73" s="250">
        <f t="shared" ref="P73" si="292">N73-O73</f>
        <v>0.37300000000000466</v>
      </c>
      <c r="Q73" s="251">
        <f t="shared" ref="Q73" si="293">O73/N73</f>
        <v>0.99430881904180646</v>
      </c>
    </row>
    <row r="74" spans="2:17" x14ac:dyDescent="0.2">
      <c r="B74" s="305"/>
      <c r="C74" s="286"/>
      <c r="D74" s="120" t="s">
        <v>53</v>
      </c>
      <c r="E74" s="278"/>
      <c r="F74" s="44">
        <v>0</v>
      </c>
      <c r="G74" s="44"/>
      <c r="H74" s="44">
        <f t="shared" si="287"/>
        <v>23.185000000000009</v>
      </c>
      <c r="I74" s="90">
        <v>22.812000000000001</v>
      </c>
      <c r="J74" s="44">
        <f t="shared" si="3"/>
        <v>0.37300000000000821</v>
      </c>
      <c r="K74" s="45">
        <f t="shared" si="4"/>
        <v>0.98391201207677348</v>
      </c>
      <c r="L74" s="280"/>
      <c r="M74" s="280"/>
      <c r="N74" s="280"/>
      <c r="O74" s="280"/>
      <c r="P74" s="280"/>
      <c r="Q74" s="251"/>
    </row>
    <row r="75" spans="2:17" x14ac:dyDescent="0.2">
      <c r="B75" s="305"/>
      <c r="C75" s="285" t="s">
        <v>111</v>
      </c>
      <c r="D75" s="120" t="s">
        <v>52</v>
      </c>
      <c r="E75" s="277"/>
      <c r="F75" s="44">
        <v>0</v>
      </c>
      <c r="G75" s="44">
        <f>36.386+26.216+22.6</f>
        <v>85.201999999999998</v>
      </c>
      <c r="H75" s="44">
        <f t="shared" si="279"/>
        <v>85.201999999999998</v>
      </c>
      <c r="I75" s="90">
        <v>50.676000000000002</v>
      </c>
      <c r="J75" s="44">
        <f t="shared" si="3"/>
        <v>34.525999999999996</v>
      </c>
      <c r="K75" s="45">
        <f t="shared" si="4"/>
        <v>0.59477477054529237</v>
      </c>
      <c r="L75" s="250">
        <f t="shared" ref="L75" si="294">F75+F76</f>
        <v>0</v>
      </c>
      <c r="M75" s="250">
        <f t="shared" ref="M75" si="295">G75+G76</f>
        <v>81.711999999999989</v>
      </c>
      <c r="N75" s="250">
        <f t="shared" ref="N75" si="296">L75+M75</f>
        <v>81.711999999999989</v>
      </c>
      <c r="O75" s="324">
        <f t="shared" ref="O75" si="297">I75+I76</f>
        <v>81.712000000000003</v>
      </c>
      <c r="P75" s="250">
        <f t="shared" ref="P75" si="298">N75-O75</f>
        <v>0</v>
      </c>
      <c r="Q75" s="251">
        <f t="shared" ref="Q75" si="299">O75/N75</f>
        <v>1.0000000000000002</v>
      </c>
    </row>
    <row r="76" spans="2:17" ht="12.75" thickBot="1" x14ac:dyDescent="0.25">
      <c r="B76" s="306"/>
      <c r="C76" s="287"/>
      <c r="D76" s="121" t="s">
        <v>53</v>
      </c>
      <c r="E76" s="278"/>
      <c r="F76" s="44">
        <v>0</v>
      </c>
      <c r="G76" s="44">
        <f>33.9-37.39</f>
        <v>-3.490000000000002</v>
      </c>
      <c r="H76" s="44">
        <f t="shared" si="287"/>
        <v>31.035999999999994</v>
      </c>
      <c r="I76" s="90">
        <v>31.036000000000001</v>
      </c>
      <c r="J76" s="44">
        <f t="shared" si="3"/>
        <v>0</v>
      </c>
      <c r="K76" s="45">
        <f t="shared" si="4"/>
        <v>1.0000000000000002</v>
      </c>
      <c r="L76" s="280"/>
      <c r="M76" s="280"/>
      <c r="N76" s="280"/>
      <c r="O76" s="325"/>
      <c r="P76" s="280"/>
      <c r="Q76" s="251"/>
    </row>
    <row r="77" spans="2:17" ht="12.75" thickBot="1" x14ac:dyDescent="0.25">
      <c r="B77" s="302" t="s">
        <v>13</v>
      </c>
      <c r="C77" s="303"/>
      <c r="D77" s="127" t="s">
        <v>54</v>
      </c>
      <c r="E77" s="128">
        <f>SUM(E43:E72)</f>
        <v>100.00029899999998</v>
      </c>
      <c r="F77" s="128">
        <f>SUM(F13:F76)</f>
        <v>2260.0067584169997</v>
      </c>
      <c r="G77" s="128">
        <f>SUM(G13:G76)</f>
        <v>-1.7290000005942829E-4</v>
      </c>
      <c r="H77" s="128">
        <f>F77+G77</f>
        <v>2260.0065855169996</v>
      </c>
      <c r="I77" s="128">
        <f>SUM(I13:I76)</f>
        <v>2013.3310000000001</v>
      </c>
      <c r="J77" s="128">
        <f>H77-I77</f>
        <v>246.67558551699949</v>
      </c>
      <c r="K77" s="129">
        <f>I77/H77</f>
        <v>0.89085182888501635</v>
      </c>
      <c r="L77" s="128">
        <f>SUM(L13:L76)</f>
        <v>2260.0067584170006</v>
      </c>
      <c r="M77" s="128">
        <f>SUM(M13:M76)</f>
        <v>-1.7290000006653372E-4</v>
      </c>
      <c r="N77" s="128">
        <f>L77+M77</f>
        <v>2260.0065855170005</v>
      </c>
      <c r="O77" s="128">
        <f>SUM(O13:O76)</f>
        <v>2013.3309999999999</v>
      </c>
      <c r="P77" s="128">
        <f>N77-O77</f>
        <v>246.67558551700063</v>
      </c>
      <c r="Q77" s="130">
        <f>O77/N77</f>
        <v>0.89085182888501591</v>
      </c>
    </row>
    <row r="80" spans="2:17" x14ac:dyDescent="0.2">
      <c r="G80" s="12" t="s">
        <v>157</v>
      </c>
    </row>
  </sheetData>
  <mergeCells count="261">
    <mergeCell ref="Q67:Q68"/>
    <mergeCell ref="B77:C77"/>
    <mergeCell ref="B43:B76"/>
    <mergeCell ref="L73:L74"/>
    <mergeCell ref="M73:M74"/>
    <mergeCell ref="N73:N74"/>
    <mergeCell ref="O73:O74"/>
    <mergeCell ref="P73:P74"/>
    <mergeCell ref="C57:C58"/>
    <mergeCell ref="C59:C60"/>
    <mergeCell ref="C61:C62"/>
    <mergeCell ref="C63:C64"/>
    <mergeCell ref="C65:C66"/>
    <mergeCell ref="C71:C72"/>
    <mergeCell ref="O57:O58"/>
    <mergeCell ref="P57:P58"/>
    <mergeCell ref="Q57:Q58"/>
    <mergeCell ref="Q59:Q60"/>
    <mergeCell ref="L53:L54"/>
    <mergeCell ref="M53:M54"/>
    <mergeCell ref="N53:N54"/>
    <mergeCell ref="O53:O54"/>
    <mergeCell ref="P53:P54"/>
    <mergeCell ref="Q53:Q54"/>
    <mergeCell ref="B9:Q9"/>
    <mergeCell ref="B10:Q10"/>
    <mergeCell ref="L71:L72"/>
    <mergeCell ref="M71:M72"/>
    <mergeCell ref="N71:N72"/>
    <mergeCell ref="O71:O72"/>
    <mergeCell ref="P71:P72"/>
    <mergeCell ref="Q71:Q72"/>
    <mergeCell ref="Q61:Q62"/>
    <mergeCell ref="L63:L64"/>
    <mergeCell ref="M63:M64"/>
    <mergeCell ref="N63:N64"/>
    <mergeCell ref="O63:O64"/>
    <mergeCell ref="P63:P64"/>
    <mergeCell ref="Q63:Q64"/>
    <mergeCell ref="L65:L66"/>
    <mergeCell ref="M65:M66"/>
    <mergeCell ref="N65:N66"/>
    <mergeCell ref="O65:O66"/>
    <mergeCell ref="P65:P66"/>
    <mergeCell ref="Q65:Q66"/>
    <mergeCell ref="Q55:Q56"/>
    <mergeCell ref="L57:L58"/>
    <mergeCell ref="N57:N58"/>
    <mergeCell ref="E71:E72"/>
    <mergeCell ref="E67:E68"/>
    <mergeCell ref="L55:L56"/>
    <mergeCell ref="M55:M56"/>
    <mergeCell ref="N55:N56"/>
    <mergeCell ref="O55:O56"/>
    <mergeCell ref="P55:P56"/>
    <mergeCell ref="L61:L62"/>
    <mergeCell ref="M61:M62"/>
    <mergeCell ref="N61:N62"/>
    <mergeCell ref="O61:O62"/>
    <mergeCell ref="P61:P62"/>
    <mergeCell ref="M57:M58"/>
    <mergeCell ref="L59:L60"/>
    <mergeCell ref="M59:M60"/>
    <mergeCell ref="N59:N60"/>
    <mergeCell ref="O59:O60"/>
    <mergeCell ref="P59:P60"/>
    <mergeCell ref="L67:L68"/>
    <mergeCell ref="M67:M68"/>
    <mergeCell ref="N67:N68"/>
    <mergeCell ref="O67:O68"/>
    <mergeCell ref="P67:P68"/>
    <mergeCell ref="E57:E58"/>
    <mergeCell ref="C33:C34"/>
    <mergeCell ref="C35:C36"/>
    <mergeCell ref="C13:C14"/>
    <mergeCell ref="C15:C16"/>
    <mergeCell ref="C17:C18"/>
    <mergeCell ref="C19:C20"/>
    <mergeCell ref="C21:C22"/>
    <mergeCell ref="C23:C24"/>
    <mergeCell ref="C43:C44"/>
    <mergeCell ref="C41:C42"/>
    <mergeCell ref="C25:C26"/>
    <mergeCell ref="C27:C28"/>
    <mergeCell ref="C29:C30"/>
    <mergeCell ref="C31:C32"/>
    <mergeCell ref="C37:C38"/>
    <mergeCell ref="C39:C40"/>
    <mergeCell ref="E13:E14"/>
    <mergeCell ref="E15:E16"/>
    <mergeCell ref="E17:E18"/>
    <mergeCell ref="E19:E20"/>
    <mergeCell ref="E21:E22"/>
    <mergeCell ref="E23:E24"/>
    <mergeCell ref="E25:E26"/>
    <mergeCell ref="E27:E28"/>
    <mergeCell ref="L17:L18"/>
    <mergeCell ref="L21:L22"/>
    <mergeCell ref="E29:E30"/>
    <mergeCell ref="E31:E32"/>
    <mergeCell ref="E33:E34"/>
    <mergeCell ref="E35:E36"/>
    <mergeCell ref="M23:M24"/>
    <mergeCell ref="N23:N24"/>
    <mergeCell ref="O23:O24"/>
    <mergeCell ref="P23:P24"/>
    <mergeCell ref="L35:L36"/>
    <mergeCell ref="M35:M36"/>
    <mergeCell ref="L25:L26"/>
    <mergeCell ref="L31:L32"/>
    <mergeCell ref="L33:L34"/>
    <mergeCell ref="L29:L30"/>
    <mergeCell ref="Q23:Q24"/>
    <mergeCell ref="M19:M20"/>
    <mergeCell ref="N19:N20"/>
    <mergeCell ref="O19:O20"/>
    <mergeCell ref="P19:P20"/>
    <mergeCell ref="Q19:Q20"/>
    <mergeCell ref="Q25:Q26"/>
    <mergeCell ref="L27:L28"/>
    <mergeCell ref="M27:M28"/>
    <mergeCell ref="N27:N28"/>
    <mergeCell ref="O27:O28"/>
    <mergeCell ref="P27:P28"/>
    <mergeCell ref="M21:M22"/>
    <mergeCell ref="N21:N22"/>
    <mergeCell ref="O21:O22"/>
    <mergeCell ref="P21:P22"/>
    <mergeCell ref="L19:L20"/>
    <mergeCell ref="M13:M14"/>
    <mergeCell ref="N13:N14"/>
    <mergeCell ref="O13:O14"/>
    <mergeCell ref="P13:P14"/>
    <mergeCell ref="Q13:Q14"/>
    <mergeCell ref="L15:L16"/>
    <mergeCell ref="M15:M16"/>
    <mergeCell ref="N15:N16"/>
    <mergeCell ref="O15:O16"/>
    <mergeCell ref="P15:P16"/>
    <mergeCell ref="Q15:Q16"/>
    <mergeCell ref="L13:L14"/>
    <mergeCell ref="M17:M18"/>
    <mergeCell ref="N17:N18"/>
    <mergeCell ref="O17:O18"/>
    <mergeCell ref="P17:P18"/>
    <mergeCell ref="Q17:Q18"/>
    <mergeCell ref="Q21:Q22"/>
    <mergeCell ref="L23:L24"/>
    <mergeCell ref="Q73:Q74"/>
    <mergeCell ref="L75:L76"/>
    <mergeCell ref="M75:M76"/>
    <mergeCell ref="N75:N76"/>
    <mergeCell ref="O75:O76"/>
    <mergeCell ref="P75:P76"/>
    <mergeCell ref="Q75:Q76"/>
    <mergeCell ref="M25:M26"/>
    <mergeCell ref="N25:N26"/>
    <mergeCell ref="O25:O26"/>
    <mergeCell ref="P25:P26"/>
    <mergeCell ref="Q27:Q28"/>
    <mergeCell ref="M29:M30"/>
    <mergeCell ref="N29:N30"/>
    <mergeCell ref="O29:O30"/>
    <mergeCell ref="P29:P30"/>
    <mergeCell ref="Q29:Q30"/>
    <mergeCell ref="C73:C74"/>
    <mergeCell ref="C75:C76"/>
    <mergeCell ref="E73:E74"/>
    <mergeCell ref="E75:E76"/>
    <mergeCell ref="B13:B42"/>
    <mergeCell ref="E43:E44"/>
    <mergeCell ref="N41:N42"/>
    <mergeCell ref="O41:O42"/>
    <mergeCell ref="P41:P42"/>
    <mergeCell ref="M37:M38"/>
    <mergeCell ref="N37:N38"/>
    <mergeCell ref="O37:O38"/>
    <mergeCell ref="P37:P38"/>
    <mergeCell ref="N35:N36"/>
    <mergeCell ref="O35:O36"/>
    <mergeCell ref="P35:P36"/>
    <mergeCell ref="M31:M32"/>
    <mergeCell ref="N31:N32"/>
    <mergeCell ref="O31:O32"/>
    <mergeCell ref="P31:P32"/>
    <mergeCell ref="M33:M34"/>
    <mergeCell ref="N33:N34"/>
    <mergeCell ref="O33:O34"/>
    <mergeCell ref="P33:P34"/>
    <mergeCell ref="Q35:Q36"/>
    <mergeCell ref="Q31:Q32"/>
    <mergeCell ref="Q33:Q34"/>
    <mergeCell ref="L69:L70"/>
    <mergeCell ref="M69:M70"/>
    <mergeCell ref="N69:N70"/>
    <mergeCell ref="O69:O70"/>
    <mergeCell ref="P69:P70"/>
    <mergeCell ref="Q69:Q70"/>
    <mergeCell ref="L41:L42"/>
    <mergeCell ref="L37:L38"/>
    <mergeCell ref="L39:L40"/>
    <mergeCell ref="Q49:Q50"/>
    <mergeCell ref="L51:L52"/>
    <mergeCell ref="M51:M52"/>
    <mergeCell ref="N51:N52"/>
    <mergeCell ref="O51:O52"/>
    <mergeCell ref="P51:P52"/>
    <mergeCell ref="Q51:Q52"/>
    <mergeCell ref="O45:O46"/>
    <mergeCell ref="P45:P46"/>
    <mergeCell ref="Q45:Q46"/>
    <mergeCell ref="L47:L48"/>
    <mergeCell ref="M47:M48"/>
    <mergeCell ref="Q37:Q38"/>
    <mergeCell ref="M41:M42"/>
    <mergeCell ref="Q41:Q42"/>
    <mergeCell ref="E41:E42"/>
    <mergeCell ref="E51:E52"/>
    <mergeCell ref="E53:E54"/>
    <mergeCell ref="E55:E56"/>
    <mergeCell ref="M39:M40"/>
    <mergeCell ref="N39:N40"/>
    <mergeCell ref="O39:O40"/>
    <mergeCell ref="P39:P40"/>
    <mergeCell ref="Q39:Q40"/>
    <mergeCell ref="E37:E38"/>
    <mergeCell ref="E39:E40"/>
    <mergeCell ref="N47:N48"/>
    <mergeCell ref="O47:O48"/>
    <mergeCell ref="P47:P48"/>
    <mergeCell ref="Q47:Q48"/>
    <mergeCell ref="L49:L50"/>
    <mergeCell ref="M49:M50"/>
    <mergeCell ref="N49:N50"/>
    <mergeCell ref="O49:O50"/>
    <mergeCell ref="P49:P50"/>
    <mergeCell ref="L43:L44"/>
    <mergeCell ref="C69:C70"/>
    <mergeCell ref="E69:E70"/>
    <mergeCell ref="C67:C68"/>
    <mergeCell ref="E59:E60"/>
    <mergeCell ref="E61:E62"/>
    <mergeCell ref="E63:E64"/>
    <mergeCell ref="E65:E66"/>
    <mergeCell ref="Q43:Q44"/>
    <mergeCell ref="L45:L46"/>
    <mergeCell ref="M45:M46"/>
    <mergeCell ref="N45:N46"/>
    <mergeCell ref="C45:C46"/>
    <mergeCell ref="C47:C48"/>
    <mergeCell ref="C49:C50"/>
    <mergeCell ref="C51:C52"/>
    <mergeCell ref="E45:E46"/>
    <mergeCell ref="E47:E48"/>
    <mergeCell ref="E49:E50"/>
    <mergeCell ref="C53:C54"/>
    <mergeCell ref="C55:C56"/>
    <mergeCell ref="M43:M44"/>
    <mergeCell ref="N43:N44"/>
    <mergeCell ref="O43:O44"/>
    <mergeCell ref="P43:P44"/>
  </mergeCells>
  <conditionalFormatting sqref="K13:K76">
    <cfRule type="cellIs" dxfId="3" priority="5" operator="greaterThan">
      <formula>0.95</formula>
    </cfRule>
  </conditionalFormatting>
  <conditionalFormatting sqref="Q13:Q76">
    <cfRule type="cellIs" dxfId="2" priority="3" operator="greaterThan">
      <formula>1</formula>
    </cfRule>
  </conditionalFormatting>
  <conditionalFormatting sqref="Q13:Q7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  <cfRule type="cellIs" dxfId="1" priority="1" operator="greaterThan">
      <formula>1</formula>
    </cfRule>
  </conditionalFormatting>
  <pageMargins left="0.7" right="0.7" top="0.75" bottom="0.75" header="0.3" footer="0.3"/>
  <pageSetup orientation="portrait" r:id="rId1"/>
  <ignoredErrors>
    <ignoredError sqref="F41:F42 N71:N72 H14:H18 F71 H20:H24 H71:H72 H26:H30 H32:H36 N13:N36 F14:F36 H41:H66 F44:F66 N41:N66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Q13:Q77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7"/>
  <sheetViews>
    <sheetView showGridLines="0" workbookViewId="0">
      <selection activeCell="I23" sqref="I23"/>
    </sheetView>
  </sheetViews>
  <sheetFormatPr baseColWidth="10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11" bestFit="1" customWidth="1"/>
    <col min="5" max="5" width="12.7109375" bestFit="1" customWidth="1"/>
    <col min="6" max="7" width="11" bestFit="1" customWidth="1"/>
    <col min="8" max="8" width="12" bestFit="1" customWidth="1"/>
    <col min="9" max="9" width="12.7109375" bestFit="1" customWidth="1"/>
    <col min="10" max="10" width="9.140625" bestFit="1" customWidth="1"/>
    <col min="11" max="11" width="10.140625" bestFit="1" customWidth="1"/>
    <col min="12" max="12" width="10.85546875" bestFit="1" customWidth="1"/>
    <col min="13" max="13" width="8.7109375" bestFit="1" customWidth="1"/>
  </cols>
  <sheetData>
    <row r="4" spans="2:13" x14ac:dyDescent="0.25">
      <c r="B4" s="312" t="s">
        <v>112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4"/>
    </row>
    <row r="5" spans="2:13" x14ac:dyDescent="0.25">
      <c r="B5" s="309">
        <f>'RESUMEN '!B3:J3</f>
        <v>44599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1"/>
    </row>
    <row r="6" spans="2:13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2:13" x14ac:dyDescent="0.25">
      <c r="B7" s="39" t="s">
        <v>113</v>
      </c>
      <c r="C7" s="39" t="s">
        <v>173</v>
      </c>
      <c r="D7" s="39" t="s">
        <v>117</v>
      </c>
      <c r="E7" s="39" t="s">
        <v>118</v>
      </c>
      <c r="F7" s="39" t="s">
        <v>119</v>
      </c>
      <c r="G7" s="39" t="s">
        <v>120</v>
      </c>
      <c r="H7" s="39" t="s">
        <v>121</v>
      </c>
      <c r="I7" s="39" t="s">
        <v>115</v>
      </c>
      <c r="J7" s="39" t="s">
        <v>122</v>
      </c>
      <c r="K7" s="39" t="s">
        <v>123</v>
      </c>
      <c r="L7" s="39" t="s">
        <v>124</v>
      </c>
      <c r="M7" s="39" t="s">
        <v>116</v>
      </c>
    </row>
    <row r="8" spans="2:13" x14ac:dyDescent="0.25">
      <c r="B8" s="280" t="s">
        <v>178</v>
      </c>
      <c r="C8" s="36" t="s">
        <v>56</v>
      </c>
      <c r="D8" s="250">
        <v>26</v>
      </c>
      <c r="E8" s="250">
        <v>36</v>
      </c>
      <c r="F8" s="250">
        <f>D8+E8</f>
        <v>62</v>
      </c>
      <c r="G8" s="90">
        <v>12.962</v>
      </c>
      <c r="H8" s="90"/>
      <c r="I8" s="250">
        <f>G13+H13</f>
        <v>39.393000000000001</v>
      </c>
      <c r="J8" s="250">
        <f>D13-G13</f>
        <v>13.038</v>
      </c>
      <c r="K8" s="250">
        <f>E13-H13</f>
        <v>9.5690000000000026</v>
      </c>
      <c r="L8" s="250">
        <f>F13-I13</f>
        <v>22.606999999999999</v>
      </c>
      <c r="M8" s="315">
        <f>I13/F13</f>
        <v>0.63537096774193547</v>
      </c>
    </row>
    <row r="9" spans="2:13" x14ac:dyDescent="0.25">
      <c r="B9" s="280"/>
      <c r="C9" s="36" t="s">
        <v>174</v>
      </c>
      <c r="D9" s="250"/>
      <c r="E9" s="250"/>
      <c r="F9" s="250"/>
      <c r="G9" s="90"/>
      <c r="H9" s="90"/>
      <c r="I9" s="250"/>
      <c r="J9" s="250"/>
      <c r="K9" s="250"/>
      <c r="L9" s="250"/>
      <c r="M9" s="315"/>
    </row>
    <row r="10" spans="2:13" x14ac:dyDescent="0.25">
      <c r="B10" s="280"/>
      <c r="C10" s="189" t="s">
        <v>176</v>
      </c>
      <c r="D10" s="250"/>
      <c r="E10" s="250"/>
      <c r="F10" s="250"/>
      <c r="G10" s="90"/>
      <c r="H10" s="90">
        <v>26.306999999999999</v>
      </c>
      <c r="I10" s="250"/>
      <c r="J10" s="250"/>
      <c r="K10" s="250"/>
      <c r="L10" s="250"/>
      <c r="M10" s="315"/>
    </row>
    <row r="11" spans="2:13" x14ac:dyDescent="0.25">
      <c r="B11" s="280"/>
      <c r="C11" s="189" t="s">
        <v>177</v>
      </c>
      <c r="D11" s="250"/>
      <c r="E11" s="250"/>
      <c r="F11" s="250"/>
      <c r="G11" s="90"/>
      <c r="H11" s="90"/>
      <c r="I11" s="250"/>
      <c r="J11" s="250"/>
      <c r="K11" s="250"/>
      <c r="L11" s="250"/>
      <c r="M11" s="315"/>
    </row>
    <row r="12" spans="2:13" x14ac:dyDescent="0.25">
      <c r="B12" s="280"/>
      <c r="C12" s="36" t="s">
        <v>175</v>
      </c>
      <c r="D12" s="250"/>
      <c r="E12" s="250"/>
      <c r="F12" s="250"/>
      <c r="G12" s="90"/>
      <c r="H12" s="90">
        <v>0.124</v>
      </c>
      <c r="I12" s="250"/>
      <c r="J12" s="250"/>
      <c r="K12" s="250"/>
      <c r="L12" s="250"/>
      <c r="M12" s="315"/>
    </row>
    <row r="13" spans="2:13" x14ac:dyDescent="0.25">
      <c r="B13" s="280"/>
      <c r="C13" s="190" t="s">
        <v>60</v>
      </c>
      <c r="D13" s="23">
        <f>D8</f>
        <v>26</v>
      </c>
      <c r="E13" s="23">
        <f>E8</f>
        <v>36</v>
      </c>
      <c r="F13" s="23">
        <f>SUM(F8)</f>
        <v>62</v>
      </c>
      <c r="G13" s="23">
        <f>G8+G9+G12</f>
        <v>12.962</v>
      </c>
      <c r="H13" s="23">
        <f>SUM(H8:H12)</f>
        <v>26.430999999999997</v>
      </c>
      <c r="I13" s="23">
        <f>I8</f>
        <v>39.393000000000001</v>
      </c>
      <c r="J13" s="23">
        <f>J8</f>
        <v>13.038</v>
      </c>
      <c r="K13" s="23">
        <f>K8</f>
        <v>9.5690000000000026</v>
      </c>
      <c r="L13" s="23">
        <f>L8</f>
        <v>22.606999999999999</v>
      </c>
      <c r="M13" s="34">
        <f>M8</f>
        <v>0.63537096774193547</v>
      </c>
    </row>
    <row r="15" spans="2:13" x14ac:dyDescent="0.25">
      <c r="B15" s="40" t="s">
        <v>113</v>
      </c>
      <c r="C15" s="40" t="s">
        <v>114</v>
      </c>
      <c r="D15" s="40" t="s">
        <v>119</v>
      </c>
      <c r="E15" s="40" t="s">
        <v>115</v>
      </c>
      <c r="F15" s="40" t="s">
        <v>124</v>
      </c>
      <c r="G15" s="40" t="s">
        <v>116</v>
      </c>
    </row>
    <row r="16" spans="2:13" x14ac:dyDescent="0.25">
      <c r="B16" s="307"/>
      <c r="C16" s="36" t="s">
        <v>92</v>
      </c>
      <c r="D16" s="36"/>
      <c r="E16" s="93"/>
      <c r="F16" s="36">
        <f>D16-E16</f>
        <v>0</v>
      </c>
      <c r="G16" s="37" t="e">
        <f>E16/D16</f>
        <v>#DIV/0!</v>
      </c>
    </row>
    <row r="17" spans="2:7" x14ac:dyDescent="0.25">
      <c r="B17" s="308"/>
      <c r="C17" s="190" t="s">
        <v>60</v>
      </c>
      <c r="D17" s="36"/>
      <c r="E17" s="36"/>
      <c r="F17" s="36">
        <f>D17-E17</f>
        <v>0</v>
      </c>
      <c r="G17" s="37" t="e">
        <f>E17/D17</f>
        <v>#DIV/0!</v>
      </c>
    </row>
  </sheetData>
  <mergeCells count="12">
    <mergeCell ref="B16:B17"/>
    <mergeCell ref="B5:M5"/>
    <mergeCell ref="E8:E12"/>
    <mergeCell ref="F8:F12"/>
    <mergeCell ref="B4:M4"/>
    <mergeCell ref="D8:D12"/>
    <mergeCell ref="I8:I12"/>
    <mergeCell ref="L8:L12"/>
    <mergeCell ref="M8:M12"/>
    <mergeCell ref="J8:J12"/>
    <mergeCell ref="K8:K12"/>
    <mergeCell ref="B8:B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showGridLines="0" topLeftCell="A46" workbookViewId="0">
      <selection activeCell="L88" sqref="L88"/>
    </sheetView>
  </sheetViews>
  <sheetFormatPr baseColWidth="10" defaultColWidth="11.42578125" defaultRowHeight="12" x14ac:dyDescent="0.2"/>
  <cols>
    <col min="1" max="1" width="23.28515625" style="17" bestFit="1" customWidth="1"/>
    <col min="2" max="2" width="18.85546875" style="17" bestFit="1" customWidth="1"/>
    <col min="3" max="3" width="4.85546875" style="17" bestFit="1" customWidth="1"/>
    <col min="4" max="4" width="14.42578125" style="17" bestFit="1" customWidth="1"/>
    <col min="5" max="5" width="33" style="17" bestFit="1" customWidth="1"/>
    <col min="6" max="6" width="10.85546875" style="17" bestFit="1" customWidth="1"/>
    <col min="7" max="7" width="10.28515625" style="17" bestFit="1" customWidth="1"/>
    <col min="8" max="8" width="8.140625" style="18" bestFit="1" customWidth="1"/>
    <col min="9" max="9" width="16" style="18" bestFit="1" customWidth="1"/>
    <col min="10" max="10" width="11.7109375" style="18" bestFit="1" customWidth="1"/>
    <col min="11" max="11" width="6.5703125" style="18" bestFit="1" customWidth="1"/>
    <col min="12" max="12" width="7.42578125" style="18" bestFit="1" customWidth="1"/>
    <col min="13" max="13" width="15.85546875" style="30" bestFit="1" customWidth="1"/>
    <col min="14" max="14" width="10.85546875" style="35" customWidth="1"/>
    <col min="15" max="15" width="9" style="17" bestFit="1" customWidth="1"/>
    <col min="16" max="16" width="4.42578125" style="17" bestFit="1" customWidth="1"/>
    <col min="17" max="16384" width="11.42578125" style="17"/>
  </cols>
  <sheetData>
    <row r="1" spans="1:17" x14ac:dyDescent="0.2">
      <c r="A1" s="5" t="s">
        <v>65</v>
      </c>
      <c r="B1" s="5" t="s">
        <v>66</v>
      </c>
      <c r="C1" s="5" t="s">
        <v>67</v>
      </c>
      <c r="D1" s="6" t="s">
        <v>68</v>
      </c>
      <c r="E1" s="5" t="s">
        <v>69</v>
      </c>
      <c r="F1" s="5" t="s">
        <v>70</v>
      </c>
      <c r="G1" s="5" t="s">
        <v>71</v>
      </c>
      <c r="H1" s="7" t="s">
        <v>72</v>
      </c>
      <c r="I1" s="7" t="s">
        <v>73</v>
      </c>
      <c r="J1" s="7" t="s">
        <v>74</v>
      </c>
      <c r="K1" s="7" t="s">
        <v>75</v>
      </c>
      <c r="L1" s="7" t="s">
        <v>76</v>
      </c>
      <c r="M1" s="27" t="s">
        <v>77</v>
      </c>
      <c r="N1" s="8" t="s">
        <v>78</v>
      </c>
      <c r="O1" s="9" t="s">
        <v>79</v>
      </c>
      <c r="P1" s="10" t="s">
        <v>80</v>
      </c>
      <c r="Q1" s="10" t="s">
        <v>81</v>
      </c>
    </row>
    <row r="2" spans="1:17" x14ac:dyDescent="0.2">
      <c r="A2" s="19" t="s">
        <v>47</v>
      </c>
      <c r="B2" s="19" t="s">
        <v>82</v>
      </c>
      <c r="C2" s="19" t="s">
        <v>83</v>
      </c>
      <c r="D2" s="19" t="s">
        <v>84</v>
      </c>
      <c r="E2" s="19" t="s">
        <v>84</v>
      </c>
      <c r="F2" s="19" t="s">
        <v>85</v>
      </c>
      <c r="G2" s="19" t="s">
        <v>86</v>
      </c>
      <c r="H2" s="20">
        <f>'CUOTA ARTESANAL'!E6</f>
        <v>7</v>
      </c>
      <c r="I2" s="20">
        <f>'CUOTA ARTESANAL'!F6</f>
        <v>0</v>
      </c>
      <c r="J2" s="20">
        <f>'CUOTA ARTESANAL'!G6</f>
        <v>7</v>
      </c>
      <c r="K2" s="20">
        <f>'CUOTA ARTESANAL'!H6</f>
        <v>0</v>
      </c>
      <c r="L2" s="20">
        <f>'CUOTA ARTESANAL'!I6</f>
        <v>7</v>
      </c>
      <c r="M2" s="28">
        <f>'CUOTA ARTESANAL'!J6</f>
        <v>0</v>
      </c>
      <c r="N2" s="21" t="str">
        <f>'CUOTA ARTESANAL'!K6</f>
        <v>-</v>
      </c>
      <c r="O2" s="21">
        <f>'RESUMEN '!$B$3</f>
        <v>44599</v>
      </c>
      <c r="P2" s="19">
        <v>2021</v>
      </c>
      <c r="Q2" s="19"/>
    </row>
    <row r="3" spans="1:17" x14ac:dyDescent="0.2">
      <c r="A3" s="19" t="s">
        <v>47</v>
      </c>
      <c r="B3" s="19" t="s">
        <v>82</v>
      </c>
      <c r="C3" s="19" t="s">
        <v>83</v>
      </c>
      <c r="D3" s="19" t="s">
        <v>84</v>
      </c>
      <c r="E3" s="19" t="s">
        <v>84</v>
      </c>
      <c r="F3" s="19" t="s">
        <v>87</v>
      </c>
      <c r="G3" s="19" t="s">
        <v>88</v>
      </c>
      <c r="H3" s="20">
        <f>'CUOTA ARTESANAL'!E7</f>
        <v>1</v>
      </c>
      <c r="I3" s="20">
        <f>'CUOTA ARTESANAL'!F7</f>
        <v>0</v>
      </c>
      <c r="J3" s="20">
        <f>'CUOTA ARTESANAL'!G7</f>
        <v>8</v>
      </c>
      <c r="K3" s="20">
        <f>'CUOTA ARTESANAL'!H7</f>
        <v>0</v>
      </c>
      <c r="L3" s="20">
        <f>'CUOTA ARTESANAL'!I7</f>
        <v>8</v>
      </c>
      <c r="M3" s="28">
        <f>'CUOTA ARTESANAL'!J7</f>
        <v>0</v>
      </c>
      <c r="N3" s="21" t="str">
        <f>'CUOTA ARTESANAL'!K7</f>
        <v>-</v>
      </c>
      <c r="O3" s="21">
        <f>'RESUMEN '!$B$3</f>
        <v>44599</v>
      </c>
      <c r="P3" s="19">
        <v>2021</v>
      </c>
      <c r="Q3" s="19"/>
    </row>
    <row r="4" spans="1:17" x14ac:dyDescent="0.2">
      <c r="A4" s="19" t="s">
        <v>47</v>
      </c>
      <c r="B4" s="19" t="s">
        <v>82</v>
      </c>
      <c r="C4" s="19" t="s">
        <v>83</v>
      </c>
      <c r="D4" s="19" t="s">
        <v>84</v>
      </c>
      <c r="E4" s="19" t="s">
        <v>84</v>
      </c>
      <c r="F4" s="19" t="s">
        <v>89</v>
      </c>
      <c r="G4" s="19" t="s">
        <v>88</v>
      </c>
      <c r="H4" s="20">
        <f>'CUOTA ARTESANAL'!L6</f>
        <v>8</v>
      </c>
      <c r="I4" s="20">
        <f>'CUOTA ARTESANAL'!M6</f>
        <v>0</v>
      </c>
      <c r="J4" s="20">
        <f>'CUOTA ARTESANAL'!N6</f>
        <v>8</v>
      </c>
      <c r="K4" s="20">
        <f>'CUOTA ARTESANAL'!O6</f>
        <v>0</v>
      </c>
      <c r="L4" s="20">
        <f>'CUOTA ARTESANAL'!P6</f>
        <v>8</v>
      </c>
      <c r="M4" s="28">
        <f>'CUOTA ARTESANAL'!Q6</f>
        <v>0</v>
      </c>
      <c r="N4" s="21" t="s">
        <v>92</v>
      </c>
      <c r="O4" s="21">
        <f>'RESUMEN '!$B$3</f>
        <v>44599</v>
      </c>
      <c r="P4" s="19">
        <v>2021</v>
      </c>
      <c r="Q4" s="19"/>
    </row>
    <row r="5" spans="1:17" x14ac:dyDescent="0.2">
      <c r="A5" s="19" t="s">
        <v>47</v>
      </c>
      <c r="B5" s="19" t="s">
        <v>82</v>
      </c>
      <c r="C5" s="19" t="s">
        <v>90</v>
      </c>
      <c r="D5" s="19" t="s">
        <v>91</v>
      </c>
      <c r="E5" s="19" t="str">
        <f>'CUOTA ARTESANAL'!C8</f>
        <v>PUNTA TALCA</v>
      </c>
      <c r="F5" s="19" t="s">
        <v>85</v>
      </c>
      <c r="G5" s="19" t="s">
        <v>86</v>
      </c>
      <c r="H5" s="20">
        <f>'CUOTA ARTESANAL'!E8</f>
        <v>118.44</v>
      </c>
      <c r="I5" s="20">
        <f>'CUOTA ARTESANAL'!F8</f>
        <v>-35.846999999999994</v>
      </c>
      <c r="J5" s="20">
        <f>'CUOTA ARTESANAL'!G8</f>
        <v>82.593000000000004</v>
      </c>
      <c r="K5" s="20">
        <f>'CUOTA ARTESANAL'!H8</f>
        <v>80.221999999999994</v>
      </c>
      <c r="L5" s="20">
        <f>'CUOTA ARTESANAL'!I8</f>
        <v>2.3710000000000093</v>
      </c>
      <c r="M5" s="28">
        <f>'CUOTA ARTESANAL'!J8</f>
        <v>0.9712929667163076</v>
      </c>
      <c r="N5" s="21">
        <f>'CUOTA ARTESANAL'!K8</f>
        <v>44312</v>
      </c>
      <c r="O5" s="21">
        <f>'RESUMEN '!$B$3</f>
        <v>44599</v>
      </c>
      <c r="P5" s="19">
        <v>2021</v>
      </c>
      <c r="Q5" s="19"/>
    </row>
    <row r="6" spans="1:17" x14ac:dyDescent="0.2">
      <c r="A6" s="19" t="s">
        <v>47</v>
      </c>
      <c r="B6" s="19" t="s">
        <v>82</v>
      </c>
      <c r="C6" s="19" t="s">
        <v>90</v>
      </c>
      <c r="D6" s="19" t="s">
        <v>91</v>
      </c>
      <c r="E6" s="19" t="str">
        <f>'CUOTA ARTESANAL'!C8</f>
        <v>PUNTA TALCA</v>
      </c>
      <c r="F6" s="19" t="s">
        <v>87</v>
      </c>
      <c r="G6" s="19" t="s">
        <v>88</v>
      </c>
      <c r="H6" s="20">
        <f>'CUOTA ARTESANAL'!E9</f>
        <v>13.254</v>
      </c>
      <c r="I6" s="20">
        <f>'CUOTA ARTESANAL'!F9</f>
        <v>0</v>
      </c>
      <c r="J6" s="20">
        <f>'CUOTA ARTESANAL'!G9</f>
        <v>15.625000000000009</v>
      </c>
      <c r="K6" s="20">
        <f>'CUOTA ARTESANAL'!H9</f>
        <v>12.882</v>
      </c>
      <c r="L6" s="20">
        <f>'CUOTA ARTESANAL'!I9</f>
        <v>2.7430000000000092</v>
      </c>
      <c r="M6" s="28">
        <f>'CUOTA ARTESANAL'!J9</f>
        <v>0.82444799999999951</v>
      </c>
      <c r="N6" s="21">
        <f>'CUOTA ARTESANAL'!K9</f>
        <v>44470</v>
      </c>
      <c r="O6" s="21">
        <f>'RESUMEN '!$B$3</f>
        <v>44599</v>
      </c>
      <c r="P6" s="19">
        <v>2021</v>
      </c>
      <c r="Q6" s="19"/>
    </row>
    <row r="7" spans="1:17" x14ac:dyDescent="0.2">
      <c r="A7" s="19" t="s">
        <v>47</v>
      </c>
      <c r="B7" s="19" t="s">
        <v>82</v>
      </c>
      <c r="C7" s="19" t="s">
        <v>90</v>
      </c>
      <c r="D7" s="19" t="s">
        <v>91</v>
      </c>
      <c r="E7" s="19" t="str">
        <f>'CUOTA ARTESANAL'!C8</f>
        <v>PUNTA TALCA</v>
      </c>
      <c r="F7" s="19" t="s">
        <v>89</v>
      </c>
      <c r="G7" s="19" t="s">
        <v>88</v>
      </c>
      <c r="H7" s="20">
        <f>'CUOTA ARTESANAL'!L8</f>
        <v>131.69399999999999</v>
      </c>
      <c r="I7" s="20">
        <f>'CUOTA ARTESANAL'!M8</f>
        <v>-35.846999999999994</v>
      </c>
      <c r="J7" s="20">
        <f>'CUOTA ARTESANAL'!N8</f>
        <v>95.846999999999994</v>
      </c>
      <c r="K7" s="20">
        <f>'CUOTA ARTESANAL'!O8</f>
        <v>93.103999999999999</v>
      </c>
      <c r="L7" s="20">
        <f>'CUOTA ARTESANAL'!P8</f>
        <v>2.742999999999995</v>
      </c>
      <c r="M7" s="28">
        <f>'CUOTA ARTESANAL'!Q8</f>
        <v>0.97138147255521823</v>
      </c>
      <c r="N7" s="21" t="s">
        <v>92</v>
      </c>
      <c r="O7" s="21">
        <f>'RESUMEN '!$B$3</f>
        <v>44599</v>
      </c>
      <c r="P7" s="19">
        <v>2021</v>
      </c>
      <c r="Q7" s="19"/>
    </row>
    <row r="8" spans="1:17" x14ac:dyDescent="0.2">
      <c r="A8" s="19" t="s">
        <v>47</v>
      </c>
      <c r="B8" s="19" t="s">
        <v>82</v>
      </c>
      <c r="C8" s="19" t="s">
        <v>90</v>
      </c>
      <c r="D8" s="19" t="s">
        <v>91</v>
      </c>
      <c r="E8" s="19" t="str">
        <f>'CUOTA ARTESANAL'!C10</f>
        <v>TRAUWUN I</v>
      </c>
      <c r="F8" s="19" t="s">
        <v>85</v>
      </c>
      <c r="G8" s="19" t="s">
        <v>86</v>
      </c>
      <c r="H8" s="20">
        <f>'CUOTA ARTESANAL'!E10</f>
        <v>110.46</v>
      </c>
      <c r="I8" s="20">
        <f>'CUOTA ARTESANAL'!F10</f>
        <v>0</v>
      </c>
      <c r="J8" s="20">
        <f>'CUOTA ARTESANAL'!G10</f>
        <v>110.46</v>
      </c>
      <c r="K8" s="20">
        <f>'CUOTA ARTESANAL'!H10</f>
        <v>97.364000000000004</v>
      </c>
      <c r="L8" s="20">
        <f>'CUOTA ARTESANAL'!I10</f>
        <v>13.095999999999989</v>
      </c>
      <c r="M8" s="28">
        <f>'CUOTA ARTESANAL'!J10</f>
        <v>0.88144124569980087</v>
      </c>
      <c r="N8" s="21" t="str">
        <f>'CUOTA ARTESANAL'!K10</f>
        <v>-</v>
      </c>
      <c r="O8" s="21">
        <f>'RESUMEN '!$B$3</f>
        <v>44599</v>
      </c>
      <c r="P8" s="19">
        <v>2021</v>
      </c>
      <c r="Q8" s="19"/>
    </row>
    <row r="9" spans="1:17" x14ac:dyDescent="0.2">
      <c r="A9" s="19" t="s">
        <v>47</v>
      </c>
      <c r="B9" s="19" t="s">
        <v>82</v>
      </c>
      <c r="C9" s="19" t="s">
        <v>90</v>
      </c>
      <c r="D9" s="19" t="s">
        <v>91</v>
      </c>
      <c r="E9" s="19" t="str">
        <f>'CUOTA ARTESANAL'!C10</f>
        <v>TRAUWUN I</v>
      </c>
      <c r="F9" s="19" t="s">
        <v>87</v>
      </c>
      <c r="G9" s="19" t="s">
        <v>88</v>
      </c>
      <c r="H9" s="20">
        <f>'CUOTA ARTESANAL'!E11</f>
        <v>12.361000000000001</v>
      </c>
      <c r="I9" s="20">
        <f>'CUOTA ARTESANAL'!F11</f>
        <v>0</v>
      </c>
      <c r="J9" s="20">
        <f>'CUOTA ARTESANAL'!G11</f>
        <v>25.45699999999999</v>
      </c>
      <c r="K9" s="20">
        <f>'CUOTA ARTESANAL'!H11</f>
        <v>23.96</v>
      </c>
      <c r="L9" s="20">
        <f>'CUOTA ARTESANAL'!I11</f>
        <v>1.4969999999999892</v>
      </c>
      <c r="M9" s="28">
        <f>'CUOTA ARTESANAL'!J11</f>
        <v>0.94119495620065252</v>
      </c>
      <c r="N9" s="21" t="str">
        <f>'CUOTA ARTESANAL'!K11</f>
        <v>-</v>
      </c>
      <c r="O9" s="21">
        <f>'RESUMEN '!$B$3</f>
        <v>44599</v>
      </c>
      <c r="P9" s="19">
        <v>2021</v>
      </c>
      <c r="Q9" s="19"/>
    </row>
    <row r="10" spans="1:17" x14ac:dyDescent="0.2">
      <c r="A10" s="19" t="s">
        <v>47</v>
      </c>
      <c r="B10" s="19" t="s">
        <v>82</v>
      </c>
      <c r="C10" s="19" t="s">
        <v>90</v>
      </c>
      <c r="D10" s="19" t="s">
        <v>91</v>
      </c>
      <c r="E10" s="19" t="str">
        <f>'CUOTA ARTESANAL'!C10</f>
        <v>TRAUWUN I</v>
      </c>
      <c r="F10" s="19" t="s">
        <v>89</v>
      </c>
      <c r="G10" s="19" t="s">
        <v>88</v>
      </c>
      <c r="H10" s="20">
        <f>'CUOTA ARTESANAL'!L10</f>
        <v>122.821</v>
      </c>
      <c r="I10" s="20">
        <f>'CUOTA ARTESANAL'!M10</f>
        <v>0</v>
      </c>
      <c r="J10" s="20">
        <f>'CUOTA ARTESANAL'!N10</f>
        <v>122.821</v>
      </c>
      <c r="K10" s="20">
        <f>'CUOTA ARTESANAL'!O10</f>
        <v>121.32400000000001</v>
      </c>
      <c r="L10" s="20">
        <f>'CUOTA ARTESANAL'!P10</f>
        <v>1.4969999999999857</v>
      </c>
      <c r="M10" s="28">
        <f>'CUOTA ARTESANAL'!Q10</f>
        <v>0.98781153060144444</v>
      </c>
      <c r="N10" s="21" t="s">
        <v>92</v>
      </c>
      <c r="O10" s="21">
        <f>'RESUMEN '!$B$3</f>
        <v>44599</v>
      </c>
      <c r="P10" s="19">
        <v>2021</v>
      </c>
      <c r="Q10" s="19"/>
    </row>
    <row r="11" spans="1:17" x14ac:dyDescent="0.2">
      <c r="A11" s="19" t="s">
        <v>47</v>
      </c>
      <c r="B11" s="19" t="s">
        <v>82</v>
      </c>
      <c r="C11" s="19" t="s">
        <v>90</v>
      </c>
      <c r="D11" s="19" t="s">
        <v>91</v>
      </c>
      <c r="E11" s="19" t="str">
        <f>'CUOTA ARTESANAL'!C12</f>
        <v>CHAFIC I</v>
      </c>
      <c r="F11" s="19" t="s">
        <v>85</v>
      </c>
      <c r="G11" s="19" t="s">
        <v>86</v>
      </c>
      <c r="H11" s="20">
        <f>'CUOTA ARTESANAL'!E12</f>
        <v>85.26</v>
      </c>
      <c r="I11" s="20">
        <f>'CUOTA ARTESANAL'!F12</f>
        <v>66.512690000000006</v>
      </c>
      <c r="J11" s="20">
        <f>'CUOTA ARTESANAL'!G12</f>
        <v>151.77269000000001</v>
      </c>
      <c r="K11" s="20">
        <f>'CUOTA ARTESANAL'!H12</f>
        <v>90.711999999999989</v>
      </c>
      <c r="L11" s="20">
        <f>'CUOTA ARTESANAL'!I12</f>
        <v>61.060690000000022</v>
      </c>
      <c r="M11" s="28">
        <f>'CUOTA ARTESANAL'!J12</f>
        <v>0.59768328544483185</v>
      </c>
      <c r="N11" s="21">
        <f>'CUOTA ARTESANAL'!K12</f>
        <v>44376</v>
      </c>
      <c r="O11" s="21">
        <f>'RESUMEN '!$B$3</f>
        <v>44599</v>
      </c>
      <c r="P11" s="19">
        <v>2021</v>
      </c>
      <c r="Q11" s="19"/>
    </row>
    <row r="12" spans="1:17" x14ac:dyDescent="0.2">
      <c r="A12" s="19" t="s">
        <v>47</v>
      </c>
      <c r="B12" s="19" t="s">
        <v>82</v>
      </c>
      <c r="C12" s="19" t="s">
        <v>90</v>
      </c>
      <c r="D12" s="19" t="s">
        <v>91</v>
      </c>
      <c r="E12" s="19" t="str">
        <f>'CUOTA ARTESANAL'!C12</f>
        <v>CHAFIC I</v>
      </c>
      <c r="F12" s="19" t="s">
        <v>87</v>
      </c>
      <c r="G12" s="19" t="s">
        <v>88</v>
      </c>
      <c r="H12" s="20">
        <f>'CUOTA ARTESANAL'!E13</f>
        <v>9.5410000000000004</v>
      </c>
      <c r="I12" s="20">
        <f>'CUOTA ARTESANAL'!F13</f>
        <v>0</v>
      </c>
      <c r="J12" s="20">
        <f>'CUOTA ARTESANAL'!G13</f>
        <v>70.601690000000019</v>
      </c>
      <c r="K12" s="20">
        <f>'CUOTA ARTESANAL'!H13</f>
        <v>66.191999999999993</v>
      </c>
      <c r="L12" s="20">
        <f>'CUOTA ARTESANAL'!I13</f>
        <v>4.4096900000000261</v>
      </c>
      <c r="M12" s="28">
        <f>'CUOTA ARTESANAL'!J13</f>
        <v>0.93754129681598242</v>
      </c>
      <c r="N12" s="21" t="str">
        <f>'CUOTA ARTESANAL'!K13</f>
        <v>-</v>
      </c>
      <c r="O12" s="21">
        <f>'RESUMEN '!$B$3</f>
        <v>44599</v>
      </c>
      <c r="P12" s="19">
        <v>2021</v>
      </c>
      <c r="Q12" s="19"/>
    </row>
    <row r="13" spans="1:17" x14ac:dyDescent="0.2">
      <c r="A13" s="19" t="s">
        <v>47</v>
      </c>
      <c r="B13" s="19" t="s">
        <v>82</v>
      </c>
      <c r="C13" s="19" t="s">
        <v>90</v>
      </c>
      <c r="D13" s="19" t="s">
        <v>91</v>
      </c>
      <c r="E13" s="19" t="str">
        <f>'CUOTA ARTESANAL'!C12</f>
        <v>CHAFIC I</v>
      </c>
      <c r="F13" s="19" t="s">
        <v>89</v>
      </c>
      <c r="G13" s="19" t="s">
        <v>88</v>
      </c>
      <c r="H13" s="20">
        <f>'CUOTA ARTESANAL'!L12</f>
        <v>94.801000000000002</v>
      </c>
      <c r="I13" s="20">
        <f>'CUOTA ARTESANAL'!M12</f>
        <v>66.512690000000006</v>
      </c>
      <c r="J13" s="20">
        <f>'CUOTA ARTESANAL'!N12</f>
        <v>161.31369000000001</v>
      </c>
      <c r="K13" s="20">
        <f>'CUOTA ARTESANAL'!O12</f>
        <v>156.904</v>
      </c>
      <c r="L13" s="20">
        <f>'CUOTA ARTESANAL'!P12</f>
        <v>4.4096900000000119</v>
      </c>
      <c r="M13" s="28">
        <f>'CUOTA ARTESANAL'!Q12</f>
        <v>0.97266388240204527</v>
      </c>
      <c r="N13" s="21" t="s">
        <v>92</v>
      </c>
      <c r="O13" s="21">
        <f>'RESUMEN '!$B$3</f>
        <v>44599</v>
      </c>
      <c r="P13" s="19">
        <v>2021</v>
      </c>
      <c r="Q13" s="19"/>
    </row>
    <row r="14" spans="1:17" x14ac:dyDescent="0.2">
      <c r="A14" s="19" t="s">
        <v>47</v>
      </c>
      <c r="B14" s="19" t="s">
        <v>82</v>
      </c>
      <c r="C14" s="19" t="s">
        <v>90</v>
      </c>
      <c r="D14" s="19" t="s">
        <v>91</v>
      </c>
      <c r="E14" s="19" t="str">
        <f>'CUOTA ARTESANAL'!C14:C15</f>
        <v>ISLA TABON</v>
      </c>
      <c r="F14" s="19" t="s">
        <v>85</v>
      </c>
      <c r="G14" s="19" t="s">
        <v>86</v>
      </c>
      <c r="H14" s="20">
        <f>'CUOTA ARTESANAL'!E14</f>
        <v>80.64</v>
      </c>
      <c r="I14" s="20">
        <f>'CUOTA ARTESANAL'!F14</f>
        <v>0</v>
      </c>
      <c r="J14" s="20">
        <f>'CUOTA ARTESANAL'!G14</f>
        <v>80.64</v>
      </c>
      <c r="K14" s="20">
        <f>'CUOTA ARTESANAL'!H14</f>
        <v>38.917999999999999</v>
      </c>
      <c r="L14" s="20">
        <f>'CUOTA ARTESANAL'!I14</f>
        <v>41.722000000000001</v>
      </c>
      <c r="M14" s="28">
        <f>'CUOTA ARTESANAL'!J14</f>
        <v>0.48261408730158728</v>
      </c>
      <c r="N14" s="21" t="str">
        <f>'CUOTA ARTESANAL'!K14</f>
        <v>-</v>
      </c>
      <c r="O14" s="21">
        <f>'RESUMEN '!$B$3</f>
        <v>44599</v>
      </c>
      <c r="P14" s="19">
        <v>2021</v>
      </c>
      <c r="Q14" s="19"/>
    </row>
    <row r="15" spans="1:17" x14ac:dyDescent="0.2">
      <c r="A15" s="19" t="s">
        <v>47</v>
      </c>
      <c r="B15" s="19" t="s">
        <v>82</v>
      </c>
      <c r="C15" s="19" t="s">
        <v>90</v>
      </c>
      <c r="D15" s="19" t="s">
        <v>91</v>
      </c>
      <c r="E15" s="19" t="str">
        <f>'CUOTA ARTESANAL'!C14</f>
        <v>ISLA TABON</v>
      </c>
      <c r="F15" s="19" t="s">
        <v>87</v>
      </c>
      <c r="G15" s="19" t="s">
        <v>88</v>
      </c>
      <c r="H15" s="20">
        <f>'CUOTA ARTESANAL'!E15</f>
        <v>9.0239999999999991</v>
      </c>
      <c r="I15" s="20">
        <f>'CUOTA ARTESANAL'!F15</f>
        <v>0</v>
      </c>
      <c r="J15" s="20">
        <f>'CUOTA ARTESANAL'!G15</f>
        <v>50.746000000000002</v>
      </c>
      <c r="K15" s="20">
        <f>'CUOTA ARTESANAL'!H15</f>
        <v>0</v>
      </c>
      <c r="L15" s="20">
        <f>'CUOTA ARTESANAL'!I15</f>
        <v>50.746000000000002</v>
      </c>
      <c r="M15" s="28">
        <f>'CUOTA ARTESANAL'!J15</f>
        <v>0</v>
      </c>
      <c r="N15" s="21" t="str">
        <f>'CUOTA ARTESANAL'!K15</f>
        <v>-</v>
      </c>
      <c r="O15" s="21">
        <f>'RESUMEN '!$B$3</f>
        <v>44599</v>
      </c>
      <c r="P15" s="19">
        <v>2021</v>
      </c>
      <c r="Q15" s="19"/>
    </row>
    <row r="16" spans="1:17" x14ac:dyDescent="0.2">
      <c r="A16" s="19" t="s">
        <v>47</v>
      </c>
      <c r="B16" s="19" t="s">
        <v>82</v>
      </c>
      <c r="C16" s="19" t="s">
        <v>90</v>
      </c>
      <c r="D16" s="19" t="s">
        <v>91</v>
      </c>
      <c r="E16" s="19" t="str">
        <f>'CUOTA ARTESANAL'!C14</f>
        <v>ISLA TABON</v>
      </c>
      <c r="F16" s="19" t="s">
        <v>89</v>
      </c>
      <c r="G16" s="19" t="s">
        <v>88</v>
      </c>
      <c r="H16" s="20">
        <f>'CUOTA ARTESANAL'!L14</f>
        <v>89.664000000000001</v>
      </c>
      <c r="I16" s="20">
        <f>'CUOTA ARTESANAL'!M14</f>
        <v>0</v>
      </c>
      <c r="J16" s="20">
        <f>'CUOTA ARTESANAL'!N14</f>
        <v>89.664000000000001</v>
      </c>
      <c r="K16" s="20">
        <f>'CUOTA ARTESANAL'!O14</f>
        <v>38.917999999999999</v>
      </c>
      <c r="L16" s="20">
        <f>'CUOTA ARTESANAL'!P14</f>
        <v>50.746000000000002</v>
      </c>
      <c r="M16" s="28">
        <f>'CUOTA ARTESANAL'!Q14</f>
        <v>0.43404264810849391</v>
      </c>
      <c r="N16" s="21" t="s">
        <v>92</v>
      </c>
      <c r="O16" s="21">
        <f>'RESUMEN '!$B$3</f>
        <v>44599</v>
      </c>
      <c r="P16" s="19">
        <v>2021</v>
      </c>
      <c r="Q16" s="19"/>
    </row>
    <row r="17" spans="1:17" x14ac:dyDescent="0.2">
      <c r="A17" s="19" t="s">
        <v>47</v>
      </c>
      <c r="B17" s="19" t="s">
        <v>82</v>
      </c>
      <c r="C17" s="19" t="s">
        <v>90</v>
      </c>
      <c r="D17" s="19" t="s">
        <v>91</v>
      </c>
      <c r="E17" s="19" t="str">
        <f>'CUOTA ARTESANAL'!C16</f>
        <v>RESIDUAL</v>
      </c>
      <c r="F17" s="19" t="s">
        <v>85</v>
      </c>
      <c r="G17" s="19" t="s">
        <v>86</v>
      </c>
      <c r="H17" s="20">
        <f>'CUOTA ARTESANAL'!E16</f>
        <v>25.2</v>
      </c>
      <c r="I17" s="20">
        <f>'CUOTA ARTESANAL'!F16</f>
        <v>0</v>
      </c>
      <c r="J17" s="20">
        <f>'CUOTA ARTESANAL'!G16</f>
        <v>25.2</v>
      </c>
      <c r="K17" s="20">
        <f>'CUOTA ARTESANAL'!H16</f>
        <v>10.014999999999999</v>
      </c>
      <c r="L17" s="20">
        <f>'CUOTA ARTESANAL'!I16</f>
        <v>15.185</v>
      </c>
      <c r="M17" s="28">
        <f>'CUOTA ARTESANAL'!J16</f>
        <v>0.3974206349206349</v>
      </c>
      <c r="N17" s="21" t="str">
        <f>'CUOTA ARTESANAL'!K16</f>
        <v>-</v>
      </c>
      <c r="O17" s="21">
        <f>'RESUMEN '!$B$3</f>
        <v>44599</v>
      </c>
      <c r="P17" s="19">
        <v>2021</v>
      </c>
      <c r="Q17" s="19"/>
    </row>
    <row r="18" spans="1:17" x14ac:dyDescent="0.2">
      <c r="A18" s="19" t="s">
        <v>47</v>
      </c>
      <c r="B18" s="19" t="s">
        <v>82</v>
      </c>
      <c r="C18" s="19" t="s">
        <v>90</v>
      </c>
      <c r="D18" s="19" t="s">
        <v>91</v>
      </c>
      <c r="E18" s="19" t="str">
        <f>'CUOTA ARTESANAL'!C16</f>
        <v>RESIDUAL</v>
      </c>
      <c r="F18" s="19" t="s">
        <v>87</v>
      </c>
      <c r="G18" s="19" t="s">
        <v>88</v>
      </c>
      <c r="H18" s="20">
        <f>'CUOTA ARTESANAL'!E17</f>
        <v>2.82</v>
      </c>
      <c r="I18" s="20">
        <f>'CUOTA ARTESANAL'!F17</f>
        <v>0</v>
      </c>
      <c r="J18" s="20">
        <f>'CUOTA ARTESANAL'!G17</f>
        <v>18.004999999999999</v>
      </c>
      <c r="K18" s="20">
        <f>'CUOTA ARTESANAL'!H17</f>
        <v>8.5980000000000008</v>
      </c>
      <c r="L18" s="20">
        <f>'CUOTA ARTESANAL'!I17</f>
        <v>9.4069999999999983</v>
      </c>
      <c r="M18" s="28">
        <f>'CUOTA ARTESANAL'!J17</f>
        <v>0.47753401832824222</v>
      </c>
      <c r="N18" s="21" t="str">
        <f>'CUOTA ARTESANAL'!K17</f>
        <v>-</v>
      </c>
      <c r="O18" s="21">
        <f>'RESUMEN '!$B$3</f>
        <v>44599</v>
      </c>
      <c r="P18" s="19">
        <v>2021</v>
      </c>
      <c r="Q18" s="19"/>
    </row>
    <row r="19" spans="1:17" x14ac:dyDescent="0.2">
      <c r="A19" s="19" t="s">
        <v>47</v>
      </c>
      <c r="B19" s="19" t="s">
        <v>82</v>
      </c>
      <c r="C19" s="19" t="s">
        <v>90</v>
      </c>
      <c r="D19" s="19" t="s">
        <v>91</v>
      </c>
      <c r="E19" s="19" t="str">
        <f>'CUOTA ARTESANAL'!C16</f>
        <v>RESIDUAL</v>
      </c>
      <c r="F19" s="19" t="s">
        <v>89</v>
      </c>
      <c r="G19" s="19" t="s">
        <v>88</v>
      </c>
      <c r="H19" s="20">
        <f>'CUOTA ARTESANAL'!L16</f>
        <v>28.02</v>
      </c>
      <c r="I19" s="20">
        <f>'CUOTA ARTESANAL'!M16</f>
        <v>0</v>
      </c>
      <c r="J19" s="20">
        <f>'CUOTA ARTESANAL'!N16</f>
        <v>28.02</v>
      </c>
      <c r="K19" s="20">
        <f>'CUOTA ARTESANAL'!O16</f>
        <v>18.613</v>
      </c>
      <c r="L19" s="20">
        <f>'CUOTA ARTESANAL'!P16</f>
        <v>9.407</v>
      </c>
      <c r="M19" s="28">
        <f>'CUOTA ARTESANAL'!Q16</f>
        <v>0.6642755174875089</v>
      </c>
      <c r="N19" s="21" t="s">
        <v>92</v>
      </c>
      <c r="O19" s="21">
        <f>'RESUMEN '!$B$3</f>
        <v>44599</v>
      </c>
      <c r="P19" s="19">
        <v>2021</v>
      </c>
      <c r="Q19" s="19"/>
    </row>
    <row r="20" spans="1:17" x14ac:dyDescent="0.2">
      <c r="A20" s="19" t="s">
        <v>47</v>
      </c>
      <c r="B20" s="19" t="s">
        <v>82</v>
      </c>
      <c r="C20" s="19" t="s">
        <v>93</v>
      </c>
      <c r="D20" s="19" t="s">
        <v>14</v>
      </c>
      <c r="E20" s="19" t="s">
        <v>10</v>
      </c>
      <c r="F20" s="19" t="s">
        <v>89</v>
      </c>
      <c r="G20" s="19" t="s">
        <v>88</v>
      </c>
      <c r="H20" s="20">
        <f>'CUOTA ARTESANAL'!E18</f>
        <v>9</v>
      </c>
      <c r="I20" s="20">
        <f>'CUOTA ARTESANAL'!F18</f>
        <v>0</v>
      </c>
      <c r="J20" s="20">
        <f>'CUOTA ARTESANAL'!G18</f>
        <v>9</v>
      </c>
      <c r="K20" s="20">
        <f>'CUOTA ARTESANAL'!H18</f>
        <v>0</v>
      </c>
      <c r="L20" s="20">
        <f>'CUOTA ARTESANAL'!I18</f>
        <v>9</v>
      </c>
      <c r="M20" s="28">
        <f>'CUOTA ARTESANAL'!J18</f>
        <v>0</v>
      </c>
      <c r="N20" s="21" t="str">
        <f>'CUOTA ARTESANAL'!K18</f>
        <v>-</v>
      </c>
      <c r="O20" s="21">
        <f>'RESUMEN '!$B$3</f>
        <v>44599</v>
      </c>
      <c r="P20" s="19">
        <v>2021</v>
      </c>
      <c r="Q20" s="19"/>
    </row>
    <row r="21" spans="1:17" x14ac:dyDescent="0.2">
      <c r="A21" s="24" t="s">
        <v>47</v>
      </c>
      <c r="B21" s="24" t="s">
        <v>82</v>
      </c>
      <c r="C21" s="24" t="s">
        <v>93</v>
      </c>
      <c r="D21" s="24" t="s">
        <v>94</v>
      </c>
      <c r="E21" s="24" t="s">
        <v>95</v>
      </c>
      <c r="F21" s="24" t="s">
        <v>89</v>
      </c>
      <c r="G21" s="24" t="s">
        <v>88</v>
      </c>
      <c r="H21" s="25">
        <f>'CUOTA ARTESANAL'!E19</f>
        <v>483.99999999999994</v>
      </c>
      <c r="I21" s="25">
        <f>'CUOTA ARTESANAL'!F19</f>
        <v>30.665690000000012</v>
      </c>
      <c r="J21" s="25">
        <f>'CUOTA ARTESANAL'!G19</f>
        <v>514.66568999999993</v>
      </c>
      <c r="K21" s="25">
        <f>'CUOTA ARTESANAL'!H19</f>
        <v>428.863</v>
      </c>
      <c r="L21" s="25">
        <f>'CUOTA ARTESANAL'!I19</f>
        <v>85.802689999999927</v>
      </c>
      <c r="M21" s="29">
        <f>'CUOTA ARTESANAL'!J19</f>
        <v>0.83328461238595497</v>
      </c>
      <c r="N21" s="26" t="str">
        <f>'CUOTA ARTESANAL'!K19</f>
        <v>-</v>
      </c>
      <c r="O21" s="26">
        <f>'RESUMEN '!$B$3</f>
        <v>44599</v>
      </c>
      <c r="P21" s="19">
        <v>2021</v>
      </c>
      <c r="Q21" s="19"/>
    </row>
    <row r="22" spans="1:17" x14ac:dyDescent="0.2">
      <c r="A22" s="19" t="s">
        <v>47</v>
      </c>
      <c r="B22" s="19" t="s">
        <v>82</v>
      </c>
      <c r="C22" s="19" t="s">
        <v>83</v>
      </c>
      <c r="D22" s="19" t="s">
        <v>96</v>
      </c>
      <c r="E22" s="19" t="str">
        <f>'CUOTA LTP'!C6</f>
        <v>ANTARTIC SEAFOOD S.A.</v>
      </c>
      <c r="F22" s="19" t="s">
        <v>85</v>
      </c>
      <c r="G22" s="19" t="s">
        <v>86</v>
      </c>
      <c r="H22" s="20">
        <f>'CUOTA LTP'!E6</f>
        <v>33.140730000000005</v>
      </c>
      <c r="I22" s="20">
        <f>'CUOTA LTP'!F6</f>
        <v>0</v>
      </c>
      <c r="J22" s="20">
        <f>'CUOTA LTP'!G6</f>
        <v>33.140730000000005</v>
      </c>
      <c r="K22" s="20">
        <f>'CUOTA LTP'!H6</f>
        <v>0</v>
      </c>
      <c r="L22" s="20">
        <f>'CUOTA LTP'!I6</f>
        <v>33.140730000000005</v>
      </c>
      <c r="M22" s="28">
        <f>'CUOTA LTP'!J6</f>
        <v>0</v>
      </c>
      <c r="N22" s="21" t="s">
        <v>92</v>
      </c>
      <c r="O22" s="21">
        <f>'RESUMEN '!$B$3</f>
        <v>44599</v>
      </c>
      <c r="P22" s="19">
        <v>2021</v>
      </c>
      <c r="Q22" s="19"/>
    </row>
    <row r="23" spans="1:17" x14ac:dyDescent="0.2">
      <c r="A23" s="19" t="s">
        <v>47</v>
      </c>
      <c r="B23" s="19" t="s">
        <v>82</v>
      </c>
      <c r="C23" s="19" t="s">
        <v>83</v>
      </c>
      <c r="D23" s="19" t="s">
        <v>96</v>
      </c>
      <c r="E23" s="19" t="str">
        <f>'CUOTA LTP'!C6</f>
        <v>ANTARTIC SEAFOOD S.A.</v>
      </c>
      <c r="F23" s="19" t="s">
        <v>87</v>
      </c>
      <c r="G23" s="19" t="s">
        <v>88</v>
      </c>
      <c r="H23" s="20">
        <f>'CUOTA LTP'!E7</f>
        <v>2.9458399999999996</v>
      </c>
      <c r="I23" s="20">
        <f>'CUOTA LTP'!F7</f>
        <v>0</v>
      </c>
      <c r="J23" s="20">
        <f>'CUOTA LTP'!G7</f>
        <v>36.086570000000002</v>
      </c>
      <c r="K23" s="20">
        <f>'CUOTA LTP'!H7</f>
        <v>34.468000000000004</v>
      </c>
      <c r="L23" s="20">
        <f>'CUOTA LTP'!I7</f>
        <v>1.6185699999999983</v>
      </c>
      <c r="M23" s="28">
        <f>'CUOTA LTP'!J7</f>
        <v>0.95514757983371656</v>
      </c>
      <c r="N23" s="21" t="s">
        <v>92</v>
      </c>
      <c r="O23" s="21">
        <f>'RESUMEN '!$B$3</f>
        <v>44599</v>
      </c>
      <c r="P23" s="19">
        <v>2021</v>
      </c>
      <c r="Q23" s="19"/>
    </row>
    <row r="24" spans="1:17" x14ac:dyDescent="0.2">
      <c r="A24" s="19" t="s">
        <v>47</v>
      </c>
      <c r="B24" s="19" t="s">
        <v>82</v>
      </c>
      <c r="C24" s="19" t="s">
        <v>83</v>
      </c>
      <c r="D24" s="19" t="s">
        <v>96</v>
      </c>
      <c r="E24" s="19" t="str">
        <f>'CUOTA LTP'!C6</f>
        <v>ANTARTIC SEAFOOD S.A.</v>
      </c>
      <c r="F24" s="19" t="s">
        <v>89</v>
      </c>
      <c r="G24" s="19" t="s">
        <v>88</v>
      </c>
      <c r="H24" s="20">
        <f>'CUOTA LTP'!K6</f>
        <v>36.086570000000002</v>
      </c>
      <c r="I24" s="20">
        <f>'CUOTA LTP'!L6</f>
        <v>0</v>
      </c>
      <c r="J24" s="20">
        <f>'CUOTA LTP'!M6</f>
        <v>36.086570000000002</v>
      </c>
      <c r="K24" s="20">
        <f>'CUOTA LTP'!N6</f>
        <v>34.468000000000004</v>
      </c>
      <c r="L24" s="20">
        <f>'CUOTA LTP'!O6</f>
        <v>1.6185699999999983</v>
      </c>
      <c r="M24" s="28">
        <f>'CUOTA LTP'!P6</f>
        <v>0.95514757983371656</v>
      </c>
      <c r="N24" s="21" t="s">
        <v>92</v>
      </c>
      <c r="O24" s="21">
        <f>'RESUMEN '!$B$3</f>
        <v>44599</v>
      </c>
      <c r="P24" s="19">
        <v>2021</v>
      </c>
      <c r="Q24" s="19"/>
    </row>
    <row r="25" spans="1:17" x14ac:dyDescent="0.2">
      <c r="A25" s="19" t="s">
        <v>47</v>
      </c>
      <c r="B25" s="19" t="s">
        <v>82</v>
      </c>
      <c r="C25" s="19" t="s">
        <v>83</v>
      </c>
      <c r="D25" s="19" t="s">
        <v>96</v>
      </c>
      <c r="E25" s="19" t="str">
        <f>'CUOTA LTP'!C8</f>
        <v>QUINTERO S.A. PESQ.</v>
      </c>
      <c r="F25" s="19" t="s">
        <v>85</v>
      </c>
      <c r="G25" s="19" t="s">
        <v>86</v>
      </c>
      <c r="H25" s="20">
        <f>'CUOTA LTP'!E8</f>
        <v>5.9919400000000005</v>
      </c>
      <c r="I25" s="20">
        <f>'CUOTA LTP'!F8</f>
        <v>0</v>
      </c>
      <c r="J25" s="20">
        <f>'CUOTA LTP'!G8</f>
        <v>5.9919400000000005</v>
      </c>
      <c r="K25" s="20">
        <f>'CUOTA LTP'!H8</f>
        <v>0</v>
      </c>
      <c r="L25" s="20">
        <f>'CUOTA LTP'!I8</f>
        <v>5.9919400000000005</v>
      </c>
      <c r="M25" s="28">
        <f>'CUOTA LTP'!J8</f>
        <v>0</v>
      </c>
      <c r="N25" s="21" t="s">
        <v>92</v>
      </c>
      <c r="O25" s="21">
        <f>'RESUMEN '!$B$3</f>
        <v>44599</v>
      </c>
      <c r="P25" s="19">
        <v>2021</v>
      </c>
      <c r="Q25" s="19"/>
    </row>
    <row r="26" spans="1:17" x14ac:dyDescent="0.2">
      <c r="A26" s="19" t="s">
        <v>47</v>
      </c>
      <c r="B26" s="19" t="s">
        <v>82</v>
      </c>
      <c r="C26" s="19" t="s">
        <v>83</v>
      </c>
      <c r="D26" s="19" t="s">
        <v>96</v>
      </c>
      <c r="E26" s="19" t="str">
        <f>'CUOTA LTP'!C8</f>
        <v>QUINTERO S.A. PESQ.</v>
      </c>
      <c r="F26" s="19" t="s">
        <v>87</v>
      </c>
      <c r="G26" s="19" t="s">
        <v>88</v>
      </c>
      <c r="H26" s="20">
        <f>'CUOTA LTP'!E9</f>
        <v>0.53261999999999998</v>
      </c>
      <c r="I26" s="20">
        <f>'CUOTA LTP'!F9</f>
        <v>0</v>
      </c>
      <c r="J26" s="20">
        <f>'CUOTA LTP'!G9</f>
        <v>6.5245600000000001</v>
      </c>
      <c r="K26" s="20">
        <f>'CUOTA LTP'!H9</f>
        <v>0</v>
      </c>
      <c r="L26" s="20">
        <f>'CUOTA LTP'!I9</f>
        <v>6.5245600000000001</v>
      </c>
      <c r="M26" s="28">
        <f>'CUOTA LTP'!J9</f>
        <v>0</v>
      </c>
      <c r="N26" s="21" t="s">
        <v>92</v>
      </c>
      <c r="O26" s="21">
        <f>'RESUMEN '!$B$3</f>
        <v>44599</v>
      </c>
      <c r="P26" s="19">
        <v>2021</v>
      </c>
      <c r="Q26" s="19"/>
    </row>
    <row r="27" spans="1:17" x14ac:dyDescent="0.2">
      <c r="A27" s="19" t="s">
        <v>47</v>
      </c>
      <c r="B27" s="19" t="s">
        <v>82</v>
      </c>
      <c r="C27" s="19" t="s">
        <v>83</v>
      </c>
      <c r="D27" s="19" t="s">
        <v>96</v>
      </c>
      <c r="E27" s="19" t="str">
        <f>'CUOTA LTP'!C8</f>
        <v>QUINTERO S.A. PESQ.</v>
      </c>
      <c r="F27" s="19" t="s">
        <v>89</v>
      </c>
      <c r="G27" s="19" t="s">
        <v>88</v>
      </c>
      <c r="H27" s="20">
        <f>'CUOTA LTP'!K8</f>
        <v>6.5245600000000001</v>
      </c>
      <c r="I27" s="20">
        <f>'CUOTA LTP'!L8</f>
        <v>0</v>
      </c>
      <c r="J27" s="20">
        <f>'CUOTA LTP'!M8</f>
        <v>6.5245600000000001</v>
      </c>
      <c r="K27" s="20">
        <f>'CUOTA LTP'!N8</f>
        <v>0</v>
      </c>
      <c r="L27" s="20">
        <f>'CUOTA LTP'!O8</f>
        <v>6.5245600000000001</v>
      </c>
      <c r="M27" s="28">
        <f>'CUOTA LTP'!P8</f>
        <v>0</v>
      </c>
      <c r="N27" s="21" t="s">
        <v>92</v>
      </c>
      <c r="O27" s="21">
        <f>'RESUMEN '!$B$3</f>
        <v>44599</v>
      </c>
      <c r="P27" s="19">
        <v>2021</v>
      </c>
      <c r="Q27" s="19"/>
    </row>
    <row r="28" spans="1:17" x14ac:dyDescent="0.2">
      <c r="A28" s="19" t="s">
        <v>47</v>
      </c>
      <c r="B28" s="19" t="s">
        <v>82</v>
      </c>
      <c r="C28" s="19" t="s">
        <v>83</v>
      </c>
      <c r="D28" s="19" t="s">
        <v>96</v>
      </c>
      <c r="E28" s="19" t="str">
        <f>'CUOTA LTP'!C10</f>
        <v>BAYCIC BAYCIC MARIA</v>
      </c>
      <c r="F28" s="19" t="s">
        <v>85</v>
      </c>
      <c r="G28" s="19" t="s">
        <v>86</v>
      </c>
      <c r="H28" s="20">
        <f>'CUOTA LTP'!E10</f>
        <v>2.7000000000000001E-3</v>
      </c>
      <c r="I28" s="20">
        <f>'CUOTA LTP'!F10</f>
        <v>0</v>
      </c>
      <c r="J28" s="20">
        <f>'CUOTA LTP'!G10</f>
        <v>2.7000000000000001E-3</v>
      </c>
      <c r="K28" s="20">
        <f>'CUOTA LTP'!H10</f>
        <v>0</v>
      </c>
      <c r="L28" s="20">
        <f>'CUOTA LTP'!I10</f>
        <v>2.7000000000000001E-3</v>
      </c>
      <c r="M28" s="28">
        <f>'CUOTA LTP'!J10</f>
        <v>0</v>
      </c>
      <c r="N28" s="21" t="s">
        <v>92</v>
      </c>
      <c r="O28" s="21">
        <f>'RESUMEN '!$B$3</f>
        <v>44599</v>
      </c>
      <c r="P28" s="19">
        <v>2021</v>
      </c>
      <c r="Q28" s="19"/>
    </row>
    <row r="29" spans="1:17" x14ac:dyDescent="0.2">
      <c r="A29" s="19" t="s">
        <v>47</v>
      </c>
      <c r="B29" s="19" t="s">
        <v>82</v>
      </c>
      <c r="C29" s="19" t="s">
        <v>83</v>
      </c>
      <c r="D29" s="19" t="s">
        <v>96</v>
      </c>
      <c r="E29" s="19" t="str">
        <f>'CUOTA LTP'!C10</f>
        <v>BAYCIC BAYCIC MARIA</v>
      </c>
      <c r="F29" s="19" t="s">
        <v>87</v>
      </c>
      <c r="G29" s="19" t="s">
        <v>88</v>
      </c>
      <c r="H29" s="20">
        <f>'CUOTA LTP'!E11</f>
        <v>2.4000000000000001E-4</v>
      </c>
      <c r="I29" s="20">
        <f>'CUOTA LTP'!F11</f>
        <v>0</v>
      </c>
      <c r="J29" s="20">
        <f>'CUOTA LTP'!G11</f>
        <v>2.9400000000000003E-3</v>
      </c>
      <c r="K29" s="20">
        <f>'CUOTA LTP'!H11</f>
        <v>0</v>
      </c>
      <c r="L29" s="20">
        <f>'CUOTA LTP'!I11</f>
        <v>2.9400000000000003E-3</v>
      </c>
      <c r="M29" s="28">
        <f>'CUOTA LTP'!J11</f>
        <v>0</v>
      </c>
      <c r="N29" s="21" t="s">
        <v>92</v>
      </c>
      <c r="O29" s="21">
        <f>'RESUMEN '!$B$3</f>
        <v>44599</v>
      </c>
      <c r="P29" s="19">
        <v>2021</v>
      </c>
      <c r="Q29" s="19"/>
    </row>
    <row r="30" spans="1:17" x14ac:dyDescent="0.2">
      <c r="A30" s="19" t="s">
        <v>47</v>
      </c>
      <c r="B30" s="19" t="s">
        <v>82</v>
      </c>
      <c r="C30" s="19" t="s">
        <v>83</v>
      </c>
      <c r="D30" s="19" t="s">
        <v>96</v>
      </c>
      <c r="E30" s="19" t="str">
        <f>'CUOTA LTP'!C10</f>
        <v>BAYCIC BAYCIC MARIA</v>
      </c>
      <c r="F30" s="19" t="s">
        <v>89</v>
      </c>
      <c r="G30" s="19" t="s">
        <v>88</v>
      </c>
      <c r="H30" s="20">
        <f>'CUOTA LTP'!K10</f>
        <v>2.9400000000000003E-3</v>
      </c>
      <c r="I30" s="20">
        <f>'CUOTA LTP'!L10</f>
        <v>0</v>
      </c>
      <c r="J30" s="20">
        <f>'CUOTA LTP'!M10</f>
        <v>2.9400000000000003E-3</v>
      </c>
      <c r="K30" s="20">
        <f>'CUOTA LTP'!N10</f>
        <v>0</v>
      </c>
      <c r="L30" s="20">
        <f>'CUOTA LTP'!O10</f>
        <v>2.9400000000000003E-3</v>
      </c>
      <c r="M30" s="28">
        <f>'CUOTA LTP'!P10</f>
        <v>0</v>
      </c>
      <c r="N30" s="21" t="s">
        <v>92</v>
      </c>
      <c r="O30" s="21">
        <f>'RESUMEN '!$B$3</f>
        <v>44599</v>
      </c>
      <c r="P30" s="19">
        <v>2021</v>
      </c>
      <c r="Q30" s="19"/>
    </row>
    <row r="31" spans="1:17" x14ac:dyDescent="0.2">
      <c r="A31" s="19" t="s">
        <v>47</v>
      </c>
      <c r="B31" s="19" t="s">
        <v>82</v>
      </c>
      <c r="C31" s="19" t="s">
        <v>83</v>
      </c>
      <c r="D31" s="19" t="s">
        <v>96</v>
      </c>
      <c r="E31" s="19" t="str">
        <f>'CUOTA LTP'!C12</f>
        <v>BRACPESCA S.A.</v>
      </c>
      <c r="F31" s="19" t="s">
        <v>85</v>
      </c>
      <c r="G31" s="19" t="s">
        <v>86</v>
      </c>
      <c r="H31" s="20">
        <f>'CUOTA LTP'!E12</f>
        <v>34.176259999999999</v>
      </c>
      <c r="I31" s="20">
        <f>'CUOTA LTP'!F12</f>
        <v>0</v>
      </c>
      <c r="J31" s="20">
        <f>'CUOTA LTP'!G12</f>
        <v>34.176259999999999</v>
      </c>
      <c r="K31" s="20">
        <f>'CUOTA LTP'!H12</f>
        <v>0</v>
      </c>
      <c r="L31" s="20">
        <f>'CUOTA LTP'!I12</f>
        <v>34.176259999999999</v>
      </c>
      <c r="M31" s="28">
        <f>'CUOTA LTP'!J12</f>
        <v>0</v>
      </c>
      <c r="N31" s="21" t="s">
        <v>92</v>
      </c>
      <c r="O31" s="21">
        <f>'RESUMEN '!$B$3</f>
        <v>44599</v>
      </c>
      <c r="P31" s="19">
        <v>2021</v>
      </c>
      <c r="Q31" s="19"/>
    </row>
    <row r="32" spans="1:17" x14ac:dyDescent="0.2">
      <c r="A32" s="19" t="s">
        <v>47</v>
      </c>
      <c r="B32" s="19" t="s">
        <v>82</v>
      </c>
      <c r="C32" s="19" t="s">
        <v>83</v>
      </c>
      <c r="D32" s="19" t="s">
        <v>96</v>
      </c>
      <c r="E32" s="19" t="str">
        <f>'CUOTA LTP'!C12</f>
        <v>BRACPESCA S.A.</v>
      </c>
      <c r="F32" s="19" t="s">
        <v>87</v>
      </c>
      <c r="G32" s="19" t="s">
        <v>88</v>
      </c>
      <c r="H32" s="20">
        <f>'CUOTA LTP'!E13</f>
        <v>3.0378899999999995</v>
      </c>
      <c r="I32" s="20">
        <f>'CUOTA LTP'!F13</f>
        <v>0</v>
      </c>
      <c r="J32" s="20">
        <f>'CUOTA LTP'!G13</f>
        <v>37.214149999999997</v>
      </c>
      <c r="K32" s="20">
        <f>'CUOTA LTP'!H13</f>
        <v>0</v>
      </c>
      <c r="L32" s="20">
        <f>'CUOTA LTP'!I13</f>
        <v>37.214149999999997</v>
      </c>
      <c r="M32" s="28">
        <f>'CUOTA LTP'!J13</f>
        <v>0</v>
      </c>
      <c r="N32" s="21" t="s">
        <v>92</v>
      </c>
      <c r="O32" s="21">
        <f>'RESUMEN '!$B$3</f>
        <v>44599</v>
      </c>
      <c r="P32" s="19">
        <v>2021</v>
      </c>
      <c r="Q32" s="19"/>
    </row>
    <row r="33" spans="1:17" x14ac:dyDescent="0.2">
      <c r="A33" s="19" t="s">
        <v>47</v>
      </c>
      <c r="B33" s="19" t="s">
        <v>82</v>
      </c>
      <c r="C33" s="19" t="s">
        <v>83</v>
      </c>
      <c r="D33" s="19" t="s">
        <v>96</v>
      </c>
      <c r="E33" s="19" t="str">
        <f>'CUOTA LTP'!C12</f>
        <v>BRACPESCA S.A.</v>
      </c>
      <c r="F33" s="19" t="s">
        <v>89</v>
      </c>
      <c r="G33" s="19" t="s">
        <v>88</v>
      </c>
      <c r="H33" s="20">
        <f>'CUOTA LTP'!K12</f>
        <v>37.214149999999997</v>
      </c>
      <c r="I33" s="20">
        <f>'CUOTA LTP'!L12</f>
        <v>0</v>
      </c>
      <c r="J33" s="20">
        <f>'CUOTA LTP'!M12</f>
        <v>37.214149999999997</v>
      </c>
      <c r="K33" s="20">
        <f>'CUOTA LTP'!N12</f>
        <v>0</v>
      </c>
      <c r="L33" s="20">
        <f>'CUOTA LTP'!O12</f>
        <v>37.214149999999997</v>
      </c>
      <c r="M33" s="28">
        <f>'CUOTA LTP'!P12</f>
        <v>0</v>
      </c>
      <c r="N33" s="21" t="s">
        <v>92</v>
      </c>
      <c r="O33" s="21">
        <f>'RESUMEN '!$B$3</f>
        <v>44599</v>
      </c>
      <c r="P33" s="19">
        <v>2021</v>
      </c>
      <c r="Q33" s="19"/>
    </row>
    <row r="34" spans="1:17" x14ac:dyDescent="0.2">
      <c r="A34" s="19" t="s">
        <v>47</v>
      </c>
      <c r="B34" s="19" t="s">
        <v>82</v>
      </c>
      <c r="C34" s="19" t="s">
        <v>83</v>
      </c>
      <c r="D34" s="19" t="s">
        <v>96</v>
      </c>
      <c r="E34" s="19" t="str">
        <f>'CUOTA LTP'!C14</f>
        <v>GRIMAR S.A. PESQ.</v>
      </c>
      <c r="F34" s="19" t="s">
        <v>85</v>
      </c>
      <c r="G34" s="19" t="s">
        <v>86</v>
      </c>
      <c r="H34" s="20">
        <f>'CUOTA LTP'!E14</f>
        <v>1.558E-2</v>
      </c>
      <c r="I34" s="20">
        <f>'CUOTA LTP'!F14</f>
        <v>0</v>
      </c>
      <c r="J34" s="20">
        <f>'CUOTA LTP'!G14</f>
        <v>1.558E-2</v>
      </c>
      <c r="K34" s="20">
        <f>'CUOTA LTP'!H14</f>
        <v>0</v>
      </c>
      <c r="L34" s="20">
        <f>'CUOTA LTP'!I14</f>
        <v>1.558E-2</v>
      </c>
      <c r="M34" s="28">
        <f>'CUOTA LTP'!J14</f>
        <v>0</v>
      </c>
      <c r="N34" s="21" t="s">
        <v>92</v>
      </c>
      <c r="O34" s="21">
        <f>'RESUMEN '!$B$3</f>
        <v>44599</v>
      </c>
      <c r="P34" s="19">
        <v>2021</v>
      </c>
      <c r="Q34" s="19"/>
    </row>
    <row r="35" spans="1:17" x14ac:dyDescent="0.2">
      <c r="A35" s="19" t="s">
        <v>47</v>
      </c>
      <c r="B35" s="19" t="s">
        <v>82</v>
      </c>
      <c r="C35" s="19" t="s">
        <v>83</v>
      </c>
      <c r="D35" s="19" t="s">
        <v>96</v>
      </c>
      <c r="E35" s="19" t="str">
        <f>'CUOTA LTP'!C14</f>
        <v>GRIMAR S.A. PESQ.</v>
      </c>
      <c r="F35" s="19" t="s">
        <v>87</v>
      </c>
      <c r="G35" s="19" t="s">
        <v>88</v>
      </c>
      <c r="H35" s="20">
        <f>'CUOTA LTP'!E15</f>
        <v>1.3799999999999999E-3</v>
      </c>
      <c r="I35" s="20">
        <f>'CUOTA LTP'!F15</f>
        <v>0</v>
      </c>
      <c r="J35" s="20">
        <f>'CUOTA LTP'!G15</f>
        <v>1.6959999999999999E-2</v>
      </c>
      <c r="K35" s="20">
        <f>'CUOTA LTP'!H15</f>
        <v>0</v>
      </c>
      <c r="L35" s="20">
        <f>'CUOTA LTP'!I15</f>
        <v>1.6959999999999999E-2</v>
      </c>
      <c r="M35" s="28">
        <f>'CUOTA LTP'!J15</f>
        <v>0</v>
      </c>
      <c r="N35" s="21" t="s">
        <v>92</v>
      </c>
      <c r="O35" s="21">
        <f>'RESUMEN '!$B$3</f>
        <v>44599</v>
      </c>
      <c r="P35" s="19">
        <v>2021</v>
      </c>
      <c r="Q35" s="19"/>
    </row>
    <row r="36" spans="1:17" x14ac:dyDescent="0.2">
      <c r="A36" s="19" t="s">
        <v>47</v>
      </c>
      <c r="B36" s="19" t="s">
        <v>82</v>
      </c>
      <c r="C36" s="19" t="s">
        <v>83</v>
      </c>
      <c r="D36" s="19" t="s">
        <v>96</v>
      </c>
      <c r="E36" s="19" t="str">
        <f>'CUOTA LTP'!C14</f>
        <v>GRIMAR S.A. PESQ.</v>
      </c>
      <c r="F36" s="19" t="s">
        <v>89</v>
      </c>
      <c r="G36" s="19" t="s">
        <v>88</v>
      </c>
      <c r="H36" s="20">
        <f>'CUOTA LTP'!K14</f>
        <v>1.6959999999999999E-2</v>
      </c>
      <c r="I36" s="20">
        <f>'CUOTA LTP'!L14</f>
        <v>0</v>
      </c>
      <c r="J36" s="20">
        <f>'CUOTA LTP'!M14</f>
        <v>1.6959999999999999E-2</v>
      </c>
      <c r="K36" s="20">
        <f>'CUOTA LTP'!N14</f>
        <v>0</v>
      </c>
      <c r="L36" s="20">
        <f>'CUOTA LTP'!O14</f>
        <v>1.6959999999999999E-2</v>
      </c>
      <c r="M36" s="28">
        <f>'CUOTA LTP'!P14</f>
        <v>0</v>
      </c>
      <c r="N36" s="21" t="s">
        <v>92</v>
      </c>
      <c r="O36" s="21">
        <f>'RESUMEN '!$B$3</f>
        <v>44599</v>
      </c>
      <c r="P36" s="19">
        <v>2021</v>
      </c>
      <c r="Q36" s="19"/>
    </row>
    <row r="37" spans="1:17" x14ac:dyDescent="0.2">
      <c r="A37" s="19" t="s">
        <v>47</v>
      </c>
      <c r="B37" s="19" t="s">
        <v>82</v>
      </c>
      <c r="C37" s="19" t="s">
        <v>83</v>
      </c>
      <c r="D37" s="19" t="s">
        <v>96</v>
      </c>
      <c r="E37" s="19" t="str">
        <f>'CUOTA LTP'!C16</f>
        <v>ISLADAMAS S.A. PESQ.</v>
      </c>
      <c r="F37" s="19" t="s">
        <v>85</v>
      </c>
      <c r="G37" s="19" t="s">
        <v>86</v>
      </c>
      <c r="H37" s="20">
        <f>'CUOTA LTP'!E16</f>
        <v>9.5249000000000006</v>
      </c>
      <c r="I37" s="20">
        <f>'CUOTA LTP'!F16</f>
        <v>0</v>
      </c>
      <c r="J37" s="20">
        <f>'CUOTA LTP'!G16</f>
        <v>9.5249000000000006</v>
      </c>
      <c r="K37" s="20">
        <f>'CUOTA LTP'!H16</f>
        <v>0</v>
      </c>
      <c r="L37" s="20">
        <f>'CUOTA LTP'!I16</f>
        <v>9.5249000000000006</v>
      </c>
      <c r="M37" s="28">
        <f>'CUOTA LTP'!J16</f>
        <v>0</v>
      </c>
      <c r="N37" s="21" t="s">
        <v>92</v>
      </c>
      <c r="O37" s="21">
        <f>'RESUMEN '!$B$3</f>
        <v>44599</v>
      </c>
      <c r="P37" s="19">
        <v>2021</v>
      </c>
      <c r="Q37" s="19"/>
    </row>
    <row r="38" spans="1:17" x14ac:dyDescent="0.2">
      <c r="A38" s="19" t="s">
        <v>47</v>
      </c>
      <c r="B38" s="19" t="s">
        <v>82</v>
      </c>
      <c r="C38" s="19" t="s">
        <v>83</v>
      </c>
      <c r="D38" s="19" t="s">
        <v>96</v>
      </c>
      <c r="E38" s="19" t="str">
        <f>'CUOTA LTP'!C16</f>
        <v>ISLADAMAS S.A. PESQ.</v>
      </c>
      <c r="F38" s="19" t="s">
        <v>87</v>
      </c>
      <c r="G38" s="19" t="s">
        <v>88</v>
      </c>
      <c r="H38" s="20">
        <f>'CUOTA LTP'!E17</f>
        <v>0.84665000000000001</v>
      </c>
      <c r="I38" s="20">
        <f>'CUOTA LTP'!F17</f>
        <v>0</v>
      </c>
      <c r="J38" s="20">
        <f>'CUOTA LTP'!G17</f>
        <v>10.371550000000001</v>
      </c>
      <c r="K38" s="20">
        <f>'CUOTA LTP'!H17</f>
        <v>0</v>
      </c>
      <c r="L38" s="20">
        <f>'CUOTA LTP'!I17</f>
        <v>10.371550000000001</v>
      </c>
      <c r="M38" s="28">
        <f>'CUOTA LTP'!J17</f>
        <v>0</v>
      </c>
      <c r="N38" s="21" t="s">
        <v>92</v>
      </c>
      <c r="O38" s="21">
        <f>'RESUMEN '!$B$3</f>
        <v>44599</v>
      </c>
      <c r="P38" s="19">
        <v>2021</v>
      </c>
      <c r="Q38" s="19"/>
    </row>
    <row r="39" spans="1:17" x14ac:dyDescent="0.2">
      <c r="A39" s="19" t="s">
        <v>47</v>
      </c>
      <c r="B39" s="19" t="s">
        <v>82</v>
      </c>
      <c r="C39" s="19" t="s">
        <v>83</v>
      </c>
      <c r="D39" s="19" t="s">
        <v>96</v>
      </c>
      <c r="E39" s="19" t="str">
        <f>'CUOTA LTP'!C16</f>
        <v>ISLADAMAS S.A. PESQ.</v>
      </c>
      <c r="F39" s="19" t="s">
        <v>89</v>
      </c>
      <c r="G39" s="19" t="s">
        <v>88</v>
      </c>
      <c r="H39" s="20">
        <f>'CUOTA LTP'!K16</f>
        <v>10.371550000000001</v>
      </c>
      <c r="I39" s="20">
        <f>'CUOTA LTP'!L16</f>
        <v>0</v>
      </c>
      <c r="J39" s="20">
        <f>'CUOTA LTP'!M16</f>
        <v>10.371550000000001</v>
      </c>
      <c r="K39" s="20">
        <f>'CUOTA LTP'!N16</f>
        <v>0</v>
      </c>
      <c r="L39" s="20">
        <f>'CUOTA LTP'!O16</f>
        <v>10.371550000000001</v>
      </c>
      <c r="M39" s="28">
        <f>'CUOTA LTP'!P16</f>
        <v>0</v>
      </c>
      <c r="N39" s="21" t="s">
        <v>92</v>
      </c>
      <c r="O39" s="21">
        <f>'RESUMEN '!$B$3</f>
        <v>44599</v>
      </c>
      <c r="P39" s="19">
        <v>2021</v>
      </c>
      <c r="Q39" s="19"/>
    </row>
    <row r="40" spans="1:17" x14ac:dyDescent="0.2">
      <c r="A40" s="19" t="s">
        <v>47</v>
      </c>
      <c r="B40" s="19" t="s">
        <v>82</v>
      </c>
      <c r="C40" s="19" t="s">
        <v>83</v>
      </c>
      <c r="D40" s="19" t="s">
        <v>96</v>
      </c>
      <c r="E40" s="19" t="str">
        <f>'CUOTA LTP'!C18</f>
        <v>MOROZIN BAYCIC MARIA ANA</v>
      </c>
      <c r="F40" s="19" t="s">
        <v>85</v>
      </c>
      <c r="G40" s="19" t="s">
        <v>86</v>
      </c>
      <c r="H40" s="20">
        <f>'CUOTA LTP'!E18</f>
        <v>9.0100000000000006E-3</v>
      </c>
      <c r="I40" s="20">
        <f>'CUOTA LTP'!F18</f>
        <v>0</v>
      </c>
      <c r="J40" s="20">
        <f>'CUOTA LTP'!G18</f>
        <v>9.0100000000000006E-3</v>
      </c>
      <c r="K40" s="20">
        <f>'CUOTA LTP'!H18</f>
        <v>0</v>
      </c>
      <c r="L40" s="20">
        <f>'CUOTA LTP'!I18</f>
        <v>9.0100000000000006E-3</v>
      </c>
      <c r="M40" s="28">
        <f>'CUOTA LTP'!J18</f>
        <v>0</v>
      </c>
      <c r="N40" s="21" t="s">
        <v>92</v>
      </c>
      <c r="O40" s="21">
        <f>'RESUMEN '!$B$3</f>
        <v>44599</v>
      </c>
      <c r="P40" s="19">
        <v>2021</v>
      </c>
      <c r="Q40" s="19"/>
    </row>
    <row r="41" spans="1:17" x14ac:dyDescent="0.2">
      <c r="A41" s="19" t="s">
        <v>47</v>
      </c>
      <c r="B41" s="19" t="s">
        <v>82</v>
      </c>
      <c r="C41" s="19" t="s">
        <v>83</v>
      </c>
      <c r="D41" s="19" t="s">
        <v>96</v>
      </c>
      <c r="E41" s="19" t="str">
        <f>'CUOTA LTP'!C18</f>
        <v>MOROZIN BAYCIC MARIA ANA</v>
      </c>
      <c r="F41" s="19" t="s">
        <v>87</v>
      </c>
      <c r="G41" s="19" t="s">
        <v>88</v>
      </c>
      <c r="H41" s="20">
        <f>'CUOTA LTP'!E19</f>
        <v>8.0000000000000004E-4</v>
      </c>
      <c r="I41" s="20">
        <f>'CUOTA LTP'!F19</f>
        <v>0</v>
      </c>
      <c r="J41" s="20">
        <f>'CUOTA LTP'!G19</f>
        <v>9.810000000000001E-3</v>
      </c>
      <c r="K41" s="20">
        <f>'CUOTA LTP'!H19</f>
        <v>0</v>
      </c>
      <c r="L41" s="20">
        <f>'CUOTA LTP'!I19</f>
        <v>9.810000000000001E-3</v>
      </c>
      <c r="M41" s="28">
        <f>'CUOTA LTP'!J19</f>
        <v>0</v>
      </c>
      <c r="N41" s="21" t="s">
        <v>92</v>
      </c>
      <c r="O41" s="21">
        <f>'RESUMEN '!$B$3</f>
        <v>44599</v>
      </c>
      <c r="P41" s="19">
        <v>2021</v>
      </c>
      <c r="Q41" s="19"/>
    </row>
    <row r="42" spans="1:17" x14ac:dyDescent="0.2">
      <c r="A42" s="19" t="s">
        <v>47</v>
      </c>
      <c r="B42" s="19" t="s">
        <v>82</v>
      </c>
      <c r="C42" s="19" t="s">
        <v>83</v>
      </c>
      <c r="D42" s="19" t="s">
        <v>96</v>
      </c>
      <c r="E42" s="19" t="str">
        <f>'CUOTA LTP'!C18</f>
        <v>MOROZIN BAYCIC MARIA ANA</v>
      </c>
      <c r="F42" s="19" t="s">
        <v>89</v>
      </c>
      <c r="G42" s="19" t="s">
        <v>88</v>
      </c>
      <c r="H42" s="20">
        <f>'CUOTA LTP'!K18</f>
        <v>9.810000000000001E-3</v>
      </c>
      <c r="I42" s="20">
        <f>'CUOTA LTP'!L18</f>
        <v>0</v>
      </c>
      <c r="J42" s="20">
        <f>'CUOTA LTP'!M18</f>
        <v>9.810000000000001E-3</v>
      </c>
      <c r="K42" s="20">
        <f>'CUOTA LTP'!N18</f>
        <v>0</v>
      </c>
      <c r="L42" s="20">
        <f>'CUOTA LTP'!O18</f>
        <v>9.810000000000001E-3</v>
      </c>
      <c r="M42" s="28">
        <f>'CUOTA LTP'!P18</f>
        <v>0</v>
      </c>
      <c r="N42" s="21" t="s">
        <v>92</v>
      </c>
      <c r="O42" s="21">
        <f>'RESUMEN '!$B$3</f>
        <v>44599</v>
      </c>
      <c r="P42" s="19">
        <v>2021</v>
      </c>
      <c r="Q42" s="19"/>
    </row>
    <row r="43" spans="1:17" x14ac:dyDescent="0.2">
      <c r="A43" s="19" t="s">
        <v>47</v>
      </c>
      <c r="B43" s="19" t="s">
        <v>82</v>
      </c>
      <c r="C43" s="19" t="s">
        <v>83</v>
      </c>
      <c r="D43" s="19" t="s">
        <v>96</v>
      </c>
      <c r="E43" s="19" t="str">
        <f>'CUOTA LTP'!C20</f>
        <v>MOROZIN YURECIC MARIO</v>
      </c>
      <c r="F43" s="19" t="s">
        <v>85</v>
      </c>
      <c r="G43" s="19" t="s">
        <v>86</v>
      </c>
      <c r="H43" s="20">
        <f>'CUOTA LTP'!E20</f>
        <v>1.81E-3</v>
      </c>
      <c r="I43" s="20">
        <f>'CUOTA LTP'!F20</f>
        <v>0</v>
      </c>
      <c r="J43" s="20">
        <f>'CUOTA LTP'!G20</f>
        <v>1.81E-3</v>
      </c>
      <c r="K43" s="20">
        <f>'CUOTA LTP'!H20</f>
        <v>0</v>
      </c>
      <c r="L43" s="20">
        <f>'CUOTA LTP'!I20</f>
        <v>1.81E-3</v>
      </c>
      <c r="M43" s="28">
        <f>'CUOTA LTP'!J20</f>
        <v>0</v>
      </c>
      <c r="N43" s="21" t="s">
        <v>92</v>
      </c>
      <c r="O43" s="21">
        <f>'RESUMEN '!$B$3</f>
        <v>44599</v>
      </c>
      <c r="P43" s="19">
        <v>2021</v>
      </c>
      <c r="Q43" s="19"/>
    </row>
    <row r="44" spans="1:17" x14ac:dyDescent="0.2">
      <c r="A44" s="19" t="s">
        <v>47</v>
      </c>
      <c r="B44" s="19" t="s">
        <v>82</v>
      </c>
      <c r="C44" s="19" t="s">
        <v>83</v>
      </c>
      <c r="D44" s="19" t="s">
        <v>96</v>
      </c>
      <c r="E44" s="19" t="str">
        <f>'CUOTA LTP'!C20</f>
        <v>MOROZIN YURECIC MARIO</v>
      </c>
      <c r="F44" s="19" t="s">
        <v>87</v>
      </c>
      <c r="G44" s="19" t="s">
        <v>88</v>
      </c>
      <c r="H44" s="20">
        <f>'CUOTA LTP'!E21</f>
        <v>1.6000000000000001E-4</v>
      </c>
      <c r="I44" s="20">
        <f>'CUOTA LTP'!F21</f>
        <v>0</v>
      </c>
      <c r="J44" s="20">
        <f>'CUOTA LTP'!G21</f>
        <v>1.97E-3</v>
      </c>
      <c r="K44" s="20">
        <f>'CUOTA LTP'!H21</f>
        <v>0</v>
      </c>
      <c r="L44" s="20">
        <f>'CUOTA LTP'!I21</f>
        <v>1.97E-3</v>
      </c>
      <c r="M44" s="28">
        <f>'CUOTA LTP'!J21</f>
        <v>0</v>
      </c>
      <c r="N44" s="21" t="s">
        <v>92</v>
      </c>
      <c r="O44" s="21">
        <f>'RESUMEN '!$B$3</f>
        <v>44599</v>
      </c>
      <c r="P44" s="19">
        <v>2021</v>
      </c>
      <c r="Q44" s="19"/>
    </row>
    <row r="45" spans="1:17" x14ac:dyDescent="0.2">
      <c r="A45" s="19" t="s">
        <v>47</v>
      </c>
      <c r="B45" s="19" t="s">
        <v>82</v>
      </c>
      <c r="C45" s="19" t="s">
        <v>83</v>
      </c>
      <c r="D45" s="19" t="s">
        <v>96</v>
      </c>
      <c r="E45" s="19" t="str">
        <f>'CUOTA LTP'!C20</f>
        <v>MOROZIN YURECIC MARIO</v>
      </c>
      <c r="F45" s="19" t="s">
        <v>89</v>
      </c>
      <c r="G45" s="19" t="s">
        <v>88</v>
      </c>
      <c r="H45" s="20">
        <f>'CUOTA LTP'!K20</f>
        <v>1.97E-3</v>
      </c>
      <c r="I45" s="20">
        <f>'CUOTA LTP'!L20</f>
        <v>0</v>
      </c>
      <c r="J45" s="20">
        <f>'CUOTA LTP'!M20</f>
        <v>1.97E-3</v>
      </c>
      <c r="K45" s="20">
        <f>'CUOTA LTP'!N20</f>
        <v>0</v>
      </c>
      <c r="L45" s="20">
        <f>'CUOTA LTP'!O20</f>
        <v>1.97E-3</v>
      </c>
      <c r="M45" s="28">
        <f>'CUOTA LTP'!P20</f>
        <v>0</v>
      </c>
      <c r="N45" s="21" t="s">
        <v>92</v>
      </c>
      <c r="O45" s="21">
        <f>'RESUMEN '!$B$3</f>
        <v>44599</v>
      </c>
      <c r="P45" s="19">
        <v>2021</v>
      </c>
      <c r="Q45" s="19"/>
    </row>
    <row r="46" spans="1:17" x14ac:dyDescent="0.2">
      <c r="A46" s="19" t="s">
        <v>47</v>
      </c>
      <c r="B46" s="19" t="s">
        <v>82</v>
      </c>
      <c r="C46" s="19" t="s">
        <v>83</v>
      </c>
      <c r="D46" s="19" t="s">
        <v>96</v>
      </c>
      <c r="E46" s="19" t="str">
        <f>'CUOTA LTP'!C22</f>
        <v>ZUÑIGA ROMERO GONZALO</v>
      </c>
      <c r="F46" s="19" t="s">
        <v>85</v>
      </c>
      <c r="G46" s="19" t="s">
        <v>86</v>
      </c>
      <c r="H46" s="20">
        <f>'CUOTA LTP'!E22</f>
        <v>5.4000000000000003E-3</v>
      </c>
      <c r="I46" s="20">
        <f>'CUOTA LTP'!F22</f>
        <v>0</v>
      </c>
      <c r="J46" s="20">
        <f>'CUOTA LTP'!G22</f>
        <v>5.4000000000000003E-3</v>
      </c>
      <c r="K46" s="20">
        <f>'CUOTA LTP'!H22</f>
        <v>0</v>
      </c>
      <c r="L46" s="20">
        <f>'CUOTA LTP'!I22</f>
        <v>5.4000000000000003E-3</v>
      </c>
      <c r="M46" s="28">
        <f>'CUOTA LTP'!J22</f>
        <v>0</v>
      </c>
      <c r="N46" s="21" t="s">
        <v>92</v>
      </c>
      <c r="O46" s="21">
        <f>'RESUMEN '!$B$3</f>
        <v>44599</v>
      </c>
      <c r="P46" s="19">
        <v>2021</v>
      </c>
      <c r="Q46" s="19"/>
    </row>
    <row r="47" spans="1:17" x14ac:dyDescent="0.2">
      <c r="A47" s="19" t="s">
        <v>47</v>
      </c>
      <c r="B47" s="19" t="s">
        <v>82</v>
      </c>
      <c r="C47" s="19" t="s">
        <v>83</v>
      </c>
      <c r="D47" s="19" t="s">
        <v>96</v>
      </c>
      <c r="E47" s="19" t="str">
        <f>'CUOTA LTP'!C22</f>
        <v>ZUÑIGA ROMERO GONZALO</v>
      </c>
      <c r="F47" s="19" t="s">
        <v>87</v>
      </c>
      <c r="G47" s="19" t="s">
        <v>88</v>
      </c>
      <c r="H47" s="20">
        <f>'CUOTA LTP'!E23</f>
        <v>4.8000000000000001E-4</v>
      </c>
      <c r="I47" s="20">
        <f>'CUOTA LTP'!F23</f>
        <v>0</v>
      </c>
      <c r="J47" s="20">
        <f>'CUOTA LTP'!G23</f>
        <v>5.8800000000000007E-3</v>
      </c>
      <c r="K47" s="20">
        <f>'CUOTA LTP'!H23</f>
        <v>0</v>
      </c>
      <c r="L47" s="20">
        <f>'CUOTA LTP'!I23</f>
        <v>5.8800000000000007E-3</v>
      </c>
      <c r="M47" s="28">
        <f>'CUOTA LTP'!J23</f>
        <v>0</v>
      </c>
      <c r="N47" s="21" t="s">
        <v>92</v>
      </c>
      <c r="O47" s="21">
        <f>'RESUMEN '!$B$3</f>
        <v>44599</v>
      </c>
      <c r="P47" s="19">
        <v>2021</v>
      </c>
      <c r="Q47" s="19"/>
    </row>
    <row r="48" spans="1:17" x14ac:dyDescent="0.2">
      <c r="A48" s="19" t="s">
        <v>47</v>
      </c>
      <c r="B48" s="19" t="s">
        <v>82</v>
      </c>
      <c r="C48" s="19" t="s">
        <v>83</v>
      </c>
      <c r="D48" s="19" t="s">
        <v>96</v>
      </c>
      <c r="E48" s="19" t="str">
        <f>'CUOTA LTP'!C22</f>
        <v>ZUÑIGA ROMERO GONZALO</v>
      </c>
      <c r="F48" s="19" t="s">
        <v>89</v>
      </c>
      <c r="G48" s="19" t="s">
        <v>88</v>
      </c>
      <c r="H48" s="20">
        <f>'CUOTA LTP'!K22</f>
        <v>5.8800000000000007E-3</v>
      </c>
      <c r="I48" s="20">
        <f>'CUOTA LTP'!L22</f>
        <v>0</v>
      </c>
      <c r="J48" s="20">
        <f>'CUOTA LTP'!M22</f>
        <v>5.8800000000000007E-3</v>
      </c>
      <c r="K48" s="20">
        <f>'CUOTA LTP'!N22</f>
        <v>0</v>
      </c>
      <c r="L48" s="20">
        <f>'CUOTA LTP'!O22</f>
        <v>5.8800000000000007E-3</v>
      </c>
      <c r="M48" s="28">
        <f>'CUOTA LTP'!P22</f>
        <v>0</v>
      </c>
      <c r="N48" s="21" t="s">
        <v>92</v>
      </c>
      <c r="O48" s="21">
        <f>'RESUMEN '!$B$3</f>
        <v>44599</v>
      </c>
      <c r="P48" s="19">
        <v>2021</v>
      </c>
      <c r="Q48" s="19"/>
    </row>
    <row r="49" spans="1:17" x14ac:dyDescent="0.2">
      <c r="A49" s="19" t="s">
        <v>47</v>
      </c>
      <c r="B49" s="19" t="s">
        <v>82</v>
      </c>
      <c r="C49" s="19" t="s">
        <v>83</v>
      </c>
      <c r="D49" s="19" t="s">
        <v>96</v>
      </c>
      <c r="E49" s="19" t="str">
        <f>'CUOTA LTP'!C24</f>
        <v>RUBIO Y MAUAD LTDA.</v>
      </c>
      <c r="F49" s="19" t="s">
        <v>85</v>
      </c>
      <c r="G49" s="19" t="s">
        <v>86</v>
      </c>
      <c r="H49" s="20">
        <f>'CUOTA LTP'!E24</f>
        <v>6.7716499999999993</v>
      </c>
      <c r="I49" s="20">
        <f>'CUOTA LTP'!F24</f>
        <v>0</v>
      </c>
      <c r="J49" s="20">
        <f>'CUOTA LTP'!G24</f>
        <v>6.7716499999999993</v>
      </c>
      <c r="K49" s="20">
        <f>'CUOTA LTP'!H24</f>
        <v>0</v>
      </c>
      <c r="L49" s="20">
        <f>'CUOTA LTP'!I24</f>
        <v>6.7716499999999993</v>
      </c>
      <c r="M49" s="28">
        <f>'CUOTA LTP'!J24</f>
        <v>0</v>
      </c>
      <c r="N49" s="21" t="s">
        <v>92</v>
      </c>
      <c r="O49" s="21">
        <f>'RESUMEN '!$B$3</f>
        <v>44599</v>
      </c>
      <c r="P49" s="19">
        <v>2021</v>
      </c>
      <c r="Q49" s="19"/>
    </row>
    <row r="50" spans="1:17" x14ac:dyDescent="0.2">
      <c r="A50" s="19" t="s">
        <v>47</v>
      </c>
      <c r="B50" s="19" t="s">
        <v>82</v>
      </c>
      <c r="C50" s="19" t="s">
        <v>83</v>
      </c>
      <c r="D50" s="19" t="s">
        <v>96</v>
      </c>
      <c r="E50" s="19" t="str">
        <f>'CUOTA LTP'!C24</f>
        <v>RUBIO Y MAUAD LTDA.</v>
      </c>
      <c r="F50" s="19" t="s">
        <v>87</v>
      </c>
      <c r="G50" s="19" t="s">
        <v>88</v>
      </c>
      <c r="H50" s="20">
        <f>'CUOTA LTP'!E25</f>
        <v>0.60192000000000001</v>
      </c>
      <c r="I50" s="20">
        <f>'CUOTA LTP'!F25</f>
        <v>0</v>
      </c>
      <c r="J50" s="20">
        <f>'CUOTA LTP'!G25</f>
        <v>7.3735699999999991</v>
      </c>
      <c r="K50" s="20">
        <f>'CUOTA LTP'!H25</f>
        <v>0</v>
      </c>
      <c r="L50" s="20">
        <f>'CUOTA LTP'!I25</f>
        <v>7.3735699999999991</v>
      </c>
      <c r="M50" s="28">
        <f>'CUOTA LTP'!J25</f>
        <v>0</v>
      </c>
      <c r="N50" s="21" t="s">
        <v>92</v>
      </c>
      <c r="O50" s="21">
        <f>'RESUMEN '!$B$3</f>
        <v>44599</v>
      </c>
      <c r="P50" s="19">
        <v>2021</v>
      </c>
      <c r="Q50" s="19"/>
    </row>
    <row r="51" spans="1:17" x14ac:dyDescent="0.2">
      <c r="A51" s="19" t="s">
        <v>47</v>
      </c>
      <c r="B51" s="19" t="s">
        <v>82</v>
      </c>
      <c r="C51" s="19" t="s">
        <v>83</v>
      </c>
      <c r="D51" s="19" t="s">
        <v>96</v>
      </c>
      <c r="E51" s="19" t="str">
        <f>'CUOTA LTP'!C24</f>
        <v>RUBIO Y MAUAD LTDA.</v>
      </c>
      <c r="F51" s="19" t="s">
        <v>89</v>
      </c>
      <c r="G51" s="19" t="s">
        <v>88</v>
      </c>
      <c r="H51" s="20">
        <f>'CUOTA LTP'!K24</f>
        <v>7.3735699999999991</v>
      </c>
      <c r="I51" s="20">
        <f>'CUOTA LTP'!L24</f>
        <v>0</v>
      </c>
      <c r="J51" s="20">
        <f>'CUOTA LTP'!M24</f>
        <v>7.3735699999999991</v>
      </c>
      <c r="K51" s="20">
        <f>'CUOTA LTP'!N24</f>
        <v>0</v>
      </c>
      <c r="L51" s="20">
        <f>'CUOTA LTP'!O24</f>
        <v>7.3735699999999991</v>
      </c>
      <c r="M51" s="28">
        <f>'CUOTA LTP'!P24</f>
        <v>0</v>
      </c>
      <c r="N51" s="21" t="s">
        <v>92</v>
      </c>
      <c r="O51" s="21">
        <f>'RESUMEN '!$B$3</f>
        <v>44599</v>
      </c>
      <c r="P51" s="19">
        <v>2021</v>
      </c>
      <c r="Q51" s="19"/>
    </row>
    <row r="52" spans="1:17" x14ac:dyDescent="0.2">
      <c r="A52" s="19" t="s">
        <v>47</v>
      </c>
      <c r="B52" s="19" t="s">
        <v>82</v>
      </c>
      <c r="C52" s="19" t="s">
        <v>83</v>
      </c>
      <c r="D52" s="19" t="s">
        <v>96</v>
      </c>
      <c r="E52" s="19" t="str">
        <f>'CUOTA LTP'!C28</f>
        <v>ENFERMAR LTDA. SOC. PESQ.</v>
      </c>
      <c r="F52" s="19" t="s">
        <v>85</v>
      </c>
      <c r="G52" s="19" t="s">
        <v>86</v>
      </c>
      <c r="H52" s="20">
        <f>'CUOTA LTP'!E28</f>
        <v>7.2910000000000003E-2</v>
      </c>
      <c r="I52" s="20">
        <f>'CUOTA LTP'!F28</f>
        <v>-3.9199999999999999E-2</v>
      </c>
      <c r="J52" s="20">
        <f>'CUOTA LTP'!G28</f>
        <v>3.3710000000000004E-2</v>
      </c>
      <c r="K52" s="20">
        <f>'CUOTA LTP'!H28</f>
        <v>0</v>
      </c>
      <c r="L52" s="20">
        <f>'CUOTA LTP'!I28</f>
        <v>3.3710000000000004E-2</v>
      </c>
      <c r="M52" s="28">
        <f>'CUOTA LTP'!J28</f>
        <v>0</v>
      </c>
      <c r="N52" s="21" t="s">
        <v>92</v>
      </c>
      <c r="O52" s="21">
        <f>'RESUMEN '!$B$3</f>
        <v>44599</v>
      </c>
      <c r="P52" s="19">
        <v>2021</v>
      </c>
      <c r="Q52" s="19"/>
    </row>
    <row r="53" spans="1:17" x14ac:dyDescent="0.2">
      <c r="A53" s="19" t="s">
        <v>47</v>
      </c>
      <c r="B53" s="19" t="s">
        <v>82</v>
      </c>
      <c r="C53" s="19" t="s">
        <v>83</v>
      </c>
      <c r="D53" s="19" t="s">
        <v>96</v>
      </c>
      <c r="E53" s="19" t="str">
        <f>'CUOTA LTP'!C28</f>
        <v>ENFERMAR LTDA. SOC. PESQ.</v>
      </c>
      <c r="F53" s="19" t="s">
        <v>87</v>
      </c>
      <c r="G53" s="19" t="s">
        <v>88</v>
      </c>
      <c r="H53" s="20">
        <f>'CUOTA LTP'!E29</f>
        <v>6.4799999999999996E-3</v>
      </c>
      <c r="I53" s="20">
        <f>'CUOTA LTP'!F29</f>
        <v>0</v>
      </c>
      <c r="J53" s="20">
        <f>'CUOTA LTP'!G29</f>
        <v>4.0190000000000003E-2</v>
      </c>
      <c r="K53" s="20">
        <f>'CUOTA LTP'!H29</f>
        <v>0</v>
      </c>
      <c r="L53" s="20">
        <f>'CUOTA LTP'!I29</f>
        <v>4.0190000000000003E-2</v>
      </c>
      <c r="M53" s="28">
        <f>'CUOTA LTP'!J29</f>
        <v>0</v>
      </c>
      <c r="N53" s="21" t="s">
        <v>92</v>
      </c>
      <c r="O53" s="21">
        <f>'RESUMEN '!$B$3</f>
        <v>44599</v>
      </c>
      <c r="P53" s="19">
        <v>2021</v>
      </c>
      <c r="Q53" s="19"/>
    </row>
    <row r="54" spans="1:17" x14ac:dyDescent="0.2">
      <c r="A54" s="19" t="s">
        <v>47</v>
      </c>
      <c r="B54" s="19" t="s">
        <v>82</v>
      </c>
      <c r="C54" s="19" t="s">
        <v>83</v>
      </c>
      <c r="D54" s="19" t="s">
        <v>96</v>
      </c>
      <c r="E54" s="19" t="str">
        <f>'CUOTA LTP'!C28</f>
        <v>ENFERMAR LTDA. SOC. PESQ.</v>
      </c>
      <c r="F54" s="19" t="s">
        <v>89</v>
      </c>
      <c r="G54" s="19" t="s">
        <v>88</v>
      </c>
      <c r="H54" s="20">
        <f>'CUOTA LTP'!K28</f>
        <v>7.9390000000000002E-2</v>
      </c>
      <c r="I54" s="20">
        <f>'CUOTA LTP'!L28</f>
        <v>-3.9199999999999999E-2</v>
      </c>
      <c r="J54" s="20">
        <f>'CUOTA LTP'!M28</f>
        <v>4.0190000000000003E-2</v>
      </c>
      <c r="K54" s="20">
        <f>'CUOTA LTP'!N28</f>
        <v>0</v>
      </c>
      <c r="L54" s="20">
        <f>'CUOTA LTP'!O28</f>
        <v>4.0190000000000003E-2</v>
      </c>
      <c r="M54" s="28">
        <f>'CUOTA LTP'!P28</f>
        <v>0</v>
      </c>
      <c r="N54" s="21" t="s">
        <v>92</v>
      </c>
      <c r="O54" s="21">
        <f>'RESUMEN '!$B$3</f>
        <v>44599</v>
      </c>
      <c r="P54" s="19">
        <v>2021</v>
      </c>
      <c r="Q54" s="19"/>
    </row>
    <row r="55" spans="1:17" x14ac:dyDescent="0.2">
      <c r="A55" s="19" t="s">
        <v>47</v>
      </c>
      <c r="B55" s="19" t="s">
        <v>82</v>
      </c>
      <c r="C55" s="19" t="s">
        <v>90</v>
      </c>
      <c r="D55" s="19" t="s">
        <v>96</v>
      </c>
      <c r="E55" s="19" t="str">
        <f>'CUOTA LTP'!C30</f>
        <v>ANTARTIC SEAFOOD S.A.</v>
      </c>
      <c r="F55" s="19" t="s">
        <v>85</v>
      </c>
      <c r="G55" s="19" t="s">
        <v>86</v>
      </c>
      <c r="H55" s="20">
        <f>'CUOTA LTP'!E30</f>
        <v>293.11132000000003</v>
      </c>
      <c r="I55" s="20">
        <f>'CUOTA LTP'!F30</f>
        <v>-30</v>
      </c>
      <c r="J55" s="20">
        <f>'CUOTA LTP'!G30</f>
        <v>263.11132000000003</v>
      </c>
      <c r="K55" s="20">
        <f>'CUOTA LTP'!H30</f>
        <v>155.23500000000001</v>
      </c>
      <c r="L55" s="20">
        <f>'CUOTA LTP'!I30</f>
        <v>107.87632000000002</v>
      </c>
      <c r="M55" s="28">
        <f>'CUOTA LTP'!J30</f>
        <v>0.58999742010339951</v>
      </c>
      <c r="N55" s="21" t="s">
        <v>92</v>
      </c>
      <c r="O55" s="21">
        <f>'RESUMEN '!$B$3</f>
        <v>44599</v>
      </c>
      <c r="P55" s="19">
        <v>2021</v>
      </c>
      <c r="Q55" s="19"/>
    </row>
    <row r="56" spans="1:17" x14ac:dyDescent="0.2">
      <c r="A56" s="19" t="s">
        <v>47</v>
      </c>
      <c r="B56" s="19" t="s">
        <v>82</v>
      </c>
      <c r="C56" s="19" t="s">
        <v>90</v>
      </c>
      <c r="D56" s="19" t="s">
        <v>96</v>
      </c>
      <c r="E56" s="19" t="str">
        <f>'CUOTA LTP'!C30</f>
        <v>ANTARTIC SEAFOOD S.A.</v>
      </c>
      <c r="F56" s="19" t="s">
        <v>87</v>
      </c>
      <c r="G56" s="19" t="s">
        <v>88</v>
      </c>
      <c r="H56" s="20">
        <f>'CUOTA LTP'!E31</f>
        <v>32.404269999999997</v>
      </c>
      <c r="I56" s="20">
        <f>'CUOTA LTP'!F31</f>
        <v>0</v>
      </c>
      <c r="J56" s="20">
        <f>'CUOTA LTP'!G31</f>
        <v>140.28059000000002</v>
      </c>
      <c r="K56" s="20">
        <f>'CUOTA LTP'!H31</f>
        <v>140.08600000000001</v>
      </c>
      <c r="L56" s="20">
        <f>'CUOTA LTP'!I31</f>
        <v>0.19459000000000515</v>
      </c>
      <c r="M56" s="28">
        <f>'CUOTA LTP'!J31</f>
        <v>0.99861285157126867</v>
      </c>
      <c r="N56" s="21" t="s">
        <v>92</v>
      </c>
      <c r="O56" s="21">
        <f>'RESUMEN '!$B$3</f>
        <v>44599</v>
      </c>
      <c r="P56" s="19">
        <v>2021</v>
      </c>
      <c r="Q56" s="19"/>
    </row>
    <row r="57" spans="1:17" x14ac:dyDescent="0.2">
      <c r="A57" s="19" t="s">
        <v>47</v>
      </c>
      <c r="B57" s="19" t="s">
        <v>82</v>
      </c>
      <c r="C57" s="19" t="s">
        <v>90</v>
      </c>
      <c r="D57" s="19" t="s">
        <v>96</v>
      </c>
      <c r="E57" s="19" t="str">
        <f>'CUOTA LTP'!C30</f>
        <v>ANTARTIC SEAFOOD S.A.</v>
      </c>
      <c r="F57" s="19" t="s">
        <v>89</v>
      </c>
      <c r="G57" s="19" t="s">
        <v>88</v>
      </c>
      <c r="H57" s="20">
        <f>'CUOTA LTP'!K30</f>
        <v>325.51559000000003</v>
      </c>
      <c r="I57" s="20">
        <f>'CUOTA LTP'!L30</f>
        <v>-30</v>
      </c>
      <c r="J57" s="20">
        <f>'CUOTA LTP'!M30</f>
        <v>295.51559000000003</v>
      </c>
      <c r="K57" s="20">
        <f>'CUOTA LTP'!N30</f>
        <v>295.32100000000003</v>
      </c>
      <c r="L57" s="20">
        <f>'CUOTA LTP'!O30</f>
        <v>0.19459000000000515</v>
      </c>
      <c r="M57" s="28">
        <f>'CUOTA LTP'!P30</f>
        <v>0.99934152374160701</v>
      </c>
      <c r="N57" s="21" t="s">
        <v>92</v>
      </c>
      <c r="O57" s="21">
        <f>'RESUMEN '!$B$3</f>
        <v>44599</v>
      </c>
      <c r="P57" s="19">
        <v>2021</v>
      </c>
      <c r="Q57" s="19"/>
    </row>
    <row r="58" spans="1:17" x14ac:dyDescent="0.2">
      <c r="A58" s="19" t="s">
        <v>47</v>
      </c>
      <c r="B58" s="19" t="s">
        <v>82</v>
      </c>
      <c r="C58" s="19" t="s">
        <v>90</v>
      </c>
      <c r="D58" s="19" t="s">
        <v>96</v>
      </c>
      <c r="E58" s="19" t="str">
        <f>'CUOTA LTP'!C32</f>
        <v>QUINTERO S.A. PESQ.</v>
      </c>
      <c r="F58" s="19" t="s">
        <v>85</v>
      </c>
      <c r="G58" s="19" t="s">
        <v>86</v>
      </c>
      <c r="H58" s="20">
        <f>'CUOTA LTP'!E32</f>
        <v>52.995370000000001</v>
      </c>
      <c r="I58" s="20">
        <f>'CUOTA LTP'!F32</f>
        <v>0</v>
      </c>
      <c r="J58" s="20">
        <f>'CUOTA LTP'!G32</f>
        <v>52.995370000000001</v>
      </c>
      <c r="K58" s="20">
        <f>'CUOTA LTP'!H32</f>
        <v>22.893999999999998</v>
      </c>
      <c r="L58" s="20">
        <f>'CUOTA LTP'!I32</f>
        <v>30.101370000000003</v>
      </c>
      <c r="M58" s="28">
        <f>'CUOTA LTP'!J32</f>
        <v>0.43200000301913161</v>
      </c>
      <c r="N58" s="21" t="s">
        <v>92</v>
      </c>
      <c r="O58" s="21">
        <f>'RESUMEN '!$B$3</f>
        <v>44599</v>
      </c>
      <c r="P58" s="19">
        <v>2021</v>
      </c>
      <c r="Q58" s="19"/>
    </row>
    <row r="59" spans="1:17" x14ac:dyDescent="0.2">
      <c r="A59" s="19" t="s">
        <v>47</v>
      </c>
      <c r="B59" s="19" t="s">
        <v>82</v>
      </c>
      <c r="C59" s="19" t="s">
        <v>90</v>
      </c>
      <c r="D59" s="19" t="s">
        <v>96</v>
      </c>
      <c r="E59" s="19" t="str">
        <f>'CUOTA LTP'!C32</f>
        <v>QUINTERO S.A. PESQ.</v>
      </c>
      <c r="F59" s="19" t="s">
        <v>87</v>
      </c>
      <c r="G59" s="19" t="s">
        <v>88</v>
      </c>
      <c r="H59" s="20">
        <f>'CUOTA LTP'!E33</f>
        <v>5.8587899999999999</v>
      </c>
      <c r="I59" s="20">
        <f>'CUOTA LTP'!F33</f>
        <v>0</v>
      </c>
      <c r="J59" s="20">
        <f>'CUOTA LTP'!G33</f>
        <v>35.960160000000002</v>
      </c>
      <c r="K59" s="20">
        <f>'CUOTA LTP'!H33</f>
        <v>0</v>
      </c>
      <c r="L59" s="20">
        <f>'CUOTA LTP'!I33</f>
        <v>35.960160000000002</v>
      </c>
      <c r="M59" s="28">
        <f>'CUOTA LTP'!J33</f>
        <v>0</v>
      </c>
      <c r="N59" s="21" t="s">
        <v>92</v>
      </c>
      <c r="O59" s="21">
        <f>'RESUMEN '!$B$3</f>
        <v>44599</v>
      </c>
      <c r="P59" s="19">
        <v>2021</v>
      </c>
      <c r="Q59" s="19"/>
    </row>
    <row r="60" spans="1:17" x14ac:dyDescent="0.2">
      <c r="A60" s="19" t="s">
        <v>47</v>
      </c>
      <c r="B60" s="19" t="s">
        <v>82</v>
      </c>
      <c r="C60" s="19" t="s">
        <v>90</v>
      </c>
      <c r="D60" s="19" t="s">
        <v>96</v>
      </c>
      <c r="E60" s="19" t="str">
        <f>'CUOTA LTP'!C32</f>
        <v>QUINTERO S.A. PESQ.</v>
      </c>
      <c r="F60" s="19" t="s">
        <v>89</v>
      </c>
      <c r="G60" s="19" t="s">
        <v>88</v>
      </c>
      <c r="H60" s="20">
        <f>'CUOTA LTP'!K32</f>
        <v>58.85416</v>
      </c>
      <c r="I60" s="20">
        <f>'CUOTA LTP'!L32</f>
        <v>0</v>
      </c>
      <c r="J60" s="20">
        <f>'CUOTA LTP'!M32</f>
        <v>58.85416</v>
      </c>
      <c r="K60" s="20">
        <f>'CUOTA LTP'!N32</f>
        <v>22.893999999999998</v>
      </c>
      <c r="L60" s="20">
        <f>'CUOTA LTP'!O32</f>
        <v>35.960160000000002</v>
      </c>
      <c r="M60" s="28">
        <f>'CUOTA LTP'!P32</f>
        <v>0.38899544229328903</v>
      </c>
      <c r="N60" s="21" t="s">
        <v>92</v>
      </c>
      <c r="O60" s="21">
        <f>'RESUMEN '!$B$3</f>
        <v>44599</v>
      </c>
      <c r="P60" s="19">
        <v>2021</v>
      </c>
      <c r="Q60" s="19"/>
    </row>
    <row r="61" spans="1:17" x14ac:dyDescent="0.2">
      <c r="A61" s="19" t="s">
        <v>47</v>
      </c>
      <c r="B61" s="19" t="s">
        <v>82</v>
      </c>
      <c r="C61" s="19" t="s">
        <v>90</v>
      </c>
      <c r="D61" s="19" t="s">
        <v>96</v>
      </c>
      <c r="E61" s="19" t="str">
        <f>'CUOTA LTP'!C34</f>
        <v>BAYCIC BAYCIC MARIA</v>
      </c>
      <c r="F61" s="19" t="s">
        <v>85</v>
      </c>
      <c r="G61" s="19" t="s">
        <v>86</v>
      </c>
      <c r="H61" s="20">
        <f>'CUOTA LTP'!E34</f>
        <v>2.3879999999999998E-2</v>
      </c>
      <c r="I61" s="20">
        <f>'CUOTA LTP'!F34</f>
        <v>0</v>
      </c>
      <c r="J61" s="20">
        <f>'CUOTA LTP'!G34</f>
        <v>2.3879999999999998E-2</v>
      </c>
      <c r="K61" s="20">
        <f>'CUOTA LTP'!H34</f>
        <v>0</v>
      </c>
      <c r="L61" s="20">
        <f>'CUOTA LTP'!I34</f>
        <v>2.3879999999999998E-2</v>
      </c>
      <c r="M61" s="28">
        <f>'CUOTA LTP'!J34</f>
        <v>0</v>
      </c>
      <c r="N61" s="21" t="s">
        <v>92</v>
      </c>
      <c r="O61" s="21">
        <f>'RESUMEN '!$B$3</f>
        <v>44599</v>
      </c>
      <c r="P61" s="19">
        <v>2021</v>
      </c>
      <c r="Q61" s="19"/>
    </row>
    <row r="62" spans="1:17" x14ac:dyDescent="0.2">
      <c r="A62" s="19" t="s">
        <v>47</v>
      </c>
      <c r="B62" s="19" t="s">
        <v>82</v>
      </c>
      <c r="C62" s="19" t="s">
        <v>90</v>
      </c>
      <c r="D62" s="19" t="s">
        <v>96</v>
      </c>
      <c r="E62" s="19" t="str">
        <f>'CUOTA LTP'!C34</f>
        <v>BAYCIC BAYCIC MARIA</v>
      </c>
      <c r="F62" s="19" t="s">
        <v>87</v>
      </c>
      <c r="G62" s="19" t="s">
        <v>88</v>
      </c>
      <c r="H62" s="20">
        <f>'CUOTA LTP'!E35</f>
        <v>2.64E-3</v>
      </c>
      <c r="I62" s="20">
        <f>'CUOTA LTP'!F35</f>
        <v>0</v>
      </c>
      <c r="J62" s="20">
        <f>'CUOTA LTP'!G35</f>
        <v>2.6519999999999998E-2</v>
      </c>
      <c r="K62" s="20">
        <f>'CUOTA LTP'!H35</f>
        <v>0</v>
      </c>
      <c r="L62" s="20">
        <f>'CUOTA LTP'!I35</f>
        <v>2.6519999999999998E-2</v>
      </c>
      <c r="M62" s="28">
        <f>'CUOTA LTP'!J35</f>
        <v>0</v>
      </c>
      <c r="N62" s="21" t="s">
        <v>92</v>
      </c>
      <c r="O62" s="21">
        <f>'RESUMEN '!$B$3</f>
        <v>44599</v>
      </c>
      <c r="P62" s="19">
        <v>2021</v>
      </c>
      <c r="Q62" s="19"/>
    </row>
    <row r="63" spans="1:17" x14ac:dyDescent="0.2">
      <c r="A63" s="19" t="s">
        <v>47</v>
      </c>
      <c r="B63" s="19" t="s">
        <v>82</v>
      </c>
      <c r="C63" s="19" t="s">
        <v>90</v>
      </c>
      <c r="D63" s="19" t="s">
        <v>96</v>
      </c>
      <c r="E63" s="19" t="str">
        <f>'CUOTA LTP'!C34</f>
        <v>BAYCIC BAYCIC MARIA</v>
      </c>
      <c r="F63" s="19" t="s">
        <v>89</v>
      </c>
      <c r="G63" s="19" t="s">
        <v>88</v>
      </c>
      <c r="H63" s="20">
        <f>'CUOTA LTP'!K34</f>
        <v>2.6519999999999998E-2</v>
      </c>
      <c r="I63" s="20">
        <f>'CUOTA LTP'!L34</f>
        <v>0</v>
      </c>
      <c r="J63" s="20">
        <f>'CUOTA LTP'!M34</f>
        <v>2.6519999999999998E-2</v>
      </c>
      <c r="K63" s="20">
        <f>'CUOTA LTP'!N34</f>
        <v>0</v>
      </c>
      <c r="L63" s="20">
        <f>'CUOTA LTP'!O34</f>
        <v>2.6519999999999998E-2</v>
      </c>
      <c r="M63" s="28">
        <f>'CUOTA LTP'!P34</f>
        <v>0</v>
      </c>
      <c r="N63" s="21" t="s">
        <v>92</v>
      </c>
      <c r="O63" s="21">
        <f>'RESUMEN '!$B$3</f>
        <v>44599</v>
      </c>
      <c r="P63" s="19">
        <v>2021</v>
      </c>
      <c r="Q63" s="19"/>
    </row>
    <row r="64" spans="1:17" x14ac:dyDescent="0.2">
      <c r="A64" s="19" t="s">
        <v>47</v>
      </c>
      <c r="B64" s="19" t="s">
        <v>82</v>
      </c>
      <c r="C64" s="19" t="s">
        <v>90</v>
      </c>
      <c r="D64" s="19" t="s">
        <v>96</v>
      </c>
      <c r="E64" s="19" t="str">
        <f>'CUOTA LTP'!C36</f>
        <v>BRACPESCA S.A.</v>
      </c>
      <c r="F64" s="19" t="s">
        <v>85</v>
      </c>
      <c r="G64" s="19" t="s">
        <v>86</v>
      </c>
      <c r="H64" s="20">
        <f>'CUOTA LTP'!E36</f>
        <v>304.80925999999999</v>
      </c>
      <c r="I64" s="20">
        <f>'CUOTA LTP'!F36</f>
        <v>65.846999999999994</v>
      </c>
      <c r="J64" s="20">
        <f>'CUOTA LTP'!G36</f>
        <v>370.65625999999997</v>
      </c>
      <c r="K64" s="20">
        <f>'CUOTA LTP'!H36</f>
        <v>104.764</v>
      </c>
      <c r="L64" s="20">
        <f>'CUOTA LTP'!I36</f>
        <v>265.89225999999996</v>
      </c>
      <c r="M64" s="28">
        <f>'CUOTA LTP'!J36</f>
        <v>0.28264462604786439</v>
      </c>
      <c r="N64" s="21" t="s">
        <v>92</v>
      </c>
      <c r="O64" s="21">
        <f>'RESUMEN '!$B$3</f>
        <v>44599</v>
      </c>
      <c r="P64" s="19">
        <v>2021</v>
      </c>
      <c r="Q64" s="19"/>
    </row>
    <row r="65" spans="1:17" x14ac:dyDescent="0.2">
      <c r="A65" s="19" t="s">
        <v>47</v>
      </c>
      <c r="B65" s="19" t="s">
        <v>82</v>
      </c>
      <c r="C65" s="19" t="s">
        <v>90</v>
      </c>
      <c r="D65" s="19" t="s">
        <v>96</v>
      </c>
      <c r="E65" s="19" t="str">
        <f>'CUOTA LTP'!C36</f>
        <v>BRACPESCA S.A.</v>
      </c>
      <c r="F65" s="19" t="s">
        <v>87</v>
      </c>
      <c r="G65" s="19" t="s">
        <v>88</v>
      </c>
      <c r="H65" s="20">
        <f>'CUOTA LTP'!E37</f>
        <v>33.697509999999994</v>
      </c>
      <c r="I65" s="20">
        <f>'CUOTA LTP'!F37</f>
        <v>0</v>
      </c>
      <c r="J65" s="20">
        <f>'CUOTA LTP'!G37</f>
        <v>299.58976999999993</v>
      </c>
      <c r="K65" s="20">
        <f>'CUOTA LTP'!H37</f>
        <v>74.850999999999999</v>
      </c>
      <c r="L65" s="20">
        <f>'CUOTA LTP'!I37</f>
        <v>224.73876999999993</v>
      </c>
      <c r="M65" s="28">
        <f>'CUOTA LTP'!J37</f>
        <v>0.24984497968672301</v>
      </c>
      <c r="N65" s="21" t="s">
        <v>92</v>
      </c>
      <c r="O65" s="21">
        <f>'RESUMEN '!$B$3</f>
        <v>44599</v>
      </c>
      <c r="P65" s="19">
        <v>2021</v>
      </c>
      <c r="Q65" s="19"/>
    </row>
    <row r="66" spans="1:17" x14ac:dyDescent="0.2">
      <c r="A66" s="19" t="s">
        <v>47</v>
      </c>
      <c r="B66" s="19" t="s">
        <v>82</v>
      </c>
      <c r="C66" s="19" t="s">
        <v>90</v>
      </c>
      <c r="D66" s="19" t="s">
        <v>96</v>
      </c>
      <c r="E66" s="19" t="str">
        <f>'CUOTA LTP'!C36</f>
        <v>BRACPESCA S.A.</v>
      </c>
      <c r="F66" s="19" t="s">
        <v>89</v>
      </c>
      <c r="G66" s="19" t="s">
        <v>88</v>
      </c>
      <c r="H66" s="20">
        <f>'CUOTA LTP'!K36</f>
        <v>338.50676999999996</v>
      </c>
      <c r="I66" s="20">
        <f>'CUOTA LTP'!L36</f>
        <v>65.846999999999994</v>
      </c>
      <c r="J66" s="20">
        <f>'CUOTA LTP'!M36</f>
        <v>404.35376999999994</v>
      </c>
      <c r="K66" s="20">
        <f>'CUOTA LTP'!N36</f>
        <v>179.61500000000001</v>
      </c>
      <c r="L66" s="20">
        <f>'CUOTA LTP'!O36</f>
        <v>224.73876999999993</v>
      </c>
      <c r="M66" s="28">
        <f>'CUOTA LTP'!P36</f>
        <v>0.44420261000657923</v>
      </c>
      <c r="N66" s="21" t="s">
        <v>92</v>
      </c>
      <c r="O66" s="21">
        <f>'RESUMEN '!$B$3</f>
        <v>44599</v>
      </c>
      <c r="P66" s="19">
        <v>2021</v>
      </c>
      <c r="Q66" s="19"/>
    </row>
    <row r="67" spans="1:17" x14ac:dyDescent="0.2">
      <c r="A67" s="19" t="s">
        <v>47</v>
      </c>
      <c r="B67" s="19" t="s">
        <v>82</v>
      </c>
      <c r="C67" s="19" t="s">
        <v>90</v>
      </c>
      <c r="D67" s="19" t="s">
        <v>96</v>
      </c>
      <c r="E67" s="19" t="str">
        <f>'CUOTA LTP'!C38</f>
        <v>GRIMAR S.A. PESQ.</v>
      </c>
      <c r="F67" s="19" t="s">
        <v>85</v>
      </c>
      <c r="G67" s="19" t="s">
        <v>86</v>
      </c>
      <c r="H67" s="20">
        <f>'CUOTA LTP'!E38</f>
        <v>0.13779</v>
      </c>
      <c r="I67" s="20">
        <f>'CUOTA LTP'!F38</f>
        <v>0</v>
      </c>
      <c r="J67" s="20">
        <f>'CUOTA LTP'!G38</f>
        <v>0.13779</v>
      </c>
      <c r="K67" s="20">
        <f>'CUOTA LTP'!H38</f>
        <v>0</v>
      </c>
      <c r="L67" s="20">
        <f>'CUOTA LTP'!I38</f>
        <v>0.13779</v>
      </c>
      <c r="M67" s="28">
        <f>'CUOTA LTP'!J38</f>
        <v>0</v>
      </c>
      <c r="N67" s="21" t="s">
        <v>92</v>
      </c>
      <c r="O67" s="21">
        <f>'RESUMEN '!$B$3</f>
        <v>44599</v>
      </c>
      <c r="P67" s="19">
        <v>2021</v>
      </c>
      <c r="Q67" s="19"/>
    </row>
    <row r="68" spans="1:17" x14ac:dyDescent="0.2">
      <c r="A68" s="19" t="s">
        <v>47</v>
      </c>
      <c r="B68" s="19" t="s">
        <v>82</v>
      </c>
      <c r="C68" s="19" t="s">
        <v>90</v>
      </c>
      <c r="D68" s="19" t="s">
        <v>96</v>
      </c>
      <c r="E68" s="19" t="str">
        <f>'CUOTA LTP'!C38</f>
        <v>GRIMAR S.A. PESQ.</v>
      </c>
      <c r="F68" s="19" t="s">
        <v>87</v>
      </c>
      <c r="G68" s="19" t="s">
        <v>88</v>
      </c>
      <c r="H68" s="20">
        <f>'CUOTA LTP'!E39</f>
        <v>1.523E-2</v>
      </c>
      <c r="I68" s="20">
        <f>'CUOTA LTP'!F39</f>
        <v>0</v>
      </c>
      <c r="J68" s="20">
        <f>'CUOTA LTP'!G39</f>
        <v>0.15301999999999999</v>
      </c>
      <c r="K68" s="20">
        <f>'CUOTA LTP'!H39</f>
        <v>0</v>
      </c>
      <c r="L68" s="20">
        <f>'CUOTA LTP'!I39</f>
        <v>0.15301999999999999</v>
      </c>
      <c r="M68" s="28">
        <f>'CUOTA LTP'!J39</f>
        <v>0</v>
      </c>
      <c r="N68" s="21" t="s">
        <v>92</v>
      </c>
      <c r="O68" s="21">
        <f>'RESUMEN '!$B$3</f>
        <v>44599</v>
      </c>
      <c r="P68" s="19">
        <v>2021</v>
      </c>
      <c r="Q68" s="19"/>
    </row>
    <row r="69" spans="1:17" x14ac:dyDescent="0.2">
      <c r="A69" s="19" t="s">
        <v>47</v>
      </c>
      <c r="B69" s="19" t="s">
        <v>82</v>
      </c>
      <c r="C69" s="19" t="s">
        <v>90</v>
      </c>
      <c r="D69" s="19" t="s">
        <v>96</v>
      </c>
      <c r="E69" s="19" t="str">
        <f>'CUOTA LTP'!C38</f>
        <v>GRIMAR S.A. PESQ.</v>
      </c>
      <c r="F69" s="19" t="s">
        <v>89</v>
      </c>
      <c r="G69" s="19" t="s">
        <v>88</v>
      </c>
      <c r="H69" s="20">
        <f>'CUOTA LTP'!K38</f>
        <v>0.15301999999999999</v>
      </c>
      <c r="I69" s="20">
        <f>'CUOTA LTP'!L38</f>
        <v>0</v>
      </c>
      <c r="J69" s="20">
        <f>'CUOTA LTP'!M38</f>
        <v>0.15301999999999999</v>
      </c>
      <c r="K69" s="20">
        <f>'CUOTA LTP'!N38</f>
        <v>0</v>
      </c>
      <c r="L69" s="20">
        <f>'CUOTA LTP'!O38</f>
        <v>0.15301999999999999</v>
      </c>
      <c r="M69" s="28">
        <f>'CUOTA LTP'!P38</f>
        <v>0</v>
      </c>
      <c r="N69" s="21" t="s">
        <v>92</v>
      </c>
      <c r="O69" s="21">
        <f>'RESUMEN '!$B$3</f>
        <v>44599</v>
      </c>
      <c r="P69" s="19">
        <v>2021</v>
      </c>
      <c r="Q69" s="19"/>
    </row>
    <row r="70" spans="1:17" x14ac:dyDescent="0.2">
      <c r="A70" s="19" t="s">
        <v>47</v>
      </c>
      <c r="B70" s="19" t="s">
        <v>82</v>
      </c>
      <c r="C70" s="19" t="s">
        <v>90</v>
      </c>
      <c r="D70" s="19" t="s">
        <v>96</v>
      </c>
      <c r="E70" s="19" t="str">
        <f>'CUOTA LTP'!C40</f>
        <v>ISLADAMAS S.A. PESQ.</v>
      </c>
      <c r="F70" s="19" t="s">
        <v>85</v>
      </c>
      <c r="G70" s="19" t="s">
        <v>86</v>
      </c>
      <c r="H70" s="20">
        <f>'CUOTA LTP'!E40</f>
        <v>84.242509999999996</v>
      </c>
      <c r="I70" s="20">
        <f>'CUOTA LTP'!F40</f>
        <v>0</v>
      </c>
      <c r="J70" s="20">
        <f>'CUOTA LTP'!G40</f>
        <v>84.242509999999996</v>
      </c>
      <c r="K70" s="20">
        <f>'CUOTA LTP'!H40</f>
        <v>7.5469999999999997</v>
      </c>
      <c r="L70" s="20">
        <f>'CUOTA LTP'!I40</f>
        <v>76.695509999999999</v>
      </c>
      <c r="M70" s="28">
        <f>'CUOTA LTP'!J40</f>
        <v>8.9586599449612794E-2</v>
      </c>
      <c r="N70" s="21" t="s">
        <v>92</v>
      </c>
      <c r="O70" s="21">
        <f>'RESUMEN '!$B$3</f>
        <v>44599</v>
      </c>
      <c r="P70" s="19">
        <v>2021</v>
      </c>
      <c r="Q70" s="19"/>
    </row>
    <row r="71" spans="1:17" x14ac:dyDescent="0.2">
      <c r="A71" s="19" t="s">
        <v>47</v>
      </c>
      <c r="B71" s="19" t="s">
        <v>82</v>
      </c>
      <c r="C71" s="19" t="s">
        <v>90</v>
      </c>
      <c r="D71" s="19" t="s">
        <v>96</v>
      </c>
      <c r="E71" s="19" t="str">
        <f>'CUOTA LTP'!C40</f>
        <v>ISLADAMAS S.A. PESQ.</v>
      </c>
      <c r="F71" s="19" t="s">
        <v>87</v>
      </c>
      <c r="G71" s="19" t="s">
        <v>88</v>
      </c>
      <c r="H71" s="20">
        <f>'CUOTA LTP'!E41</f>
        <v>9.3132400000000004</v>
      </c>
      <c r="I71" s="20">
        <f>'CUOTA LTP'!F41</f>
        <v>0</v>
      </c>
      <c r="J71" s="20">
        <f>'CUOTA LTP'!G41</f>
        <v>86.008749999999992</v>
      </c>
      <c r="K71" s="20">
        <f>'CUOTA LTP'!H41</f>
        <v>67.249000000000009</v>
      </c>
      <c r="L71" s="20">
        <f>'CUOTA LTP'!I41</f>
        <v>18.759749999999983</v>
      </c>
      <c r="M71" s="28">
        <f>'CUOTA LTP'!J41</f>
        <v>0.78188556396878239</v>
      </c>
      <c r="N71" s="21" t="s">
        <v>92</v>
      </c>
      <c r="O71" s="21">
        <f>'RESUMEN '!$B$3</f>
        <v>44599</v>
      </c>
      <c r="P71" s="19">
        <v>2021</v>
      </c>
      <c r="Q71" s="19"/>
    </row>
    <row r="72" spans="1:17" x14ac:dyDescent="0.2">
      <c r="A72" s="19" t="s">
        <v>47</v>
      </c>
      <c r="B72" s="19" t="s">
        <v>82</v>
      </c>
      <c r="C72" s="19" t="s">
        <v>90</v>
      </c>
      <c r="D72" s="19" t="s">
        <v>96</v>
      </c>
      <c r="E72" s="19" t="str">
        <f>'CUOTA LTP'!C40</f>
        <v>ISLADAMAS S.A. PESQ.</v>
      </c>
      <c r="F72" s="19" t="s">
        <v>89</v>
      </c>
      <c r="G72" s="19" t="s">
        <v>88</v>
      </c>
      <c r="H72" s="20">
        <f>'CUOTA LTP'!K40</f>
        <v>93.555749999999989</v>
      </c>
      <c r="I72" s="20">
        <f>'CUOTA LTP'!L40</f>
        <v>0</v>
      </c>
      <c r="J72" s="20">
        <f>'CUOTA LTP'!M40</f>
        <v>93.555749999999989</v>
      </c>
      <c r="K72" s="20">
        <f>'CUOTA LTP'!N40</f>
        <v>74.796000000000006</v>
      </c>
      <c r="L72" s="20">
        <f>'CUOTA LTP'!O40</f>
        <v>18.759749999999983</v>
      </c>
      <c r="M72" s="28">
        <f>'CUOTA LTP'!P40</f>
        <v>0.79948052364499256</v>
      </c>
      <c r="N72" s="21" t="s">
        <v>92</v>
      </c>
      <c r="O72" s="21">
        <f>'RESUMEN '!$B$3</f>
        <v>44599</v>
      </c>
      <c r="P72" s="19">
        <v>2021</v>
      </c>
      <c r="Q72" s="19"/>
    </row>
    <row r="73" spans="1:17" x14ac:dyDescent="0.2">
      <c r="A73" s="19" t="s">
        <v>47</v>
      </c>
      <c r="B73" s="19" t="s">
        <v>82</v>
      </c>
      <c r="C73" s="19" t="s">
        <v>90</v>
      </c>
      <c r="D73" s="19" t="s">
        <v>96</v>
      </c>
      <c r="E73" s="19" t="str">
        <f>'CUOTA LTP'!C42</f>
        <v>MOROZIN BAYCIC MARIA ANA</v>
      </c>
      <c r="F73" s="19" t="s">
        <v>85</v>
      </c>
      <c r="G73" s="19" t="s">
        <v>86</v>
      </c>
      <c r="H73" s="20">
        <f>'CUOTA LTP'!E42</f>
        <v>7.9680000000000001E-2</v>
      </c>
      <c r="I73" s="20">
        <f>'CUOTA LTP'!F42</f>
        <v>0</v>
      </c>
      <c r="J73" s="20">
        <f>'CUOTA LTP'!G42</f>
        <v>7.9680000000000001E-2</v>
      </c>
      <c r="K73" s="20">
        <f>'CUOTA LTP'!H42</f>
        <v>0</v>
      </c>
      <c r="L73" s="20">
        <f>'CUOTA LTP'!I42</f>
        <v>7.9680000000000001E-2</v>
      </c>
      <c r="M73" s="28">
        <f>'CUOTA LTP'!J42</f>
        <v>0</v>
      </c>
      <c r="N73" s="21" t="s">
        <v>92</v>
      </c>
      <c r="O73" s="21">
        <f>'RESUMEN '!$B$3</f>
        <v>44599</v>
      </c>
      <c r="P73" s="19">
        <v>2021</v>
      </c>
      <c r="Q73" s="19"/>
    </row>
    <row r="74" spans="1:17" x14ac:dyDescent="0.2">
      <c r="A74" s="19" t="s">
        <v>47</v>
      </c>
      <c r="B74" s="19" t="s">
        <v>82</v>
      </c>
      <c r="C74" s="19" t="s">
        <v>90</v>
      </c>
      <c r="D74" s="19" t="s">
        <v>96</v>
      </c>
      <c r="E74" s="19" t="str">
        <f>'CUOTA LTP'!C42</f>
        <v>MOROZIN BAYCIC MARIA ANA</v>
      </c>
      <c r="F74" s="19" t="s">
        <v>87</v>
      </c>
      <c r="G74" s="19" t="s">
        <v>88</v>
      </c>
      <c r="H74" s="20">
        <f>'CUOTA LTP'!E43</f>
        <v>8.8100000000000001E-3</v>
      </c>
      <c r="I74" s="20">
        <f>'CUOTA LTP'!F43</f>
        <v>0</v>
      </c>
      <c r="J74" s="20">
        <f>'CUOTA LTP'!G43</f>
        <v>8.8489999999999999E-2</v>
      </c>
      <c r="K74" s="20">
        <f>'CUOTA LTP'!H43</f>
        <v>0</v>
      </c>
      <c r="L74" s="20">
        <f>'CUOTA LTP'!I43</f>
        <v>8.8489999999999999E-2</v>
      </c>
      <c r="M74" s="28">
        <f>'CUOTA LTP'!J43</f>
        <v>0</v>
      </c>
      <c r="N74" s="21" t="s">
        <v>92</v>
      </c>
      <c r="O74" s="21">
        <f>'RESUMEN '!$B$3</f>
        <v>44599</v>
      </c>
      <c r="P74" s="19">
        <v>2021</v>
      </c>
      <c r="Q74" s="19"/>
    </row>
    <row r="75" spans="1:17" x14ac:dyDescent="0.2">
      <c r="A75" s="19" t="s">
        <v>47</v>
      </c>
      <c r="B75" s="19" t="s">
        <v>82</v>
      </c>
      <c r="C75" s="19" t="s">
        <v>90</v>
      </c>
      <c r="D75" s="19" t="s">
        <v>96</v>
      </c>
      <c r="E75" s="19" t="str">
        <f>'CUOTA LTP'!C42</f>
        <v>MOROZIN BAYCIC MARIA ANA</v>
      </c>
      <c r="F75" s="19" t="s">
        <v>89</v>
      </c>
      <c r="G75" s="19" t="s">
        <v>88</v>
      </c>
      <c r="H75" s="20">
        <f>'CUOTA LTP'!K42</f>
        <v>8.8489999999999999E-2</v>
      </c>
      <c r="I75" s="20">
        <f>'CUOTA LTP'!L42</f>
        <v>0</v>
      </c>
      <c r="J75" s="20">
        <f>'CUOTA LTP'!M42</f>
        <v>8.8489999999999999E-2</v>
      </c>
      <c r="K75" s="20">
        <f>'CUOTA LTP'!N42</f>
        <v>0</v>
      </c>
      <c r="L75" s="20">
        <f>'CUOTA LTP'!O42</f>
        <v>8.8489999999999999E-2</v>
      </c>
      <c r="M75" s="28">
        <f>'CUOTA LTP'!P42</f>
        <v>0</v>
      </c>
      <c r="N75" s="21" t="s">
        <v>92</v>
      </c>
      <c r="O75" s="21">
        <f>'RESUMEN '!$B$3</f>
        <v>44599</v>
      </c>
      <c r="P75" s="19">
        <v>2021</v>
      </c>
      <c r="Q75" s="19"/>
    </row>
    <row r="76" spans="1:17" x14ac:dyDescent="0.2">
      <c r="A76" s="19" t="s">
        <v>47</v>
      </c>
      <c r="B76" s="19" t="s">
        <v>82</v>
      </c>
      <c r="C76" s="19" t="s">
        <v>90</v>
      </c>
      <c r="D76" s="19" t="s">
        <v>96</v>
      </c>
      <c r="E76" s="19" t="str">
        <f>'CUOTA LTP'!C44</f>
        <v>MOROZIN YURECIC MARIO</v>
      </c>
      <c r="F76" s="19" t="s">
        <v>85</v>
      </c>
      <c r="G76" s="19" t="s">
        <v>86</v>
      </c>
      <c r="H76" s="20">
        <f>'CUOTA LTP'!E44</f>
        <v>1.6E-2</v>
      </c>
      <c r="I76" s="20">
        <f>'CUOTA LTP'!F44</f>
        <v>0</v>
      </c>
      <c r="J76" s="20">
        <f>'CUOTA LTP'!G44</f>
        <v>1.6E-2</v>
      </c>
      <c r="K76" s="20">
        <f>'CUOTA LTP'!H44</f>
        <v>0</v>
      </c>
      <c r="L76" s="20">
        <f>'CUOTA LTP'!I44</f>
        <v>1.6E-2</v>
      </c>
      <c r="M76" s="28">
        <f>'CUOTA LTP'!J44</f>
        <v>0</v>
      </c>
      <c r="N76" s="21" t="s">
        <v>92</v>
      </c>
      <c r="O76" s="21">
        <f>'RESUMEN '!$B$3</f>
        <v>44599</v>
      </c>
      <c r="P76" s="19">
        <v>2021</v>
      </c>
      <c r="Q76" s="19"/>
    </row>
    <row r="77" spans="1:17" x14ac:dyDescent="0.2">
      <c r="A77" s="19" t="s">
        <v>47</v>
      </c>
      <c r="B77" s="19" t="s">
        <v>82</v>
      </c>
      <c r="C77" s="19" t="s">
        <v>90</v>
      </c>
      <c r="D77" s="19" t="s">
        <v>96</v>
      </c>
      <c r="E77" s="19" t="str">
        <f>'CUOTA LTP'!C44</f>
        <v>MOROZIN YURECIC MARIO</v>
      </c>
      <c r="F77" s="19" t="s">
        <v>87</v>
      </c>
      <c r="G77" s="19" t="s">
        <v>88</v>
      </c>
      <c r="H77" s="20">
        <f>'CUOTA LTP'!E45</f>
        <v>1.7700000000000001E-3</v>
      </c>
      <c r="I77" s="20">
        <f>'CUOTA LTP'!F45</f>
        <v>0</v>
      </c>
      <c r="J77" s="20">
        <f>'CUOTA LTP'!G45</f>
        <v>1.7770000000000001E-2</v>
      </c>
      <c r="K77" s="20">
        <f>'CUOTA LTP'!H45</f>
        <v>0</v>
      </c>
      <c r="L77" s="20">
        <f>'CUOTA LTP'!I45</f>
        <v>1.7770000000000001E-2</v>
      </c>
      <c r="M77" s="28">
        <f>'CUOTA LTP'!J45</f>
        <v>0</v>
      </c>
      <c r="N77" s="21" t="s">
        <v>92</v>
      </c>
      <c r="O77" s="21">
        <f>'RESUMEN '!$B$3</f>
        <v>44599</v>
      </c>
      <c r="P77" s="19">
        <v>2021</v>
      </c>
      <c r="Q77" s="19"/>
    </row>
    <row r="78" spans="1:17" x14ac:dyDescent="0.2">
      <c r="A78" s="19" t="s">
        <v>47</v>
      </c>
      <c r="B78" s="19" t="s">
        <v>82</v>
      </c>
      <c r="C78" s="19" t="s">
        <v>90</v>
      </c>
      <c r="D78" s="19" t="s">
        <v>96</v>
      </c>
      <c r="E78" s="19" t="str">
        <f>'CUOTA LTP'!C44</f>
        <v>MOROZIN YURECIC MARIO</v>
      </c>
      <c r="F78" s="19" t="s">
        <v>89</v>
      </c>
      <c r="G78" s="19" t="s">
        <v>88</v>
      </c>
      <c r="H78" s="20">
        <f>'CUOTA LTP'!K44</f>
        <v>1.7770000000000001E-2</v>
      </c>
      <c r="I78" s="20">
        <f>'CUOTA LTP'!L44</f>
        <v>0</v>
      </c>
      <c r="J78" s="20">
        <f>'CUOTA LTP'!M44</f>
        <v>1.7770000000000001E-2</v>
      </c>
      <c r="K78" s="20">
        <f>'CUOTA LTP'!N44</f>
        <v>0</v>
      </c>
      <c r="L78" s="20">
        <f>'CUOTA LTP'!O44</f>
        <v>1.7770000000000001E-2</v>
      </c>
      <c r="M78" s="28">
        <f>'CUOTA LTP'!P44</f>
        <v>0</v>
      </c>
      <c r="N78" s="21" t="s">
        <v>92</v>
      </c>
      <c r="O78" s="21">
        <f>'RESUMEN '!$B$3</f>
        <v>44599</v>
      </c>
      <c r="P78" s="19">
        <v>2021</v>
      </c>
      <c r="Q78" s="19"/>
    </row>
    <row r="79" spans="1:17" x14ac:dyDescent="0.2">
      <c r="A79" s="19" t="s">
        <v>47</v>
      </c>
      <c r="B79" s="19" t="s">
        <v>82</v>
      </c>
      <c r="C79" s="19" t="s">
        <v>90</v>
      </c>
      <c r="D79" s="19" t="s">
        <v>96</v>
      </c>
      <c r="E79" s="19" t="str">
        <f>'CUOTA LTP'!C46</f>
        <v>ZUÑIGA ROMERO GONZALO</v>
      </c>
      <c r="F79" s="19" t="s">
        <v>85</v>
      </c>
      <c r="G79" s="19" t="s">
        <v>86</v>
      </c>
      <c r="H79" s="20">
        <f>'CUOTA LTP'!E46</f>
        <v>4.7759999999999997E-2</v>
      </c>
      <c r="I79" s="20">
        <f>'CUOTA LTP'!F46</f>
        <v>0</v>
      </c>
      <c r="J79" s="20">
        <f>'CUOTA LTP'!G46</f>
        <v>4.7759999999999997E-2</v>
      </c>
      <c r="K79" s="20">
        <f>'CUOTA LTP'!H46</f>
        <v>0</v>
      </c>
      <c r="L79" s="20">
        <f>'CUOTA LTP'!I46</f>
        <v>4.7759999999999997E-2</v>
      </c>
      <c r="M79" s="28">
        <f>'CUOTA LTP'!J46</f>
        <v>0</v>
      </c>
      <c r="N79" s="21" t="s">
        <v>92</v>
      </c>
      <c r="O79" s="21">
        <f>'RESUMEN '!$B$3</f>
        <v>44599</v>
      </c>
      <c r="P79" s="19">
        <v>2021</v>
      </c>
      <c r="Q79" s="19"/>
    </row>
    <row r="80" spans="1:17" x14ac:dyDescent="0.2">
      <c r="A80" s="19" t="s">
        <v>47</v>
      </c>
      <c r="B80" s="19" t="s">
        <v>82</v>
      </c>
      <c r="C80" s="19" t="s">
        <v>90</v>
      </c>
      <c r="D80" s="19" t="s">
        <v>96</v>
      </c>
      <c r="E80" s="19" t="str">
        <f>'CUOTA LTP'!C46</f>
        <v>ZUÑIGA ROMERO GONZALO</v>
      </c>
      <c r="F80" s="19" t="s">
        <v>87</v>
      </c>
      <c r="G80" s="19" t="s">
        <v>88</v>
      </c>
      <c r="H80" s="20">
        <f>'CUOTA LTP'!E47</f>
        <v>5.28E-3</v>
      </c>
      <c r="I80" s="20">
        <f>'CUOTA LTP'!F47</f>
        <v>0</v>
      </c>
      <c r="J80" s="20">
        <f>'CUOTA LTP'!G47</f>
        <v>5.3039999999999997E-2</v>
      </c>
      <c r="K80" s="20">
        <f>'CUOTA LTP'!H47</f>
        <v>0</v>
      </c>
      <c r="L80" s="20">
        <f>'CUOTA LTP'!I47</f>
        <v>5.3039999999999997E-2</v>
      </c>
      <c r="M80" s="28">
        <f>'CUOTA LTP'!J47</f>
        <v>0</v>
      </c>
      <c r="N80" s="21" t="s">
        <v>92</v>
      </c>
      <c r="O80" s="21">
        <f>'RESUMEN '!$B$3</f>
        <v>44599</v>
      </c>
      <c r="P80" s="19">
        <v>2021</v>
      </c>
      <c r="Q80" s="19"/>
    </row>
    <row r="81" spans="1:17" x14ac:dyDescent="0.2">
      <c r="A81" s="19" t="s">
        <v>47</v>
      </c>
      <c r="B81" s="19" t="s">
        <v>82</v>
      </c>
      <c r="C81" s="19" t="s">
        <v>90</v>
      </c>
      <c r="D81" s="19" t="s">
        <v>96</v>
      </c>
      <c r="E81" s="19" t="str">
        <f>'CUOTA LTP'!C46</f>
        <v>ZUÑIGA ROMERO GONZALO</v>
      </c>
      <c r="F81" s="19" t="s">
        <v>89</v>
      </c>
      <c r="G81" s="19" t="s">
        <v>88</v>
      </c>
      <c r="H81" s="20">
        <f>'CUOTA LTP'!K46</f>
        <v>5.3039999999999997E-2</v>
      </c>
      <c r="I81" s="20">
        <f>'CUOTA LTP'!L46</f>
        <v>0</v>
      </c>
      <c r="J81" s="20">
        <f>'CUOTA LTP'!M46</f>
        <v>5.3039999999999997E-2</v>
      </c>
      <c r="K81" s="20">
        <f>'CUOTA LTP'!N46</f>
        <v>0</v>
      </c>
      <c r="L81" s="20">
        <f>'CUOTA LTP'!O46</f>
        <v>5.3039999999999997E-2</v>
      </c>
      <c r="M81" s="28">
        <f>'CUOTA LTP'!P46</f>
        <v>0</v>
      </c>
      <c r="N81" s="21" t="s">
        <v>92</v>
      </c>
      <c r="O81" s="21">
        <f>'RESUMEN '!$B$3</f>
        <v>44599</v>
      </c>
      <c r="P81" s="19">
        <v>2021</v>
      </c>
      <c r="Q81" s="19"/>
    </row>
    <row r="82" spans="1:17" x14ac:dyDescent="0.2">
      <c r="A82" s="19" t="s">
        <v>47</v>
      </c>
      <c r="B82" s="19" t="s">
        <v>82</v>
      </c>
      <c r="C82" s="19" t="s">
        <v>90</v>
      </c>
      <c r="D82" s="19" t="s">
        <v>96</v>
      </c>
      <c r="E82" s="19" t="str">
        <f>'CUOTA LTP'!C48</f>
        <v>RUBIO Y MAUAD LTDA.</v>
      </c>
      <c r="F82" s="19" t="s">
        <v>85</v>
      </c>
      <c r="G82" s="19" t="s">
        <v>86</v>
      </c>
      <c r="H82" s="20">
        <f>'CUOTA LTP'!E48</f>
        <v>59.891519999999986</v>
      </c>
      <c r="I82" s="20">
        <f>'CUOTA LTP'!F48</f>
        <v>-66.512690000000006</v>
      </c>
      <c r="J82" s="20">
        <f>'CUOTA LTP'!G48</f>
        <v>-6.6211700000000207</v>
      </c>
      <c r="K82" s="20">
        <f>'CUOTA LTP'!H48</f>
        <v>0</v>
      </c>
      <c r="L82" s="20">
        <f>'CUOTA LTP'!I48</f>
        <v>-6.6211700000000207</v>
      </c>
      <c r="M82" s="28">
        <f>'CUOTA LTP'!J48</f>
        <v>0</v>
      </c>
      <c r="N82" s="21" t="s">
        <v>92</v>
      </c>
      <c r="O82" s="21">
        <f>'RESUMEN '!$B$3</f>
        <v>44599</v>
      </c>
      <c r="P82" s="19">
        <v>2021</v>
      </c>
      <c r="Q82" s="19"/>
    </row>
    <row r="83" spans="1:17" x14ac:dyDescent="0.2">
      <c r="A83" s="19" t="s">
        <v>47</v>
      </c>
      <c r="B83" s="19" t="s">
        <v>82</v>
      </c>
      <c r="C83" s="19" t="s">
        <v>90</v>
      </c>
      <c r="D83" s="19" t="s">
        <v>96</v>
      </c>
      <c r="E83" s="19" t="str">
        <f>'CUOTA LTP'!C48</f>
        <v>RUBIO Y MAUAD LTDA.</v>
      </c>
      <c r="F83" s="19" t="s">
        <v>87</v>
      </c>
      <c r="G83" s="19" t="s">
        <v>88</v>
      </c>
      <c r="H83" s="20">
        <f>'CUOTA LTP'!E49</f>
        <v>6.6195699999999995</v>
      </c>
      <c r="I83" s="20">
        <f>'CUOTA LTP'!F49</f>
        <v>0</v>
      </c>
      <c r="J83" s="20">
        <f>'CUOTA LTP'!G49</f>
        <v>-1.6000000000211401E-3</v>
      </c>
      <c r="K83" s="20">
        <f>'CUOTA LTP'!H49</f>
        <v>0</v>
      </c>
      <c r="L83" s="20">
        <f>'CUOTA LTP'!I49</f>
        <v>-1.6000000000211401E-3</v>
      </c>
      <c r="M83" s="28">
        <f>'CUOTA LTP'!J49</f>
        <v>0</v>
      </c>
      <c r="N83" s="21" t="s">
        <v>92</v>
      </c>
      <c r="O83" s="21">
        <f>'RESUMEN '!$B$3</f>
        <v>44599</v>
      </c>
      <c r="P83" s="19">
        <v>2021</v>
      </c>
      <c r="Q83" s="19"/>
    </row>
    <row r="84" spans="1:17" x14ac:dyDescent="0.2">
      <c r="A84" s="19" t="s">
        <v>47</v>
      </c>
      <c r="B84" s="19" t="s">
        <v>82</v>
      </c>
      <c r="C84" s="19" t="s">
        <v>90</v>
      </c>
      <c r="D84" s="19" t="s">
        <v>96</v>
      </c>
      <c r="E84" s="19" t="str">
        <f>'CUOTA LTP'!C48</f>
        <v>RUBIO Y MAUAD LTDA.</v>
      </c>
      <c r="F84" s="19" t="s">
        <v>89</v>
      </c>
      <c r="G84" s="19" t="s">
        <v>88</v>
      </c>
      <c r="H84" s="20">
        <f>'CUOTA LTP'!K48</f>
        <v>66.511089999999982</v>
      </c>
      <c r="I84" s="20">
        <f>'CUOTA LTP'!L48</f>
        <v>-66.512690000000006</v>
      </c>
      <c r="J84" s="20">
        <f>'CUOTA LTP'!M48</f>
        <v>-1.6000000000246928E-3</v>
      </c>
      <c r="K84" s="20">
        <f>'CUOTA LTP'!N48</f>
        <v>0</v>
      </c>
      <c r="L84" s="20">
        <f>'CUOTA LTP'!O48</f>
        <v>-1.6000000000246928E-3</v>
      </c>
      <c r="M84" s="28">
        <f>'CUOTA LTP'!P48</f>
        <v>0</v>
      </c>
      <c r="N84" s="21" t="s">
        <v>92</v>
      </c>
      <c r="O84" s="21">
        <f>'RESUMEN '!$B$3</f>
        <v>44599</v>
      </c>
      <c r="P84" s="19">
        <v>2021</v>
      </c>
      <c r="Q84" s="19"/>
    </row>
    <row r="85" spans="1:17" x14ac:dyDescent="0.2">
      <c r="A85" s="19" t="s">
        <v>47</v>
      </c>
      <c r="B85" s="19" t="s">
        <v>82</v>
      </c>
      <c r="C85" s="19" t="s">
        <v>90</v>
      </c>
      <c r="D85" s="19" t="s">
        <v>96</v>
      </c>
      <c r="E85" s="19" t="str">
        <f>'CUOTA LTP'!C52</f>
        <v>PATRICIO GENARO VIAL CHABRILLARD</v>
      </c>
      <c r="F85" s="19" t="s">
        <v>85</v>
      </c>
      <c r="G85" s="19" t="s">
        <v>86</v>
      </c>
      <c r="H85" s="20">
        <f>'CUOTA LTP'!E52</f>
        <v>0</v>
      </c>
      <c r="I85" s="20">
        <f>'CUOTA LTP'!F52</f>
        <v>0</v>
      </c>
      <c r="J85" s="20">
        <f>'CUOTA LTP'!G52</f>
        <v>0</v>
      </c>
      <c r="K85" s="20">
        <f>'CUOTA LTP'!H52</f>
        <v>0</v>
      </c>
      <c r="L85" s="20">
        <f>'CUOTA LTP'!I52</f>
        <v>0</v>
      </c>
      <c r="M85" s="28">
        <f>'CUOTA LTP'!J52</f>
        <v>0</v>
      </c>
      <c r="N85" s="21" t="s">
        <v>92</v>
      </c>
      <c r="O85" s="21">
        <f>'RESUMEN '!$B$3</f>
        <v>44599</v>
      </c>
      <c r="P85" s="19">
        <v>2021</v>
      </c>
      <c r="Q85" s="19"/>
    </row>
    <row r="86" spans="1:17" x14ac:dyDescent="0.2">
      <c r="A86" s="19" t="s">
        <v>47</v>
      </c>
      <c r="B86" s="19" t="s">
        <v>82</v>
      </c>
      <c r="C86" s="19" t="s">
        <v>90</v>
      </c>
      <c r="D86" s="19" t="s">
        <v>96</v>
      </c>
      <c r="E86" s="19" t="str">
        <f>'CUOTA LTP'!C52</f>
        <v>PATRICIO GENARO VIAL CHABRILLARD</v>
      </c>
      <c r="F86" s="19" t="s">
        <v>87</v>
      </c>
      <c r="G86" s="19" t="s">
        <v>88</v>
      </c>
      <c r="H86" s="20">
        <f>'CUOTA LTP'!E53</f>
        <v>0</v>
      </c>
      <c r="I86" s="20">
        <f>'CUOTA LTP'!F53</f>
        <v>0</v>
      </c>
      <c r="J86" s="20">
        <f>'CUOTA LTP'!G53</f>
        <v>0</v>
      </c>
      <c r="K86" s="20">
        <f>'CUOTA LTP'!H53</f>
        <v>0</v>
      </c>
      <c r="L86" s="20">
        <f>'CUOTA LTP'!I53</f>
        <v>0</v>
      </c>
      <c r="M86" s="28">
        <f>'CUOTA LTP'!J53</f>
        <v>0</v>
      </c>
      <c r="N86" s="21" t="s">
        <v>92</v>
      </c>
      <c r="O86" s="21">
        <f>'RESUMEN '!$B$3</f>
        <v>44599</v>
      </c>
      <c r="P86" s="19">
        <v>2021</v>
      </c>
      <c r="Q86" s="19"/>
    </row>
    <row r="87" spans="1:17" x14ac:dyDescent="0.2">
      <c r="A87" s="19" t="s">
        <v>47</v>
      </c>
      <c r="B87" s="19" t="s">
        <v>82</v>
      </c>
      <c r="C87" s="19" t="s">
        <v>90</v>
      </c>
      <c r="D87" s="19" t="s">
        <v>96</v>
      </c>
      <c r="E87" s="19" t="str">
        <f>'CUOTA LTP'!C52</f>
        <v>PATRICIO GENARO VIAL CHABRILLARD</v>
      </c>
      <c r="F87" s="19" t="s">
        <v>89</v>
      </c>
      <c r="G87" s="19" t="s">
        <v>88</v>
      </c>
      <c r="H87" s="20">
        <f>'CUOTA LTP'!K52</f>
        <v>0</v>
      </c>
      <c r="I87" s="20">
        <f>'CUOTA LTP'!L52</f>
        <v>0</v>
      </c>
      <c r="J87" s="20">
        <f>'CUOTA LTP'!M52</f>
        <v>0</v>
      </c>
      <c r="K87" s="20">
        <f>'CUOTA LTP'!N52</f>
        <v>0</v>
      </c>
      <c r="L87" s="20">
        <f>'CUOTA LTP'!O52</f>
        <v>0</v>
      </c>
      <c r="M87" s="28" t="e">
        <f>'CUOTA LTP'!P52</f>
        <v>#DIV/0!</v>
      </c>
      <c r="N87" s="21" t="s">
        <v>92</v>
      </c>
      <c r="O87" s="21">
        <f>'RESUMEN '!$B$3</f>
        <v>44599</v>
      </c>
      <c r="P87" s="19">
        <v>2021</v>
      </c>
      <c r="Q87" s="19"/>
    </row>
    <row r="88" spans="1:17" x14ac:dyDescent="0.2">
      <c r="A88" s="19" t="s">
        <v>47</v>
      </c>
      <c r="B88" s="19" t="s">
        <v>82</v>
      </c>
      <c r="C88" s="19" t="s">
        <v>90</v>
      </c>
      <c r="D88" s="19" t="s">
        <v>96</v>
      </c>
      <c r="E88" s="19" t="str">
        <f>'CUOTA LTP'!C54</f>
        <v>ENFERMAR LTDA. SOC. PESQ.</v>
      </c>
      <c r="F88" s="19" t="s">
        <v>85</v>
      </c>
      <c r="G88" s="19" t="s">
        <v>86</v>
      </c>
      <c r="H88" s="20">
        <f>'CUOTA LTP'!E54</f>
        <v>0.64483999999999997</v>
      </c>
      <c r="I88" s="20">
        <f>'CUOTA LTP'!F54</f>
        <v>-0.35360000000000003</v>
      </c>
      <c r="J88" s="20">
        <f>'CUOTA LTP'!G54</f>
        <v>0.29123999999999994</v>
      </c>
      <c r="K88" s="20">
        <f>'CUOTA LTP'!H54</f>
        <v>0</v>
      </c>
      <c r="L88" s="20">
        <f>'CUOTA LTP'!I54</f>
        <v>0.29123999999999994</v>
      </c>
      <c r="M88" s="28">
        <f>'CUOTA LTP'!J54</f>
        <v>0</v>
      </c>
      <c r="N88" s="21" t="s">
        <v>92</v>
      </c>
      <c r="O88" s="21">
        <f>'RESUMEN '!$B$3</f>
        <v>44599</v>
      </c>
      <c r="P88" s="19">
        <v>2021</v>
      </c>
      <c r="Q88" s="19"/>
    </row>
    <row r="89" spans="1:17" x14ac:dyDescent="0.2">
      <c r="A89" s="19" t="s">
        <v>47</v>
      </c>
      <c r="B89" s="19" t="s">
        <v>82</v>
      </c>
      <c r="C89" s="19" t="s">
        <v>90</v>
      </c>
      <c r="D89" s="19" t="s">
        <v>96</v>
      </c>
      <c r="E89" s="19" t="str">
        <f>'CUOTA LTP'!C54</f>
        <v>ENFERMAR LTDA. SOC. PESQ.</v>
      </c>
      <c r="F89" s="19" t="s">
        <v>87</v>
      </c>
      <c r="G89" s="19" t="s">
        <v>88</v>
      </c>
      <c r="H89" s="20">
        <f>'CUOTA LTP'!E55</f>
        <v>7.1290000000000006E-2</v>
      </c>
      <c r="I89" s="20">
        <f>'CUOTA LTP'!F55</f>
        <v>0</v>
      </c>
      <c r="J89" s="20">
        <f>'CUOTA LTP'!G55</f>
        <v>0.36252999999999996</v>
      </c>
      <c r="K89" s="20">
        <f>'CUOTA LTP'!H55</f>
        <v>0</v>
      </c>
      <c r="L89" s="20">
        <f>'CUOTA LTP'!I55</f>
        <v>0.36252999999999996</v>
      </c>
      <c r="M89" s="28">
        <f>'CUOTA LTP'!J55</f>
        <v>0</v>
      </c>
      <c r="N89" s="21" t="s">
        <v>92</v>
      </c>
      <c r="O89" s="21">
        <f>'RESUMEN '!$B$3</f>
        <v>44599</v>
      </c>
      <c r="P89" s="19">
        <v>2021</v>
      </c>
      <c r="Q89" s="19"/>
    </row>
    <row r="90" spans="1:17" x14ac:dyDescent="0.2">
      <c r="A90" s="19" t="s">
        <v>47</v>
      </c>
      <c r="B90" s="19" t="s">
        <v>82</v>
      </c>
      <c r="C90" s="19" t="s">
        <v>90</v>
      </c>
      <c r="D90" s="19" t="s">
        <v>96</v>
      </c>
      <c r="E90" s="19" t="str">
        <f>'CUOTA LTP'!C54</f>
        <v>ENFERMAR LTDA. SOC. PESQ.</v>
      </c>
      <c r="F90" s="19" t="s">
        <v>89</v>
      </c>
      <c r="G90" s="19" t="s">
        <v>88</v>
      </c>
      <c r="H90" s="20">
        <f>'CUOTA LTP'!K54</f>
        <v>0.71612999999999993</v>
      </c>
      <c r="I90" s="20">
        <f>'CUOTA LTP'!L54</f>
        <v>-0.35360000000000003</v>
      </c>
      <c r="J90" s="20">
        <f>'CUOTA LTP'!M54</f>
        <v>0.36252999999999991</v>
      </c>
      <c r="K90" s="20">
        <f>'CUOTA LTP'!N54</f>
        <v>0</v>
      </c>
      <c r="L90" s="20">
        <f>'CUOTA LTP'!O54</f>
        <v>0.36252999999999991</v>
      </c>
      <c r="M90" s="28">
        <f>'CUOTA LTP'!P54</f>
        <v>0</v>
      </c>
      <c r="N90" s="21" t="s">
        <v>92</v>
      </c>
      <c r="O90" s="21">
        <f>'RESUMEN '!$B$3</f>
        <v>44599</v>
      </c>
      <c r="P90" s="19">
        <v>2021</v>
      </c>
      <c r="Q90" s="19"/>
    </row>
    <row r="91" spans="1:17" x14ac:dyDescent="0.2">
      <c r="A91" s="24" t="s">
        <v>47</v>
      </c>
      <c r="B91" s="24" t="s">
        <v>82</v>
      </c>
      <c r="C91" s="24" t="s">
        <v>93</v>
      </c>
      <c r="D91" s="24" t="s">
        <v>104</v>
      </c>
      <c r="E91" s="24" t="s">
        <v>105</v>
      </c>
      <c r="F91" s="24" t="s">
        <v>89</v>
      </c>
      <c r="G91" s="24" t="s">
        <v>88</v>
      </c>
      <c r="H91" s="25">
        <f>'CUOTA LTP'!E56</f>
        <v>981.68567999999993</v>
      </c>
      <c r="I91" s="25">
        <f>'CUOTA LTP'!F56</f>
        <v>-30.665690000000012</v>
      </c>
      <c r="J91" s="25">
        <f>'CUOTA LTP'!G56</f>
        <v>951.01998999999989</v>
      </c>
      <c r="K91" s="25">
        <f>'CUOTA LTP'!H56</f>
        <v>607.09400000000005</v>
      </c>
      <c r="L91" s="25">
        <f>'CUOTA LTP'!I56</f>
        <v>343.92598999999984</v>
      </c>
      <c r="M91" s="29">
        <f>'CUOTA LTP'!J56</f>
        <v>0.63836092446384862</v>
      </c>
      <c r="N91" s="26" t="s">
        <v>92</v>
      </c>
      <c r="O91" s="26">
        <f>'RESUMEN '!$B$3</f>
        <v>44599</v>
      </c>
      <c r="P91" s="19">
        <v>2021</v>
      </c>
      <c r="Q91" s="19"/>
    </row>
    <row r="92" spans="1:17" x14ac:dyDescent="0.2">
      <c r="A92" s="19" t="s">
        <v>48</v>
      </c>
      <c r="B92" s="19" t="s">
        <v>82</v>
      </c>
      <c r="C92" s="19" t="s">
        <v>61</v>
      </c>
      <c r="D92" s="19" t="s">
        <v>97</v>
      </c>
      <c r="E92" s="19" t="str">
        <f>'CUOTA LICITADA'!C13</f>
        <v>ANTARTIC SEAFOOD S.A.</v>
      </c>
      <c r="F92" s="19" t="s">
        <v>85</v>
      </c>
      <c r="G92" s="19" t="s">
        <v>86</v>
      </c>
      <c r="H92" s="20">
        <f>'CUOTA LICITADA'!F13</f>
        <v>82.990499999999997</v>
      </c>
      <c r="I92" s="20">
        <f>'CUOTA LICITADA'!G13</f>
        <v>80</v>
      </c>
      <c r="J92" s="20">
        <f>'CUOTA LICITADA'!H13</f>
        <v>162.9905</v>
      </c>
      <c r="K92" s="20">
        <f>'CUOTA LICITADA'!I13</f>
        <v>162.80799999999999</v>
      </c>
      <c r="L92" s="20">
        <f>'CUOTA LICITADA'!J13</f>
        <v>0.18250000000000455</v>
      </c>
      <c r="M92" s="28">
        <f>'CUOTA LICITADA'!K13</f>
        <v>0.99888030283973606</v>
      </c>
      <c r="N92" s="21" t="s">
        <v>92</v>
      </c>
      <c r="O92" s="21">
        <f>'RESUMEN '!$B$3</f>
        <v>44599</v>
      </c>
      <c r="P92" s="19">
        <v>2021</v>
      </c>
      <c r="Q92" s="19"/>
    </row>
    <row r="93" spans="1:17" x14ac:dyDescent="0.2">
      <c r="A93" s="19" t="s">
        <v>48</v>
      </c>
      <c r="B93" s="19" t="s">
        <v>82</v>
      </c>
      <c r="C93" s="19" t="s">
        <v>61</v>
      </c>
      <c r="D93" s="19" t="s">
        <v>97</v>
      </c>
      <c r="E93" s="19" t="str">
        <f>'CUOTA LICITADA'!C13</f>
        <v>ANTARTIC SEAFOOD S.A.</v>
      </c>
      <c r="F93" s="19" t="s">
        <v>87</v>
      </c>
      <c r="G93" s="19" t="s">
        <v>88</v>
      </c>
      <c r="H93" s="20">
        <f>'CUOTA LICITADA'!F14</f>
        <v>9.2514000000000003</v>
      </c>
      <c r="I93" s="20">
        <f>'CUOTA LICITADA'!G14</f>
        <v>0</v>
      </c>
      <c r="J93" s="20">
        <f>'CUOTA LICITADA'!H14</f>
        <v>9.4339000000000048</v>
      </c>
      <c r="K93" s="20">
        <f>'CUOTA LICITADA'!I14</f>
        <v>9.4039999999999999</v>
      </c>
      <c r="L93" s="20">
        <f>'CUOTA LICITADA'!J14</f>
        <v>2.9900000000004923E-2</v>
      </c>
      <c r="M93" s="28">
        <f>'CUOTA LICITADA'!K14</f>
        <v>0.99683057908182138</v>
      </c>
      <c r="N93" s="21" t="s">
        <v>92</v>
      </c>
      <c r="O93" s="21">
        <f>'RESUMEN '!$B$3</f>
        <v>44599</v>
      </c>
      <c r="P93" s="19">
        <v>2021</v>
      </c>
      <c r="Q93" s="19"/>
    </row>
    <row r="94" spans="1:17" x14ac:dyDescent="0.2">
      <c r="A94" s="19" t="s">
        <v>48</v>
      </c>
      <c r="B94" s="19" t="s">
        <v>82</v>
      </c>
      <c r="C94" s="19" t="s">
        <v>61</v>
      </c>
      <c r="D94" s="19" t="s">
        <v>97</v>
      </c>
      <c r="E94" s="19" t="str">
        <f>'CUOTA LICITADA'!C13</f>
        <v>ANTARTIC SEAFOOD S.A.</v>
      </c>
      <c r="F94" s="19" t="s">
        <v>89</v>
      </c>
      <c r="G94" s="19" t="s">
        <v>88</v>
      </c>
      <c r="H94" s="20">
        <f>'CUOTA LICITADA'!L13</f>
        <v>92.241900000000001</v>
      </c>
      <c r="I94" s="20">
        <f>'CUOTA LICITADA'!M13</f>
        <v>80</v>
      </c>
      <c r="J94" s="20">
        <f>'CUOTA LICITADA'!N13</f>
        <v>172.24189999999999</v>
      </c>
      <c r="K94" s="20">
        <f>'CUOTA LICITADA'!O13</f>
        <v>172.21199999999999</v>
      </c>
      <c r="L94" s="20">
        <f>'CUOTA LICITADA'!P13</f>
        <v>2.9899999999997817E-2</v>
      </c>
      <c r="M94" s="28">
        <f>'CUOTA LICITADA'!Q13</f>
        <v>0.9998264069311823</v>
      </c>
      <c r="N94" s="21" t="s">
        <v>92</v>
      </c>
      <c r="O94" s="21">
        <f>'RESUMEN '!$B$3</f>
        <v>44599</v>
      </c>
      <c r="P94" s="19">
        <v>2021</v>
      </c>
      <c r="Q94" s="19"/>
    </row>
    <row r="95" spans="1:17" x14ac:dyDescent="0.2">
      <c r="A95" s="19" t="s">
        <v>48</v>
      </c>
      <c r="B95" s="19" t="s">
        <v>82</v>
      </c>
      <c r="C95" s="19" t="s">
        <v>61</v>
      </c>
      <c r="D95" s="19" t="s">
        <v>97</v>
      </c>
      <c r="E95" s="19" t="str">
        <f>'CUOTA LICITADA'!C15</f>
        <v>QUINTERO S.A. PESQ.</v>
      </c>
      <c r="F95" s="19" t="s">
        <v>85</v>
      </c>
      <c r="G95" s="19" t="s">
        <v>86</v>
      </c>
      <c r="H95" s="20">
        <f>'CUOTA LICITADA'!F15</f>
        <v>13.932002279999999</v>
      </c>
      <c r="I95" s="20">
        <f>'CUOTA LICITADA'!G15</f>
        <v>-3.4000000000000002E-2</v>
      </c>
      <c r="J95" s="20">
        <f>'CUOTA LICITADA'!H15</f>
        <v>13.898002279999998</v>
      </c>
      <c r="K95" s="20">
        <f>'CUOTA LICITADA'!I15</f>
        <v>2.4050000000000002</v>
      </c>
      <c r="L95" s="20">
        <f>'CUOTA LICITADA'!J15</f>
        <v>11.493002279999999</v>
      </c>
      <c r="M95" s="28">
        <f>'CUOTA LICITADA'!K15</f>
        <v>0.17304645311944794</v>
      </c>
      <c r="N95" s="21" t="s">
        <v>92</v>
      </c>
      <c r="O95" s="21">
        <f>'RESUMEN '!$B$3</f>
        <v>44599</v>
      </c>
      <c r="P95" s="19">
        <v>2021</v>
      </c>
      <c r="Q95" s="19"/>
    </row>
    <row r="96" spans="1:17" x14ac:dyDescent="0.2">
      <c r="A96" s="19" t="s">
        <v>48</v>
      </c>
      <c r="B96" s="19" t="s">
        <v>82</v>
      </c>
      <c r="C96" s="19" t="s">
        <v>61</v>
      </c>
      <c r="D96" s="19" t="s">
        <v>97</v>
      </c>
      <c r="E96" s="19" t="str">
        <f>'CUOTA LICITADA'!C15</f>
        <v>QUINTERO S.A. PESQ.</v>
      </c>
      <c r="F96" s="19" t="s">
        <v>87</v>
      </c>
      <c r="G96" s="19" t="s">
        <v>88</v>
      </c>
      <c r="H96" s="20">
        <f>'CUOTA LICITADA'!F16</f>
        <v>1.5530756639999999</v>
      </c>
      <c r="I96" s="20">
        <f>'CUOTA LICITADA'!G16</f>
        <v>0</v>
      </c>
      <c r="J96" s="20">
        <f>'CUOTA LICITADA'!H16</f>
        <v>13.046077943999999</v>
      </c>
      <c r="K96" s="20">
        <f>'CUOTA LICITADA'!I16</f>
        <v>0.74099999999999999</v>
      </c>
      <c r="L96" s="20">
        <f>'CUOTA LICITADA'!J16</f>
        <v>12.305077943999999</v>
      </c>
      <c r="M96" s="28">
        <f>'CUOTA LICITADA'!K16</f>
        <v>5.6798679509713658E-2</v>
      </c>
      <c r="N96" s="21" t="s">
        <v>92</v>
      </c>
      <c r="O96" s="21">
        <f>'RESUMEN '!$B$3</f>
        <v>44599</v>
      </c>
      <c r="P96" s="19">
        <v>2021</v>
      </c>
      <c r="Q96" s="19"/>
    </row>
    <row r="97" spans="1:17" x14ac:dyDescent="0.2">
      <c r="A97" s="19" t="s">
        <v>48</v>
      </c>
      <c r="B97" s="19" t="s">
        <v>82</v>
      </c>
      <c r="C97" s="19" t="s">
        <v>61</v>
      </c>
      <c r="D97" s="19" t="s">
        <v>97</v>
      </c>
      <c r="E97" s="19" t="str">
        <f>'CUOTA LICITADA'!C15</f>
        <v>QUINTERO S.A. PESQ.</v>
      </c>
      <c r="F97" s="19" t="s">
        <v>89</v>
      </c>
      <c r="G97" s="19" t="s">
        <v>88</v>
      </c>
      <c r="H97" s="20">
        <f>'CUOTA LICITADA'!L15</f>
        <v>15.485077943999999</v>
      </c>
      <c r="I97" s="20">
        <f>'CUOTA LICITADA'!M15</f>
        <v>-3.4000000000000002E-2</v>
      </c>
      <c r="J97" s="20">
        <f>'CUOTA LICITADA'!N15</f>
        <v>15.451077943999998</v>
      </c>
      <c r="K97" s="20">
        <f>'CUOTA LICITADA'!O15</f>
        <v>3.1460000000000004</v>
      </c>
      <c r="L97" s="20">
        <f>'CUOTA LICITADA'!P15</f>
        <v>12.305077943999997</v>
      </c>
      <c r="M97" s="28">
        <f>'CUOTA LICITADA'!Q15</f>
        <v>0.2036103896053196</v>
      </c>
      <c r="N97" s="21" t="s">
        <v>92</v>
      </c>
      <c r="O97" s="21">
        <f>'RESUMEN '!$B$3</f>
        <v>44599</v>
      </c>
      <c r="P97" s="19">
        <v>2021</v>
      </c>
      <c r="Q97" s="19"/>
    </row>
    <row r="98" spans="1:17" x14ac:dyDescent="0.2">
      <c r="A98" s="19" t="s">
        <v>48</v>
      </c>
      <c r="B98" s="19" t="s">
        <v>82</v>
      </c>
      <c r="C98" s="19" t="s">
        <v>61</v>
      </c>
      <c r="D98" s="19" t="s">
        <v>97</v>
      </c>
      <c r="E98" s="19" t="str">
        <f>'CUOTA LICITADA'!C17</f>
        <v>BRACPESCA S.A.</v>
      </c>
      <c r="F98" s="19" t="s">
        <v>85</v>
      </c>
      <c r="G98" s="19" t="s">
        <v>86</v>
      </c>
      <c r="H98" s="20">
        <f>'CUOTA LICITADA'!F17</f>
        <v>227.41904099999999</v>
      </c>
      <c r="I98" s="20">
        <f>'CUOTA LICITADA'!G17</f>
        <v>200</v>
      </c>
      <c r="J98" s="20">
        <f>'CUOTA LICITADA'!H17</f>
        <v>427.41904099999999</v>
      </c>
      <c r="K98" s="20">
        <f>'CUOTA LICITADA'!I17</f>
        <v>426.75200000000001</v>
      </c>
      <c r="L98" s="20">
        <f>'CUOTA LICITADA'!J17</f>
        <v>0.66704099999998334</v>
      </c>
      <c r="M98" s="28">
        <f>'CUOTA LICITADA'!K17</f>
        <v>0.99843937462767363</v>
      </c>
      <c r="N98" s="21" t="s">
        <v>92</v>
      </c>
      <c r="O98" s="21">
        <f>'RESUMEN '!$B$3</f>
        <v>44599</v>
      </c>
      <c r="P98" s="19">
        <v>2021</v>
      </c>
      <c r="Q98" s="19"/>
    </row>
    <row r="99" spans="1:17" x14ac:dyDescent="0.2">
      <c r="A99" s="19" t="s">
        <v>48</v>
      </c>
      <c r="B99" s="19" t="s">
        <v>82</v>
      </c>
      <c r="C99" s="19" t="s">
        <v>61</v>
      </c>
      <c r="D99" s="19" t="s">
        <v>97</v>
      </c>
      <c r="E99" s="19" t="str">
        <f>'CUOTA LICITADA'!C17</f>
        <v>BRACPESCA S.A.</v>
      </c>
      <c r="F99" s="19" t="s">
        <v>87</v>
      </c>
      <c r="G99" s="19" t="s">
        <v>88</v>
      </c>
      <c r="H99" s="20">
        <f>'CUOTA LICITADA'!F18</f>
        <v>25.351630799999999</v>
      </c>
      <c r="I99" s="20">
        <f>'CUOTA LICITADA'!G18</f>
        <v>0</v>
      </c>
      <c r="J99" s="20">
        <f>'CUOTA LICITADA'!H18</f>
        <v>26.018671799999982</v>
      </c>
      <c r="K99" s="20">
        <f>'CUOTA LICITADA'!I18</f>
        <v>25.722000000000001</v>
      </c>
      <c r="L99" s="20">
        <f>'CUOTA LICITADA'!J18</f>
        <v>0.29667179999998083</v>
      </c>
      <c r="M99" s="28">
        <f>'CUOTA LICITADA'!K18</f>
        <v>0.98859773464685541</v>
      </c>
      <c r="N99" s="21" t="s">
        <v>92</v>
      </c>
      <c r="O99" s="21">
        <f>'RESUMEN '!$B$3</f>
        <v>44599</v>
      </c>
      <c r="P99" s="19">
        <v>2021</v>
      </c>
      <c r="Q99" s="19"/>
    </row>
    <row r="100" spans="1:17" x14ac:dyDescent="0.2">
      <c r="A100" s="19" t="s">
        <v>48</v>
      </c>
      <c r="B100" s="19" t="s">
        <v>82</v>
      </c>
      <c r="C100" s="19" t="s">
        <v>61</v>
      </c>
      <c r="D100" s="19" t="s">
        <v>97</v>
      </c>
      <c r="E100" s="19" t="str">
        <f>'CUOTA LICITADA'!C17</f>
        <v>BRACPESCA S.A.</v>
      </c>
      <c r="F100" s="19" t="s">
        <v>89</v>
      </c>
      <c r="G100" s="19" t="s">
        <v>88</v>
      </c>
      <c r="H100" s="20">
        <f>'CUOTA LICITADA'!L17</f>
        <v>252.7706718</v>
      </c>
      <c r="I100" s="20">
        <f>'CUOTA LICITADA'!M17</f>
        <v>200</v>
      </c>
      <c r="J100" s="20">
        <f>'CUOTA LICITADA'!N17</f>
        <v>452.7706718</v>
      </c>
      <c r="K100" s="20">
        <f>'CUOTA LICITADA'!O17</f>
        <v>452.47399999999999</v>
      </c>
      <c r="L100" s="20">
        <f>'CUOTA LICITADA'!P17</f>
        <v>0.29667180000001281</v>
      </c>
      <c r="M100" s="28">
        <f>'CUOTA LICITADA'!Q17</f>
        <v>0.99934476365525049</v>
      </c>
      <c r="N100" s="21" t="s">
        <v>92</v>
      </c>
      <c r="O100" s="21">
        <f>'RESUMEN '!$B$3</f>
        <v>44599</v>
      </c>
      <c r="P100" s="19">
        <v>2021</v>
      </c>
      <c r="Q100" s="19"/>
    </row>
    <row r="101" spans="1:17" x14ac:dyDescent="0.2">
      <c r="A101" s="19" t="s">
        <v>48</v>
      </c>
      <c r="B101" s="19" t="s">
        <v>82</v>
      </c>
      <c r="C101" s="19" t="s">
        <v>61</v>
      </c>
      <c r="D101" s="19" t="s">
        <v>97</v>
      </c>
      <c r="E101" s="19" t="str">
        <f>'CUOTA LICITADA'!C19</f>
        <v>CAMANCHACA PESCA SUR S.A.</v>
      </c>
      <c r="F101" s="19" t="s">
        <v>85</v>
      </c>
      <c r="G101" s="19" t="s">
        <v>86</v>
      </c>
      <c r="H101" s="20">
        <f>'CUOTA LICITADA'!F19</f>
        <v>273.44090488499995</v>
      </c>
      <c r="I101" s="20">
        <f>'CUOTA LICITADA'!G19</f>
        <v>-205.05233999999999</v>
      </c>
      <c r="J101" s="20">
        <f>'CUOTA LICITADA'!H19</f>
        <v>68.388564884999965</v>
      </c>
      <c r="K101" s="20">
        <f>'CUOTA LICITADA'!I19</f>
        <v>0</v>
      </c>
      <c r="L101" s="20">
        <f>'CUOTA LICITADA'!J19</f>
        <v>68.388564884999965</v>
      </c>
      <c r="M101" s="28">
        <f>'CUOTA LICITADA'!K19</f>
        <v>0</v>
      </c>
      <c r="N101" s="21" t="s">
        <v>92</v>
      </c>
      <c r="O101" s="21">
        <f>'RESUMEN '!$B$3</f>
        <v>44599</v>
      </c>
      <c r="P101" s="19">
        <v>2021</v>
      </c>
      <c r="Q101" s="19"/>
    </row>
    <row r="102" spans="1:17" x14ac:dyDescent="0.2">
      <c r="A102" s="19" t="s">
        <v>48</v>
      </c>
      <c r="B102" s="19" t="s">
        <v>82</v>
      </c>
      <c r="C102" s="19" t="s">
        <v>61</v>
      </c>
      <c r="D102" s="19" t="s">
        <v>97</v>
      </c>
      <c r="E102" s="19" t="str">
        <f>'CUOTA LICITADA'!C19</f>
        <v>CAMANCHACA PESCA SUR S.A.</v>
      </c>
      <c r="F102" s="19" t="s">
        <v>87</v>
      </c>
      <c r="G102" s="19" t="s">
        <v>88</v>
      </c>
      <c r="H102" s="20">
        <f>'CUOTA LICITADA'!F20</f>
        <v>30.481936937999997</v>
      </c>
      <c r="I102" s="20">
        <f>'CUOTA LICITADA'!G20</f>
        <v>0</v>
      </c>
      <c r="J102" s="20">
        <f>'CUOTA LICITADA'!H20</f>
        <v>98.870501822999955</v>
      </c>
      <c r="K102" s="20">
        <f>'CUOTA LICITADA'!I20</f>
        <v>7.5510000000000002</v>
      </c>
      <c r="L102" s="20">
        <f>'CUOTA LICITADA'!J20</f>
        <v>91.319501822999953</v>
      </c>
      <c r="M102" s="28">
        <f>'CUOTA LICITADA'!K20</f>
        <v>7.6372627434600854E-2</v>
      </c>
      <c r="N102" s="21" t="s">
        <v>92</v>
      </c>
      <c r="O102" s="21">
        <f>'RESUMEN '!$B$3</f>
        <v>44599</v>
      </c>
      <c r="P102" s="19">
        <v>2021</v>
      </c>
      <c r="Q102" s="19"/>
    </row>
    <row r="103" spans="1:17" x14ac:dyDescent="0.2">
      <c r="A103" s="19" t="s">
        <v>48</v>
      </c>
      <c r="B103" s="19" t="s">
        <v>82</v>
      </c>
      <c r="C103" s="19" t="s">
        <v>61</v>
      </c>
      <c r="D103" s="19" t="s">
        <v>97</v>
      </c>
      <c r="E103" s="19" t="str">
        <f>'CUOTA LICITADA'!C19</f>
        <v>CAMANCHACA PESCA SUR S.A.</v>
      </c>
      <c r="F103" s="19" t="s">
        <v>89</v>
      </c>
      <c r="G103" s="19" t="s">
        <v>88</v>
      </c>
      <c r="H103" s="20">
        <f>'CUOTA LICITADA'!L19</f>
        <v>303.92284182299994</v>
      </c>
      <c r="I103" s="20">
        <f>'CUOTA LICITADA'!M19</f>
        <v>-205.05233999999999</v>
      </c>
      <c r="J103" s="20">
        <f>'CUOTA LICITADA'!N19</f>
        <v>98.870501822999955</v>
      </c>
      <c r="K103" s="20">
        <f>'CUOTA LICITADA'!O19</f>
        <v>7.5510000000000002</v>
      </c>
      <c r="L103" s="20">
        <f>'CUOTA LICITADA'!P19</f>
        <v>91.319501822999953</v>
      </c>
      <c r="M103" s="28">
        <f>'CUOTA LICITADA'!Q19</f>
        <v>7.6372627434600854E-2</v>
      </c>
      <c r="N103" s="21" t="s">
        <v>92</v>
      </c>
      <c r="O103" s="21">
        <f>'RESUMEN '!$B$3</f>
        <v>44599</v>
      </c>
      <c r="P103" s="19">
        <v>2021</v>
      </c>
      <c r="Q103" s="19"/>
    </row>
    <row r="104" spans="1:17" x14ac:dyDescent="0.2">
      <c r="A104" s="19" t="s">
        <v>48</v>
      </c>
      <c r="B104" s="19" t="s">
        <v>82</v>
      </c>
      <c r="C104" s="19" t="s">
        <v>61</v>
      </c>
      <c r="D104" s="19" t="s">
        <v>97</v>
      </c>
      <c r="E104" s="19" t="str">
        <f>'CUOTA LICITADA'!C21</f>
        <v>ANTONIO CRUZ CORDOVA NAKOUZI E.I.R.L.</v>
      </c>
      <c r="F104" s="19" t="s">
        <v>85</v>
      </c>
      <c r="G104" s="19" t="s">
        <v>86</v>
      </c>
      <c r="H104" s="20">
        <f>'CUOTA LICITADA'!F21</f>
        <v>2.4592638</v>
      </c>
      <c r="I104" s="20">
        <f>'CUOTA LICITADA'!G21</f>
        <v>0</v>
      </c>
      <c r="J104" s="20">
        <f>'CUOTA LICITADA'!H21</f>
        <v>2.4592638</v>
      </c>
      <c r="K104" s="20">
        <f>'CUOTA LICITADA'!I21</f>
        <v>0.67800000000000005</v>
      </c>
      <c r="L104" s="20">
        <f>'CUOTA LICITADA'!J21</f>
        <v>1.7812638000000001</v>
      </c>
      <c r="M104" s="28">
        <f>'CUOTA LICITADA'!K21</f>
        <v>0.27569226205013064</v>
      </c>
      <c r="N104" s="21" t="s">
        <v>92</v>
      </c>
      <c r="O104" s="21">
        <f>'RESUMEN '!$B$3</f>
        <v>44599</v>
      </c>
      <c r="P104" s="19">
        <v>2021</v>
      </c>
      <c r="Q104" s="19"/>
    </row>
    <row r="105" spans="1:17" x14ac:dyDescent="0.2">
      <c r="A105" s="19" t="s">
        <v>48</v>
      </c>
      <c r="B105" s="19" t="s">
        <v>82</v>
      </c>
      <c r="C105" s="19" t="s">
        <v>61</v>
      </c>
      <c r="D105" s="19" t="s">
        <v>97</v>
      </c>
      <c r="E105" s="19" t="str">
        <f>'CUOTA LICITADA'!C21</f>
        <v>ANTONIO CRUZ CORDOVA NAKOUZI E.I.R.L.</v>
      </c>
      <c r="F105" s="19" t="s">
        <v>87</v>
      </c>
      <c r="G105" s="19" t="s">
        <v>88</v>
      </c>
      <c r="H105" s="20">
        <f>'CUOTA LICITADA'!F22</f>
        <v>0.27414744000000002</v>
      </c>
      <c r="I105" s="20">
        <f>'CUOTA LICITADA'!G22</f>
        <v>0</v>
      </c>
      <c r="J105" s="20">
        <f>'CUOTA LICITADA'!H22</f>
        <v>2.0554112400000002</v>
      </c>
      <c r="K105" s="20">
        <f>'CUOTA LICITADA'!I22</f>
        <v>0.105</v>
      </c>
      <c r="L105" s="20">
        <f>'CUOTA LICITADA'!J22</f>
        <v>1.9504112400000002</v>
      </c>
      <c r="M105" s="28">
        <f>'CUOTA LICITADA'!K22</f>
        <v>5.1084667611334067E-2</v>
      </c>
      <c r="N105" s="21" t="s">
        <v>92</v>
      </c>
      <c r="O105" s="21">
        <f>'RESUMEN '!$B$3</f>
        <v>44599</v>
      </c>
      <c r="P105" s="19">
        <v>2021</v>
      </c>
      <c r="Q105" s="19"/>
    </row>
    <row r="106" spans="1:17" x14ac:dyDescent="0.2">
      <c r="A106" s="19" t="s">
        <v>48</v>
      </c>
      <c r="B106" s="19" t="s">
        <v>82</v>
      </c>
      <c r="C106" s="19" t="s">
        <v>61</v>
      </c>
      <c r="D106" s="19" t="s">
        <v>97</v>
      </c>
      <c r="E106" s="19" t="str">
        <f>'CUOTA LICITADA'!C21</f>
        <v>ANTONIO CRUZ CORDOVA NAKOUZI E.I.R.L.</v>
      </c>
      <c r="F106" s="19" t="s">
        <v>89</v>
      </c>
      <c r="G106" s="19" t="s">
        <v>88</v>
      </c>
      <c r="H106" s="20">
        <f>'CUOTA LICITADA'!L21</f>
        <v>2.7334112400000001</v>
      </c>
      <c r="I106" s="20">
        <f>'CUOTA LICITADA'!M21</f>
        <v>0</v>
      </c>
      <c r="J106" s="20">
        <f>'CUOTA LICITADA'!N21</f>
        <v>2.7334112400000001</v>
      </c>
      <c r="K106" s="20">
        <f>'CUOTA LICITADA'!O21</f>
        <v>0.78300000000000003</v>
      </c>
      <c r="L106" s="20">
        <f>'CUOTA LICITADA'!P21</f>
        <v>1.9504112400000002</v>
      </c>
      <c r="M106" s="28">
        <f>'CUOTA LICITADA'!Q21</f>
        <v>0.28645524996085109</v>
      </c>
      <c r="N106" s="21" t="s">
        <v>92</v>
      </c>
      <c r="O106" s="21">
        <f>'RESUMEN '!$B$3</f>
        <v>44599</v>
      </c>
      <c r="P106" s="19">
        <v>2021</v>
      </c>
      <c r="Q106" s="19"/>
    </row>
    <row r="107" spans="1:17" x14ac:dyDescent="0.2">
      <c r="A107" s="19" t="s">
        <v>48</v>
      </c>
      <c r="B107" s="19" t="s">
        <v>82</v>
      </c>
      <c r="C107" s="19" t="s">
        <v>61</v>
      </c>
      <c r="D107" s="19" t="s">
        <v>97</v>
      </c>
      <c r="E107" s="19" t="str">
        <f>'CUOTA LICITADA'!C23</f>
        <v>GRIMAR S.A. PESQ.</v>
      </c>
      <c r="F107" s="19" t="s">
        <v>85</v>
      </c>
      <c r="G107" s="19" t="s">
        <v>86</v>
      </c>
      <c r="H107" s="20">
        <f>'CUOTA LICITADA'!F23</f>
        <v>7.3200000000000001E-2</v>
      </c>
      <c r="I107" s="20">
        <f>'CUOTA LICITADA'!G23</f>
        <v>0</v>
      </c>
      <c r="J107" s="20">
        <f>'CUOTA LICITADA'!H23</f>
        <v>7.3200000000000001E-2</v>
      </c>
      <c r="K107" s="20">
        <f>'CUOTA LICITADA'!I23</f>
        <v>0</v>
      </c>
      <c r="L107" s="20">
        <f>'CUOTA LICITADA'!J23</f>
        <v>7.3200000000000001E-2</v>
      </c>
      <c r="M107" s="28">
        <f>'CUOTA LICITADA'!K23</f>
        <v>0</v>
      </c>
      <c r="N107" s="21" t="s">
        <v>92</v>
      </c>
      <c r="O107" s="21">
        <f>'RESUMEN '!$B$3</f>
        <v>44599</v>
      </c>
      <c r="P107" s="19">
        <v>2021</v>
      </c>
      <c r="Q107" s="19"/>
    </row>
    <row r="108" spans="1:17" x14ac:dyDescent="0.2">
      <c r="A108" s="19" t="s">
        <v>48</v>
      </c>
      <c r="B108" s="19" t="s">
        <v>82</v>
      </c>
      <c r="C108" s="19" t="s">
        <v>61</v>
      </c>
      <c r="D108" s="19" t="s">
        <v>97</v>
      </c>
      <c r="E108" s="19" t="str">
        <f>'CUOTA LICITADA'!C23</f>
        <v>GRIMAR S.A. PESQ.</v>
      </c>
      <c r="F108" s="19" t="s">
        <v>87</v>
      </c>
      <c r="G108" s="19" t="s">
        <v>88</v>
      </c>
      <c r="H108" s="20">
        <f>'CUOTA LICITADA'!F24</f>
        <v>8.1600000000000006E-3</v>
      </c>
      <c r="I108" s="20">
        <f>'CUOTA LICITADA'!G24</f>
        <v>0</v>
      </c>
      <c r="J108" s="20">
        <f>'CUOTA LICITADA'!H24</f>
        <v>8.1360000000000002E-2</v>
      </c>
      <c r="K108" s="20">
        <f>'CUOTA LICITADA'!I24</f>
        <v>0</v>
      </c>
      <c r="L108" s="20">
        <f>'CUOTA LICITADA'!J24</f>
        <v>8.1360000000000002E-2</v>
      </c>
      <c r="M108" s="28">
        <f>'CUOTA LICITADA'!K24</f>
        <v>0</v>
      </c>
      <c r="N108" s="21" t="s">
        <v>92</v>
      </c>
      <c r="O108" s="21">
        <f>'RESUMEN '!$B$3</f>
        <v>44599</v>
      </c>
      <c r="P108" s="19">
        <v>2021</v>
      </c>
      <c r="Q108" s="19"/>
    </row>
    <row r="109" spans="1:17" x14ac:dyDescent="0.2">
      <c r="A109" s="19" t="s">
        <v>48</v>
      </c>
      <c r="B109" s="19" t="s">
        <v>82</v>
      </c>
      <c r="C109" s="19" t="s">
        <v>61</v>
      </c>
      <c r="D109" s="19" t="s">
        <v>97</v>
      </c>
      <c r="E109" s="19" t="str">
        <f>'CUOTA LICITADA'!C23</f>
        <v>GRIMAR S.A. PESQ.</v>
      </c>
      <c r="F109" s="19" t="s">
        <v>89</v>
      </c>
      <c r="G109" s="19" t="s">
        <v>88</v>
      </c>
      <c r="H109" s="20">
        <f>'CUOTA LICITADA'!L23</f>
        <v>8.1360000000000002E-2</v>
      </c>
      <c r="I109" s="20">
        <f>'CUOTA LICITADA'!M23</f>
        <v>0</v>
      </c>
      <c r="J109" s="20">
        <f>'CUOTA LICITADA'!N23</f>
        <v>8.1360000000000002E-2</v>
      </c>
      <c r="K109" s="20">
        <f>'CUOTA LICITADA'!O23</f>
        <v>0</v>
      </c>
      <c r="L109" s="20">
        <f>'CUOTA LICITADA'!P23</f>
        <v>8.1360000000000002E-2</v>
      </c>
      <c r="M109" s="28">
        <f>'CUOTA LICITADA'!Q23</f>
        <v>0</v>
      </c>
      <c r="N109" s="21" t="s">
        <v>92</v>
      </c>
      <c r="O109" s="21">
        <f>'RESUMEN '!$B$3</f>
        <v>44599</v>
      </c>
      <c r="P109" s="19">
        <v>2021</v>
      </c>
      <c r="Q109" s="19"/>
    </row>
    <row r="110" spans="1:17" x14ac:dyDescent="0.2">
      <c r="A110" s="19" t="s">
        <v>48</v>
      </c>
      <c r="B110" s="19" t="s">
        <v>82</v>
      </c>
      <c r="C110" s="19" t="s">
        <v>61</v>
      </c>
      <c r="D110" s="19" t="s">
        <v>97</v>
      </c>
      <c r="E110" s="19" t="str">
        <f>'CUOTA LICITADA'!C25</f>
        <v>ISLADAMAS S.A. PESQ.</v>
      </c>
      <c r="F110" s="19" t="s">
        <v>85</v>
      </c>
      <c r="G110" s="19" t="s">
        <v>86</v>
      </c>
      <c r="H110" s="20">
        <f>'CUOTA LICITADA'!F25</f>
        <v>129.8201085</v>
      </c>
      <c r="I110" s="20">
        <f>'CUOTA LICITADA'!G25</f>
        <v>104.00682710000001</v>
      </c>
      <c r="J110" s="20">
        <f>'CUOTA LICITADA'!H25</f>
        <v>233.82693560000001</v>
      </c>
      <c r="K110" s="20">
        <f>'CUOTA LICITADA'!I25</f>
        <v>220.786</v>
      </c>
      <c r="L110" s="20">
        <f>'CUOTA LICITADA'!J25</f>
        <v>13.040935600000012</v>
      </c>
      <c r="M110" s="28">
        <f>'CUOTA LICITADA'!K25</f>
        <v>0.9442282576789669</v>
      </c>
      <c r="N110" s="21" t="s">
        <v>92</v>
      </c>
      <c r="O110" s="21">
        <f>'RESUMEN '!$B$3</f>
        <v>44599</v>
      </c>
      <c r="P110" s="19">
        <v>2021</v>
      </c>
      <c r="Q110" s="19"/>
    </row>
    <row r="111" spans="1:17" x14ac:dyDescent="0.2">
      <c r="A111" s="19" t="s">
        <v>48</v>
      </c>
      <c r="B111" s="19" t="s">
        <v>82</v>
      </c>
      <c r="C111" s="19" t="s">
        <v>61</v>
      </c>
      <c r="D111" s="19" t="s">
        <v>97</v>
      </c>
      <c r="E111" s="19" t="str">
        <f>'CUOTA LICITADA'!C25</f>
        <v>ISLADAMAS S.A. PESQ.</v>
      </c>
      <c r="F111" s="19" t="s">
        <v>87</v>
      </c>
      <c r="G111" s="19" t="s">
        <v>88</v>
      </c>
      <c r="H111" s="20">
        <f>'CUOTA LICITADA'!F26</f>
        <v>14.4717498</v>
      </c>
      <c r="I111" s="20">
        <f>'CUOTA LICITADA'!G26</f>
        <v>0</v>
      </c>
      <c r="J111" s="20">
        <f>'CUOTA LICITADA'!H26</f>
        <v>27.512685400000009</v>
      </c>
      <c r="K111" s="20">
        <f>'CUOTA LICITADA'!I26</f>
        <v>25.971</v>
      </c>
      <c r="L111" s="20">
        <f>'CUOTA LICITADA'!J26</f>
        <v>1.5416854000000093</v>
      </c>
      <c r="M111" s="28">
        <f>'CUOTA LICITADA'!K26</f>
        <v>0.94396456116203009</v>
      </c>
      <c r="N111" s="21" t="s">
        <v>92</v>
      </c>
      <c r="O111" s="21">
        <f>'RESUMEN '!$B$3</f>
        <v>44599</v>
      </c>
      <c r="P111" s="19">
        <v>2021</v>
      </c>
      <c r="Q111" s="19"/>
    </row>
    <row r="112" spans="1:17" x14ac:dyDescent="0.2">
      <c r="A112" s="19" t="s">
        <v>48</v>
      </c>
      <c r="B112" s="19" t="s">
        <v>82</v>
      </c>
      <c r="C112" s="19" t="s">
        <v>61</v>
      </c>
      <c r="D112" s="19" t="s">
        <v>97</v>
      </c>
      <c r="E112" s="19" t="str">
        <f>'CUOTA LICITADA'!C25</f>
        <v>ISLADAMAS S.A. PESQ.</v>
      </c>
      <c r="F112" s="19" t="s">
        <v>89</v>
      </c>
      <c r="G112" s="19" t="s">
        <v>88</v>
      </c>
      <c r="H112" s="20">
        <f>'CUOTA LICITADA'!L25</f>
        <v>144.2918583</v>
      </c>
      <c r="I112" s="20">
        <f>'CUOTA LICITADA'!M25</f>
        <v>104.00682710000001</v>
      </c>
      <c r="J112" s="20">
        <f>'CUOTA LICITADA'!N25</f>
        <v>248.29868540000001</v>
      </c>
      <c r="K112" s="20">
        <f>'CUOTA LICITADA'!O25</f>
        <v>246.75700000000001</v>
      </c>
      <c r="L112" s="20">
        <f>'CUOTA LICITADA'!P25</f>
        <v>1.5416854000000058</v>
      </c>
      <c r="M112" s="28">
        <f>'CUOTA LICITADA'!Q25</f>
        <v>0.9937910045817745</v>
      </c>
      <c r="N112" s="21" t="s">
        <v>92</v>
      </c>
      <c r="O112" s="21">
        <f>'RESUMEN '!$B$3</f>
        <v>44599</v>
      </c>
      <c r="P112" s="19">
        <v>2021</v>
      </c>
      <c r="Q112" s="19"/>
    </row>
    <row r="113" spans="1:17" x14ac:dyDescent="0.2">
      <c r="A113" s="19" t="s">
        <v>48</v>
      </c>
      <c r="B113" s="19" t="s">
        <v>82</v>
      </c>
      <c r="C113" s="19" t="s">
        <v>61</v>
      </c>
      <c r="D113" s="19" t="s">
        <v>97</v>
      </c>
      <c r="E113" s="19" t="str">
        <f>'CUOTA LICITADA'!C27</f>
        <v>LANDES S.A. PESQ.</v>
      </c>
      <c r="F113" s="19" t="s">
        <v>85</v>
      </c>
      <c r="G113" s="19" t="s">
        <v>86</v>
      </c>
      <c r="H113" s="20">
        <f>'CUOTA LICITADA'!F27</f>
        <v>0.91500000000000004</v>
      </c>
      <c r="I113" s="20">
        <f>'CUOTA LICITADA'!G27</f>
        <v>0</v>
      </c>
      <c r="J113" s="20">
        <f>'CUOTA LICITADA'!H27</f>
        <v>0.91500000000000004</v>
      </c>
      <c r="K113" s="20">
        <f>'CUOTA LICITADA'!I27</f>
        <v>0</v>
      </c>
      <c r="L113" s="20">
        <f>'CUOTA LICITADA'!J27</f>
        <v>0.91500000000000004</v>
      </c>
      <c r="M113" s="28">
        <f>'CUOTA LICITADA'!K27</f>
        <v>0</v>
      </c>
      <c r="N113" s="21" t="s">
        <v>92</v>
      </c>
      <c r="O113" s="21">
        <f>'RESUMEN '!$B$3</f>
        <v>44599</v>
      </c>
      <c r="P113" s="19">
        <v>2021</v>
      </c>
      <c r="Q113" s="19"/>
    </row>
    <row r="114" spans="1:17" x14ac:dyDescent="0.2">
      <c r="A114" s="19" t="s">
        <v>48</v>
      </c>
      <c r="B114" s="19" t="s">
        <v>82</v>
      </c>
      <c r="C114" s="19" t="s">
        <v>61</v>
      </c>
      <c r="D114" s="19" t="s">
        <v>97</v>
      </c>
      <c r="E114" s="19" t="str">
        <f>'CUOTA LICITADA'!C27</f>
        <v>LANDES S.A. PESQ.</v>
      </c>
      <c r="F114" s="19" t="s">
        <v>87</v>
      </c>
      <c r="G114" s="19" t="s">
        <v>88</v>
      </c>
      <c r="H114" s="20">
        <f>'CUOTA LICITADA'!F28</f>
        <v>0.10200000000000001</v>
      </c>
      <c r="I114" s="20">
        <f>'CUOTA LICITADA'!G28</f>
        <v>0</v>
      </c>
      <c r="J114" s="20">
        <f>'CUOTA LICITADA'!H28</f>
        <v>1.0170000000000001</v>
      </c>
      <c r="K114" s="20">
        <f>'CUOTA LICITADA'!I28</f>
        <v>0</v>
      </c>
      <c r="L114" s="20">
        <f>'CUOTA LICITADA'!J28</f>
        <v>1.0170000000000001</v>
      </c>
      <c r="M114" s="28">
        <f>'CUOTA LICITADA'!K28</f>
        <v>0</v>
      </c>
      <c r="N114" s="21" t="s">
        <v>92</v>
      </c>
      <c r="O114" s="21">
        <f>'RESUMEN '!$B$3</f>
        <v>44599</v>
      </c>
      <c r="P114" s="19">
        <v>2021</v>
      </c>
      <c r="Q114" s="19"/>
    </row>
    <row r="115" spans="1:17" x14ac:dyDescent="0.2">
      <c r="A115" s="19" t="s">
        <v>48</v>
      </c>
      <c r="B115" s="19" t="s">
        <v>82</v>
      </c>
      <c r="C115" s="19" t="s">
        <v>61</v>
      </c>
      <c r="D115" s="19" t="s">
        <v>97</v>
      </c>
      <c r="E115" s="19" t="str">
        <f>'CUOTA LICITADA'!C27</f>
        <v>LANDES S.A. PESQ.</v>
      </c>
      <c r="F115" s="19" t="s">
        <v>89</v>
      </c>
      <c r="G115" s="19" t="s">
        <v>88</v>
      </c>
      <c r="H115" s="20">
        <f>'CUOTA LICITADA'!L27</f>
        <v>1.0170000000000001</v>
      </c>
      <c r="I115" s="20">
        <f>'CUOTA LICITADA'!M27</f>
        <v>0</v>
      </c>
      <c r="J115" s="20">
        <f>'CUOTA LICITADA'!N27</f>
        <v>1.0170000000000001</v>
      </c>
      <c r="K115" s="20">
        <f>'CUOTA LICITADA'!O27</f>
        <v>0</v>
      </c>
      <c r="L115" s="20">
        <f>'CUOTA LICITADA'!P27</f>
        <v>1.0170000000000001</v>
      </c>
      <c r="M115" s="28">
        <f>'CUOTA LICITADA'!Q27</f>
        <v>0</v>
      </c>
      <c r="N115" s="21" t="s">
        <v>92</v>
      </c>
      <c r="O115" s="21">
        <f>'RESUMEN '!$B$3</f>
        <v>44599</v>
      </c>
      <c r="P115" s="19">
        <v>2021</v>
      </c>
      <c r="Q115" s="19"/>
    </row>
    <row r="116" spans="1:17" x14ac:dyDescent="0.2">
      <c r="A116" s="19" t="s">
        <v>48</v>
      </c>
      <c r="B116" s="19" t="s">
        <v>82</v>
      </c>
      <c r="C116" s="19" t="s">
        <v>61</v>
      </c>
      <c r="D116" s="19" t="s">
        <v>97</v>
      </c>
      <c r="E116" s="19" t="str">
        <f>'CUOTA LICITADA'!C29</f>
        <v>ZUÑIGA ROMERO GONZALO</v>
      </c>
      <c r="F116" s="19" t="s">
        <v>85</v>
      </c>
      <c r="G116" s="19" t="s">
        <v>86</v>
      </c>
      <c r="H116" s="20">
        <f>'CUOTA LICITADA'!F29</f>
        <v>2.3606999999999996E-2</v>
      </c>
      <c r="I116" s="20">
        <f>'CUOTA LICITADA'!G29</f>
        <v>3.4000000000000002E-2</v>
      </c>
      <c r="J116" s="20">
        <f>'CUOTA LICITADA'!H29</f>
        <v>5.7606999999999998E-2</v>
      </c>
      <c r="K116" s="20">
        <f>'CUOTA LICITADA'!I29</f>
        <v>0.04</v>
      </c>
      <c r="L116" s="20">
        <f>'CUOTA LICITADA'!J29</f>
        <v>1.7606999999999998E-2</v>
      </c>
      <c r="M116" s="28">
        <f>'CUOTA LICITADA'!K29</f>
        <v>0.6943600604093253</v>
      </c>
      <c r="N116" s="21" t="s">
        <v>92</v>
      </c>
      <c r="O116" s="21">
        <f>'RESUMEN '!$B$3</f>
        <v>44599</v>
      </c>
      <c r="P116" s="19">
        <v>2021</v>
      </c>
      <c r="Q116" s="19"/>
    </row>
    <row r="117" spans="1:17" x14ac:dyDescent="0.2">
      <c r="A117" s="19" t="s">
        <v>48</v>
      </c>
      <c r="B117" s="19" t="s">
        <v>82</v>
      </c>
      <c r="C117" s="19" t="s">
        <v>61</v>
      </c>
      <c r="D117" s="19" t="s">
        <v>97</v>
      </c>
      <c r="E117" s="19" t="str">
        <f>'CUOTA LICITADA'!C29</f>
        <v>ZUÑIGA ROMERO GONZALO</v>
      </c>
      <c r="F117" s="19" t="s">
        <v>87</v>
      </c>
      <c r="G117" s="19" t="s">
        <v>88</v>
      </c>
      <c r="H117" s="20">
        <f>'CUOTA LICITADA'!F30</f>
        <v>2.6315999999999996E-3</v>
      </c>
      <c r="I117" s="20">
        <f>'CUOTA LICITADA'!G30</f>
        <v>0</v>
      </c>
      <c r="J117" s="20">
        <f>'CUOTA LICITADA'!H30</f>
        <v>2.0238599999999995E-2</v>
      </c>
      <c r="K117" s="20">
        <f>'CUOTA LICITADA'!I30</f>
        <v>0</v>
      </c>
      <c r="L117" s="20">
        <f>'CUOTA LICITADA'!J30</f>
        <v>2.0238599999999995E-2</v>
      </c>
      <c r="M117" s="28">
        <f>'CUOTA LICITADA'!K30</f>
        <v>0</v>
      </c>
      <c r="N117" s="21" t="s">
        <v>92</v>
      </c>
      <c r="O117" s="21">
        <f>'RESUMEN '!$B$3</f>
        <v>44599</v>
      </c>
      <c r="P117" s="19">
        <v>2021</v>
      </c>
      <c r="Q117" s="19"/>
    </row>
    <row r="118" spans="1:17" x14ac:dyDescent="0.2">
      <c r="A118" s="19" t="s">
        <v>48</v>
      </c>
      <c r="B118" s="19" t="s">
        <v>82</v>
      </c>
      <c r="C118" s="19" t="s">
        <v>61</v>
      </c>
      <c r="D118" s="19" t="s">
        <v>97</v>
      </c>
      <c r="E118" s="19" t="str">
        <f>'CUOTA LICITADA'!C29</f>
        <v>ZUÑIGA ROMERO GONZALO</v>
      </c>
      <c r="F118" s="19" t="s">
        <v>89</v>
      </c>
      <c r="G118" s="19" t="s">
        <v>88</v>
      </c>
      <c r="H118" s="20">
        <f>'CUOTA LICITADA'!L29</f>
        <v>2.6238599999999994E-2</v>
      </c>
      <c r="I118" s="20">
        <f>'CUOTA LICITADA'!M29</f>
        <v>3.4000000000000002E-2</v>
      </c>
      <c r="J118" s="20">
        <f>'CUOTA LICITADA'!N29</f>
        <v>6.0238599999999996E-2</v>
      </c>
      <c r="K118" s="20">
        <f>'CUOTA LICITADA'!O29</f>
        <v>0.04</v>
      </c>
      <c r="L118" s="20">
        <f>'CUOTA LICITADA'!P29</f>
        <v>2.0238599999999995E-2</v>
      </c>
      <c r="M118" s="28">
        <f>'CUOTA LICITADA'!Q29</f>
        <v>0.66402605638245249</v>
      </c>
      <c r="N118" s="21" t="s">
        <v>92</v>
      </c>
      <c r="O118" s="21">
        <f>'RESUMEN '!$B$3</f>
        <v>44599</v>
      </c>
      <c r="P118" s="19">
        <v>2021</v>
      </c>
      <c r="Q118" s="19"/>
    </row>
    <row r="119" spans="1:17" x14ac:dyDescent="0.2">
      <c r="A119" s="19" t="s">
        <v>48</v>
      </c>
      <c r="B119" s="19" t="s">
        <v>82</v>
      </c>
      <c r="C119" s="19" t="s">
        <v>61</v>
      </c>
      <c r="D119" s="19" t="s">
        <v>97</v>
      </c>
      <c r="E119" s="19" t="str">
        <f>'CUOTA LICITADA'!C31</f>
        <v>PACIFICBLU SPA.</v>
      </c>
      <c r="F119" s="19" t="s">
        <v>85</v>
      </c>
      <c r="G119" s="19" t="s">
        <v>86</v>
      </c>
      <c r="H119" s="20">
        <f>'CUOTA LICITADA'!F31</f>
        <v>129.62015355</v>
      </c>
      <c r="I119" s="20">
        <f>'CUOTA LICITADA'!G31</f>
        <v>-122.74866</v>
      </c>
      <c r="J119" s="20">
        <f>'CUOTA LICITADA'!H31</f>
        <v>6.8714935499999967</v>
      </c>
      <c r="K119" s="20">
        <f>'CUOTA LICITADA'!I31</f>
        <v>0</v>
      </c>
      <c r="L119" s="20">
        <f>'CUOTA LICITADA'!J31</f>
        <v>6.8714935499999967</v>
      </c>
      <c r="M119" s="28">
        <f>'CUOTA LICITADA'!K31</f>
        <v>0</v>
      </c>
      <c r="N119" s="21" t="s">
        <v>92</v>
      </c>
      <c r="O119" s="21">
        <f>'RESUMEN '!$B$3</f>
        <v>44599</v>
      </c>
      <c r="P119" s="19">
        <v>2021</v>
      </c>
      <c r="Q119" s="19"/>
    </row>
    <row r="120" spans="1:17" x14ac:dyDescent="0.2">
      <c r="A120" s="19" t="s">
        <v>48</v>
      </c>
      <c r="B120" s="19" t="s">
        <v>82</v>
      </c>
      <c r="C120" s="19" t="s">
        <v>61</v>
      </c>
      <c r="D120" s="19" t="s">
        <v>97</v>
      </c>
      <c r="E120" s="19" t="str">
        <f>'CUOTA LICITADA'!C31</f>
        <v>PACIFICBLU SPA.</v>
      </c>
      <c r="F120" s="19" t="s">
        <v>87</v>
      </c>
      <c r="G120" s="19" t="s">
        <v>88</v>
      </c>
      <c r="H120" s="20">
        <f>'CUOTA LICITADA'!F32</f>
        <v>14.449459740000002</v>
      </c>
      <c r="I120" s="20">
        <f>'CUOTA LICITADA'!G32</f>
        <v>0</v>
      </c>
      <c r="J120" s="20">
        <f>'CUOTA LICITADA'!H32</f>
        <v>21.320953289999999</v>
      </c>
      <c r="K120" s="20">
        <f>'CUOTA LICITADA'!I32</f>
        <v>0</v>
      </c>
      <c r="L120" s="20">
        <f>'CUOTA LICITADA'!J32</f>
        <v>21.320953289999999</v>
      </c>
      <c r="M120" s="28">
        <f>'CUOTA LICITADA'!K32</f>
        <v>0</v>
      </c>
      <c r="N120" s="21" t="s">
        <v>92</v>
      </c>
      <c r="O120" s="21">
        <f>'RESUMEN '!$B$3</f>
        <v>44599</v>
      </c>
      <c r="P120" s="19">
        <v>2021</v>
      </c>
      <c r="Q120" s="19"/>
    </row>
    <row r="121" spans="1:17" x14ac:dyDescent="0.2">
      <c r="A121" s="19" t="s">
        <v>48</v>
      </c>
      <c r="B121" s="19" t="s">
        <v>82</v>
      </c>
      <c r="C121" s="19" t="s">
        <v>61</v>
      </c>
      <c r="D121" s="19" t="s">
        <v>97</v>
      </c>
      <c r="E121" s="19" t="str">
        <f>'CUOTA LICITADA'!C31</f>
        <v>PACIFICBLU SPA.</v>
      </c>
      <c r="F121" s="19" t="s">
        <v>89</v>
      </c>
      <c r="G121" s="19" t="s">
        <v>88</v>
      </c>
      <c r="H121" s="20">
        <f>'CUOTA LICITADA'!L31</f>
        <v>144.06961329000001</v>
      </c>
      <c r="I121" s="20">
        <f>'CUOTA LICITADA'!M31</f>
        <v>-122.74866</v>
      </c>
      <c r="J121" s="20">
        <f>'CUOTA LICITADA'!N31</f>
        <v>21.320953290000006</v>
      </c>
      <c r="K121" s="20">
        <f>'CUOTA LICITADA'!O31</f>
        <v>0</v>
      </c>
      <c r="L121" s="20">
        <f>'CUOTA LICITADA'!P31</f>
        <v>21.320953290000006</v>
      </c>
      <c r="M121" s="28">
        <f>'CUOTA LICITADA'!Q31</f>
        <v>0</v>
      </c>
      <c r="N121" s="21" t="s">
        <v>92</v>
      </c>
      <c r="O121" s="21">
        <f>'RESUMEN '!$B$3</f>
        <v>44599</v>
      </c>
      <c r="P121" s="19">
        <v>2021</v>
      </c>
      <c r="Q121" s="19"/>
    </row>
    <row r="122" spans="1:17" x14ac:dyDescent="0.2">
      <c r="A122" s="19" t="s">
        <v>48</v>
      </c>
      <c r="B122" s="19" t="s">
        <v>82</v>
      </c>
      <c r="C122" s="19" t="s">
        <v>61</v>
      </c>
      <c r="D122" s="19" t="s">
        <v>97</v>
      </c>
      <c r="E122" s="19" t="str">
        <f>'CUOTA LICITADA'!C33</f>
        <v>DA VENEZIA RETAMALES ANTONIO</v>
      </c>
      <c r="F122" s="19" t="s">
        <v>85</v>
      </c>
      <c r="G122" s="19" t="s">
        <v>86</v>
      </c>
      <c r="H122" s="20">
        <f>'CUOTA LICITADA'!F33</f>
        <v>1.8391500000000002E-2</v>
      </c>
      <c r="I122" s="20">
        <f>'CUOTA LICITADA'!G33</f>
        <v>0</v>
      </c>
      <c r="J122" s="20">
        <f>'CUOTA LICITADA'!H33</f>
        <v>1.8391500000000002E-2</v>
      </c>
      <c r="K122" s="20">
        <f>'CUOTA LICITADA'!I33</f>
        <v>0</v>
      </c>
      <c r="L122" s="20">
        <f>'CUOTA LICITADA'!J33</f>
        <v>1.8391500000000002E-2</v>
      </c>
      <c r="M122" s="28">
        <f>'CUOTA LICITADA'!K33</f>
        <v>0</v>
      </c>
      <c r="N122" s="21" t="s">
        <v>92</v>
      </c>
      <c r="O122" s="21">
        <f>'RESUMEN '!$B$3</f>
        <v>44599</v>
      </c>
      <c r="P122" s="19">
        <v>2021</v>
      </c>
      <c r="Q122" s="19"/>
    </row>
    <row r="123" spans="1:17" x14ac:dyDescent="0.2">
      <c r="A123" s="19" t="s">
        <v>48</v>
      </c>
      <c r="B123" s="19" t="s">
        <v>82</v>
      </c>
      <c r="C123" s="19" t="s">
        <v>61</v>
      </c>
      <c r="D123" s="19" t="s">
        <v>97</v>
      </c>
      <c r="E123" s="19" t="str">
        <f>'CUOTA LICITADA'!C33</f>
        <v>DA VENEZIA RETAMALES ANTONIO</v>
      </c>
      <c r="F123" s="19" t="s">
        <v>87</v>
      </c>
      <c r="G123" s="19" t="s">
        <v>88</v>
      </c>
      <c r="H123" s="20">
        <f>'CUOTA LICITADA'!F34</f>
        <v>2.0502000000000003E-3</v>
      </c>
      <c r="I123" s="20">
        <f>'CUOTA LICITADA'!G34</f>
        <v>0</v>
      </c>
      <c r="J123" s="20">
        <f>'CUOTA LICITADA'!H34</f>
        <v>2.04417E-2</v>
      </c>
      <c r="K123" s="20">
        <f>'CUOTA LICITADA'!I34</f>
        <v>0</v>
      </c>
      <c r="L123" s="20">
        <f>'CUOTA LICITADA'!J34</f>
        <v>2.04417E-2</v>
      </c>
      <c r="M123" s="28">
        <f>'CUOTA LICITADA'!K34</f>
        <v>0</v>
      </c>
      <c r="N123" s="21" t="s">
        <v>92</v>
      </c>
      <c r="O123" s="21">
        <f>'RESUMEN '!$B$3</f>
        <v>44599</v>
      </c>
      <c r="P123" s="19">
        <v>2021</v>
      </c>
      <c r="Q123" s="19"/>
    </row>
    <row r="124" spans="1:17" x14ac:dyDescent="0.2">
      <c r="A124" s="19" t="s">
        <v>48</v>
      </c>
      <c r="B124" s="19" t="s">
        <v>82</v>
      </c>
      <c r="C124" s="19" t="s">
        <v>61</v>
      </c>
      <c r="D124" s="19" t="s">
        <v>97</v>
      </c>
      <c r="E124" s="19" t="str">
        <f>'CUOTA LICITADA'!C33</f>
        <v>DA VENEZIA RETAMALES ANTONIO</v>
      </c>
      <c r="F124" s="19" t="s">
        <v>89</v>
      </c>
      <c r="G124" s="19" t="s">
        <v>88</v>
      </c>
      <c r="H124" s="20">
        <f>'CUOTA LICITADA'!L33</f>
        <v>2.04417E-2</v>
      </c>
      <c r="I124" s="20">
        <f>'CUOTA LICITADA'!M33</f>
        <v>0</v>
      </c>
      <c r="J124" s="20">
        <f>'CUOTA LICITADA'!N33</f>
        <v>2.04417E-2</v>
      </c>
      <c r="K124" s="20">
        <f>'CUOTA LICITADA'!O33</f>
        <v>0</v>
      </c>
      <c r="L124" s="20">
        <f>'CUOTA LICITADA'!P33</f>
        <v>2.04417E-2</v>
      </c>
      <c r="M124" s="28">
        <f>'CUOTA LICITADA'!Q33</f>
        <v>0</v>
      </c>
      <c r="N124" s="21" t="s">
        <v>92</v>
      </c>
      <c r="O124" s="21">
        <f>'RESUMEN '!$B$3</f>
        <v>44599</v>
      </c>
      <c r="P124" s="19">
        <v>2021</v>
      </c>
      <c r="Q124" s="19"/>
    </row>
    <row r="125" spans="1:17" x14ac:dyDescent="0.2">
      <c r="A125" s="19" t="s">
        <v>48</v>
      </c>
      <c r="B125" s="19" t="s">
        <v>82</v>
      </c>
      <c r="C125" s="19" t="s">
        <v>61</v>
      </c>
      <c r="D125" s="19" t="s">
        <v>97</v>
      </c>
      <c r="E125" s="19" t="str">
        <f>'CUOTA LICITADA'!C35</f>
        <v>ENFERMAR LTDA. SOC. PESQ.</v>
      </c>
      <c r="F125" s="19" t="s">
        <v>85</v>
      </c>
      <c r="G125" s="19" t="s">
        <v>86</v>
      </c>
      <c r="H125" s="20">
        <f>'CUOTA LICITADA'!F35</f>
        <v>3.26202075</v>
      </c>
      <c r="I125" s="20">
        <f>'CUOTA LICITADA'!G35</f>
        <v>0</v>
      </c>
      <c r="J125" s="20">
        <f>'CUOTA LICITADA'!H35</f>
        <v>3.26202075</v>
      </c>
      <c r="K125" s="20">
        <f>'CUOTA LICITADA'!I35</f>
        <v>0</v>
      </c>
      <c r="L125" s="20">
        <f>'CUOTA LICITADA'!J35</f>
        <v>3.26202075</v>
      </c>
      <c r="M125" s="28">
        <f>'CUOTA LICITADA'!K35</f>
        <v>0</v>
      </c>
      <c r="N125" s="21" t="s">
        <v>92</v>
      </c>
      <c r="O125" s="21">
        <f>'RESUMEN '!$B$3</f>
        <v>44599</v>
      </c>
      <c r="P125" s="19">
        <v>2021</v>
      </c>
      <c r="Q125" s="19"/>
    </row>
    <row r="126" spans="1:17" x14ac:dyDescent="0.2">
      <c r="A126" s="19" t="s">
        <v>48</v>
      </c>
      <c r="B126" s="19" t="s">
        <v>82</v>
      </c>
      <c r="C126" s="19" t="s">
        <v>61</v>
      </c>
      <c r="D126" s="19" t="s">
        <v>97</v>
      </c>
      <c r="E126" s="19" t="str">
        <f>'CUOTA LICITADA'!C35</f>
        <v>ENFERMAR LTDA. SOC. PESQ.</v>
      </c>
      <c r="F126" s="19" t="s">
        <v>87</v>
      </c>
      <c r="G126" s="19" t="s">
        <v>88</v>
      </c>
      <c r="H126" s="20">
        <f>'CUOTA LICITADA'!F36</f>
        <v>0.36363509999999999</v>
      </c>
      <c r="I126" s="20">
        <f>'CUOTA LICITADA'!G36</f>
        <v>0</v>
      </c>
      <c r="J126" s="20">
        <f>'CUOTA LICITADA'!H36</f>
        <v>3.6256558500000002</v>
      </c>
      <c r="K126" s="20">
        <f>'CUOTA LICITADA'!I36</f>
        <v>0</v>
      </c>
      <c r="L126" s="20">
        <f>'CUOTA LICITADA'!J36</f>
        <v>3.6256558500000002</v>
      </c>
      <c r="M126" s="28">
        <f>'CUOTA LICITADA'!K36</f>
        <v>0</v>
      </c>
      <c r="N126" s="21" t="s">
        <v>92</v>
      </c>
      <c r="O126" s="21">
        <f>'RESUMEN '!$B$3</f>
        <v>44599</v>
      </c>
      <c r="P126" s="19">
        <v>2021</v>
      </c>
      <c r="Q126" s="19"/>
    </row>
    <row r="127" spans="1:17" x14ac:dyDescent="0.2">
      <c r="A127" s="19" t="s">
        <v>48</v>
      </c>
      <c r="B127" s="19" t="s">
        <v>82</v>
      </c>
      <c r="C127" s="19" t="s">
        <v>61</v>
      </c>
      <c r="D127" s="19" t="s">
        <v>97</v>
      </c>
      <c r="E127" s="19" t="str">
        <f>'CUOTA LICITADA'!C35</f>
        <v>ENFERMAR LTDA. SOC. PESQ.</v>
      </c>
      <c r="F127" s="19" t="s">
        <v>89</v>
      </c>
      <c r="G127" s="19" t="s">
        <v>88</v>
      </c>
      <c r="H127" s="20">
        <f>'CUOTA LICITADA'!L35</f>
        <v>3.6256558500000002</v>
      </c>
      <c r="I127" s="20">
        <f>'CUOTA LICITADA'!M35</f>
        <v>0</v>
      </c>
      <c r="J127" s="20">
        <f>'CUOTA LICITADA'!N35</f>
        <v>3.6256558500000002</v>
      </c>
      <c r="K127" s="20">
        <f>'CUOTA LICITADA'!O35</f>
        <v>0</v>
      </c>
      <c r="L127" s="20">
        <f>'CUOTA LICITADA'!P35</f>
        <v>3.6256558500000002</v>
      </c>
      <c r="M127" s="28">
        <f>'CUOTA LICITADA'!Q35</f>
        <v>0</v>
      </c>
      <c r="N127" s="21" t="s">
        <v>92</v>
      </c>
      <c r="O127" s="21">
        <f>'RESUMEN '!$B$3</f>
        <v>44599</v>
      </c>
      <c r="P127" s="19">
        <v>2021</v>
      </c>
      <c r="Q127" s="19"/>
    </row>
    <row r="128" spans="1:17" x14ac:dyDescent="0.2">
      <c r="A128" s="19" t="s">
        <v>48</v>
      </c>
      <c r="B128" s="19" t="s">
        <v>82</v>
      </c>
      <c r="C128" s="19" t="s">
        <v>61</v>
      </c>
      <c r="D128" s="19" t="s">
        <v>97</v>
      </c>
      <c r="E128" s="19" t="str">
        <f>'CUOTA LICITADA'!C41</f>
        <v>COMERCIALIZADORA SIMON SEAFOOD LTDA.</v>
      </c>
      <c r="F128" s="19" t="s">
        <v>85</v>
      </c>
      <c r="G128" s="19" t="s">
        <v>86</v>
      </c>
      <c r="H128" s="20">
        <f>'CUOTA LICITADA'!F41</f>
        <v>0.40992000000000001</v>
      </c>
      <c r="I128" s="20">
        <f>'CUOTA LICITADA'!G41</f>
        <v>0</v>
      </c>
      <c r="J128" s="20">
        <f>'CUOTA LICITADA'!H41</f>
        <v>0.40992000000000001</v>
      </c>
      <c r="K128" s="20">
        <f>'CUOTA LICITADA'!I41</f>
        <v>0</v>
      </c>
      <c r="L128" s="20">
        <f>'CUOTA LICITADA'!J41</f>
        <v>0.40992000000000001</v>
      </c>
      <c r="M128" s="28">
        <f>'CUOTA LICITADA'!K41</f>
        <v>0</v>
      </c>
      <c r="N128" s="21" t="s">
        <v>92</v>
      </c>
      <c r="O128" s="21">
        <f>'RESUMEN '!$B$3</f>
        <v>44599</v>
      </c>
      <c r="P128" s="19">
        <v>2021</v>
      </c>
      <c r="Q128" s="19"/>
    </row>
    <row r="129" spans="1:17" x14ac:dyDescent="0.2">
      <c r="A129" s="19" t="s">
        <v>48</v>
      </c>
      <c r="B129" s="19" t="s">
        <v>82</v>
      </c>
      <c r="C129" s="19" t="s">
        <v>61</v>
      </c>
      <c r="D129" s="19" t="s">
        <v>97</v>
      </c>
      <c r="E129" s="19" t="str">
        <f>'CUOTA LICITADA'!C41</f>
        <v>COMERCIALIZADORA SIMON SEAFOOD LTDA.</v>
      </c>
      <c r="F129" s="19" t="s">
        <v>87</v>
      </c>
      <c r="G129" s="19" t="s">
        <v>88</v>
      </c>
      <c r="H129" s="20">
        <f>'CUOTA LICITADA'!F42</f>
        <v>4.5696000000000001E-2</v>
      </c>
      <c r="I129" s="20">
        <f>'CUOTA LICITADA'!G42</f>
        <v>0</v>
      </c>
      <c r="J129" s="20">
        <f>'CUOTA LICITADA'!H42</f>
        <v>0.45561600000000002</v>
      </c>
      <c r="K129" s="20">
        <f>'CUOTA LICITADA'!I42</f>
        <v>0</v>
      </c>
      <c r="L129" s="20">
        <f>'CUOTA LICITADA'!J42</f>
        <v>0.45561600000000002</v>
      </c>
      <c r="M129" s="28">
        <f>'CUOTA LICITADA'!K42</f>
        <v>0</v>
      </c>
      <c r="N129" s="21" t="s">
        <v>92</v>
      </c>
      <c r="O129" s="21">
        <f>'RESUMEN '!$B$3</f>
        <v>44599</v>
      </c>
      <c r="P129" s="19">
        <v>2021</v>
      </c>
      <c r="Q129" s="19"/>
    </row>
    <row r="130" spans="1:17" x14ac:dyDescent="0.2">
      <c r="A130" s="19" t="s">
        <v>48</v>
      </c>
      <c r="B130" s="19" t="s">
        <v>82</v>
      </c>
      <c r="C130" s="19" t="s">
        <v>61</v>
      </c>
      <c r="D130" s="19" t="s">
        <v>97</v>
      </c>
      <c r="E130" s="19" t="str">
        <f>'CUOTA LICITADA'!C41</f>
        <v>COMERCIALIZADORA SIMON SEAFOOD LTDA.</v>
      </c>
      <c r="F130" s="19" t="s">
        <v>89</v>
      </c>
      <c r="G130" s="19" t="s">
        <v>88</v>
      </c>
      <c r="H130" s="20">
        <f>'CUOTA LICITADA'!L41</f>
        <v>0.45561600000000002</v>
      </c>
      <c r="I130" s="20">
        <f>'CUOTA LICITADA'!M41</f>
        <v>0</v>
      </c>
      <c r="J130" s="20">
        <f>'CUOTA LICITADA'!N41</f>
        <v>0.45561600000000002</v>
      </c>
      <c r="K130" s="20">
        <f>'CUOTA LICITADA'!O41</f>
        <v>0</v>
      </c>
      <c r="L130" s="20">
        <f>'CUOTA LICITADA'!P41</f>
        <v>0.45561600000000002</v>
      </c>
      <c r="M130" s="28">
        <f>'CUOTA LICITADA'!Q41</f>
        <v>0</v>
      </c>
      <c r="N130" s="21" t="s">
        <v>92</v>
      </c>
      <c r="O130" s="21">
        <f>'RESUMEN '!$B$3</f>
        <v>44599</v>
      </c>
      <c r="P130" s="19">
        <v>2021</v>
      </c>
      <c r="Q130" s="19"/>
    </row>
    <row r="131" spans="1:17" x14ac:dyDescent="0.2">
      <c r="A131" s="19" t="s">
        <v>48</v>
      </c>
      <c r="B131" s="19" t="s">
        <v>82</v>
      </c>
      <c r="C131" s="19" t="s">
        <v>61</v>
      </c>
      <c r="D131" s="19" t="s">
        <v>97</v>
      </c>
      <c r="E131" s="19" t="str">
        <f>'CUOTA LICITADA'!C37</f>
        <v>RUBIO Y MAUAD LTDA.</v>
      </c>
      <c r="F131" s="19" t="s">
        <v>85</v>
      </c>
      <c r="G131" s="19" t="s">
        <v>86</v>
      </c>
      <c r="H131" s="20">
        <f>'CUOTA LICITADA'!F37</f>
        <v>50.568664499999997</v>
      </c>
      <c r="I131" s="20">
        <f>'CUOTA LICITADA'!G37</f>
        <v>-56.206000000000003</v>
      </c>
      <c r="J131" s="20">
        <f>'CUOTA LICITADA'!H37</f>
        <v>-5.637335500000006</v>
      </c>
      <c r="K131" s="20">
        <f>'CUOTA LICITADA'!I37</f>
        <v>0</v>
      </c>
      <c r="L131" s="20">
        <f>'CUOTA LICITADA'!J37</f>
        <v>-5.637335500000006</v>
      </c>
      <c r="M131" s="28">
        <f>'CUOTA LICITADA'!K37</f>
        <v>0</v>
      </c>
      <c r="N131" s="21" t="s">
        <v>92</v>
      </c>
      <c r="O131" s="21">
        <f>'RESUMEN '!$B$3</f>
        <v>44599</v>
      </c>
      <c r="P131" s="19">
        <v>2021</v>
      </c>
      <c r="Q131" s="19"/>
    </row>
    <row r="132" spans="1:17" x14ac:dyDescent="0.2">
      <c r="A132" s="19" t="s">
        <v>48</v>
      </c>
      <c r="B132" s="19" t="s">
        <v>82</v>
      </c>
      <c r="C132" s="19" t="s">
        <v>61</v>
      </c>
      <c r="D132" s="19" t="s">
        <v>97</v>
      </c>
      <c r="E132" s="19" t="str">
        <f>'CUOTA LICITADA'!C37</f>
        <v>RUBIO Y MAUAD LTDA.</v>
      </c>
      <c r="F132" s="19" t="s">
        <v>87</v>
      </c>
      <c r="G132" s="19" t="s">
        <v>88</v>
      </c>
      <c r="H132" s="20">
        <f>'CUOTA LICITADA'!F38</f>
        <v>5.6371625999999999</v>
      </c>
      <c r="I132" s="20">
        <f>'CUOTA LICITADA'!G38</f>
        <v>0</v>
      </c>
      <c r="J132" s="20">
        <f>'CUOTA LICITADA'!H38</f>
        <v>-1.7290000000613759E-4</v>
      </c>
      <c r="K132" s="20">
        <f>'CUOTA LICITADA'!I38</f>
        <v>0</v>
      </c>
      <c r="L132" s="20">
        <f>'CUOTA LICITADA'!J38</f>
        <v>-1.7290000000613759E-4</v>
      </c>
      <c r="M132" s="28">
        <f>'CUOTA LICITADA'!K38</f>
        <v>0</v>
      </c>
      <c r="N132" s="21" t="s">
        <v>92</v>
      </c>
      <c r="O132" s="21">
        <f>'RESUMEN '!$B$3</f>
        <v>44599</v>
      </c>
      <c r="P132" s="19">
        <v>2021</v>
      </c>
      <c r="Q132" s="19"/>
    </row>
    <row r="133" spans="1:17" x14ac:dyDescent="0.2">
      <c r="A133" s="19" t="s">
        <v>48</v>
      </c>
      <c r="B133" s="19" t="s">
        <v>82</v>
      </c>
      <c r="C133" s="19" t="s">
        <v>61</v>
      </c>
      <c r="D133" s="19" t="s">
        <v>97</v>
      </c>
      <c r="E133" s="19" t="str">
        <f>'CUOTA LICITADA'!C37</f>
        <v>RUBIO Y MAUAD LTDA.</v>
      </c>
      <c r="F133" s="19" t="s">
        <v>89</v>
      </c>
      <c r="G133" s="19" t="s">
        <v>88</v>
      </c>
      <c r="H133" s="20">
        <f>'CUOTA LICITADA'!L37</f>
        <v>56.205827099999993</v>
      </c>
      <c r="I133" s="20">
        <f>'CUOTA LICITADA'!M41</f>
        <v>0</v>
      </c>
      <c r="J133" s="20">
        <f>'CUOTA LICITADA'!N41</f>
        <v>0.45561600000000002</v>
      </c>
      <c r="K133" s="20">
        <f>'CUOTA LICITADA'!O41</f>
        <v>0</v>
      </c>
      <c r="L133" s="20">
        <f>'CUOTA LICITADA'!P41</f>
        <v>0.45561600000000002</v>
      </c>
      <c r="M133" s="20">
        <f>'CUOTA LICITADA'!Q41</f>
        <v>0</v>
      </c>
      <c r="N133" s="21" t="s">
        <v>92</v>
      </c>
      <c r="O133" s="21">
        <f>'RESUMEN '!$B$3</f>
        <v>44599</v>
      </c>
      <c r="P133" s="19">
        <v>2021</v>
      </c>
      <c r="Q133" s="19"/>
    </row>
    <row r="134" spans="1:17" x14ac:dyDescent="0.2">
      <c r="A134" s="19" t="s">
        <v>48</v>
      </c>
      <c r="B134" s="19" t="s">
        <v>82</v>
      </c>
      <c r="C134" s="19" t="s">
        <v>62</v>
      </c>
      <c r="D134" s="19" t="s">
        <v>97</v>
      </c>
      <c r="E134" s="19" t="str">
        <f>'CUOTA LICITADA'!C43</f>
        <v>ANTARTIC SEAFOOD S.A.</v>
      </c>
      <c r="F134" s="19" t="s">
        <v>85</v>
      </c>
      <c r="G134" s="19" t="s">
        <v>86</v>
      </c>
      <c r="H134" s="20">
        <f>'CUOTA LICITADA'!F43</f>
        <v>101.4933</v>
      </c>
      <c r="I134" s="20">
        <f>'CUOTA LICITADA'!G43</f>
        <v>-80</v>
      </c>
      <c r="J134" s="20">
        <f>'CUOTA LICITADA'!H43</f>
        <v>21.493300000000005</v>
      </c>
      <c r="K134" s="20">
        <f>'CUOTA LICITADA'!I43</f>
        <v>21.393000000000001</v>
      </c>
      <c r="L134" s="20">
        <f>'CUOTA LICITADA'!J43</f>
        <v>0.10030000000000427</v>
      </c>
      <c r="M134" s="28">
        <f>'CUOTA LICITADA'!K43</f>
        <v>0.99533342948732839</v>
      </c>
      <c r="N134" s="21" t="s">
        <v>92</v>
      </c>
      <c r="O134" s="21">
        <f>'RESUMEN '!$B$3</f>
        <v>44599</v>
      </c>
      <c r="P134" s="19">
        <v>2021</v>
      </c>
      <c r="Q134" s="19"/>
    </row>
    <row r="135" spans="1:17" x14ac:dyDescent="0.2">
      <c r="A135" s="19" t="s">
        <v>48</v>
      </c>
      <c r="B135" s="19" t="s">
        <v>82</v>
      </c>
      <c r="C135" s="19" t="s">
        <v>62</v>
      </c>
      <c r="D135" s="19" t="s">
        <v>97</v>
      </c>
      <c r="E135" s="19" t="str">
        <f>'CUOTA LICITADA'!C43</f>
        <v>ANTARTIC SEAFOOD S.A.</v>
      </c>
      <c r="F135" s="19" t="s">
        <v>87</v>
      </c>
      <c r="G135" s="19" t="s">
        <v>88</v>
      </c>
      <c r="H135" s="20">
        <f>'CUOTA LICITADA'!F44</f>
        <v>11.2468</v>
      </c>
      <c r="I135" s="20">
        <f>'CUOTA LICITADA'!G44</f>
        <v>0</v>
      </c>
      <c r="J135" s="20">
        <f>'CUOTA LICITADA'!H44</f>
        <v>11.347100000000005</v>
      </c>
      <c r="K135" s="20">
        <f>'CUOTA LICITADA'!I44</f>
        <v>9.7200000000000006</v>
      </c>
      <c r="L135" s="20">
        <f>'CUOTA LICITADA'!J44</f>
        <v>1.627100000000004</v>
      </c>
      <c r="M135" s="28">
        <f>'CUOTA LICITADA'!K44</f>
        <v>0.85660653382802621</v>
      </c>
      <c r="N135" s="21" t="s">
        <v>92</v>
      </c>
      <c r="O135" s="21">
        <f>'RESUMEN '!$B$3</f>
        <v>44599</v>
      </c>
      <c r="P135" s="19">
        <v>2021</v>
      </c>
      <c r="Q135" s="19"/>
    </row>
    <row r="136" spans="1:17" x14ac:dyDescent="0.2">
      <c r="A136" s="19" t="s">
        <v>48</v>
      </c>
      <c r="B136" s="19" t="s">
        <v>82</v>
      </c>
      <c r="C136" s="19" t="s">
        <v>62</v>
      </c>
      <c r="D136" s="19" t="s">
        <v>97</v>
      </c>
      <c r="E136" s="19" t="str">
        <f>'CUOTA LICITADA'!C43</f>
        <v>ANTARTIC SEAFOOD S.A.</v>
      </c>
      <c r="F136" s="19" t="s">
        <v>89</v>
      </c>
      <c r="G136" s="19" t="s">
        <v>88</v>
      </c>
      <c r="H136" s="20">
        <f>'CUOTA LICITADA'!L43</f>
        <v>112.74010000000001</v>
      </c>
      <c r="I136" s="20">
        <f>'CUOTA LICITADA'!M43</f>
        <v>-80</v>
      </c>
      <c r="J136" s="20">
        <f>'CUOTA LICITADA'!N43</f>
        <v>32.740100000000012</v>
      </c>
      <c r="K136" s="20">
        <f>'CUOTA LICITADA'!O43</f>
        <v>31.113</v>
      </c>
      <c r="L136" s="20">
        <f>'CUOTA LICITADA'!P43</f>
        <v>1.6271000000000129</v>
      </c>
      <c r="M136" s="28">
        <f>'CUOTA LICITADA'!Q43</f>
        <v>0.95030253420117805</v>
      </c>
      <c r="N136" s="21" t="s">
        <v>92</v>
      </c>
      <c r="O136" s="21">
        <f>'RESUMEN '!$B$3</f>
        <v>44599</v>
      </c>
      <c r="P136" s="19">
        <v>2021</v>
      </c>
      <c r="Q136" s="19"/>
    </row>
    <row r="137" spans="1:17" x14ac:dyDescent="0.2">
      <c r="A137" s="19" t="s">
        <v>48</v>
      </c>
      <c r="B137" s="19" t="s">
        <v>82</v>
      </c>
      <c r="C137" s="19" t="s">
        <v>62</v>
      </c>
      <c r="D137" s="19" t="s">
        <v>97</v>
      </c>
      <c r="E137" s="19" t="str">
        <f>'CUOTA LICITADA'!C45</f>
        <v>QUINTERO S.A. PESQ.</v>
      </c>
      <c r="F137" s="19" t="s">
        <v>85</v>
      </c>
      <c r="G137" s="19" t="s">
        <v>86</v>
      </c>
      <c r="H137" s="20">
        <f>'CUOTA LICITADA'!F45</f>
        <v>17.038151370000001</v>
      </c>
      <c r="I137" s="20">
        <f>'CUOTA LICITADA'!G45</f>
        <v>0</v>
      </c>
      <c r="J137" s="20">
        <f>'CUOTA LICITADA'!H45</f>
        <v>17.038151370000001</v>
      </c>
      <c r="K137" s="20">
        <f>'CUOTA LICITADA'!I45</f>
        <v>0.113</v>
      </c>
      <c r="L137" s="20">
        <f>'CUOTA LICITADA'!J45</f>
        <v>16.925151370000002</v>
      </c>
      <c r="M137" s="28">
        <f>'CUOTA LICITADA'!K45</f>
        <v>6.6321749083040338E-3</v>
      </c>
      <c r="N137" s="21" t="s">
        <v>92</v>
      </c>
      <c r="O137" s="21">
        <f>'RESUMEN '!$B$3</f>
        <v>44599</v>
      </c>
      <c r="P137" s="19">
        <v>2021</v>
      </c>
      <c r="Q137" s="19"/>
    </row>
    <row r="138" spans="1:17" x14ac:dyDescent="0.2">
      <c r="A138" s="19" t="s">
        <v>48</v>
      </c>
      <c r="B138" s="19" t="s">
        <v>82</v>
      </c>
      <c r="C138" s="19" t="s">
        <v>62</v>
      </c>
      <c r="D138" s="19" t="s">
        <v>97</v>
      </c>
      <c r="E138" s="19" t="str">
        <f>'CUOTA LICITADA'!C45</f>
        <v>QUINTERO S.A. PESQ.</v>
      </c>
      <c r="F138" s="19" t="s">
        <v>87</v>
      </c>
      <c r="G138" s="19" t="s">
        <v>88</v>
      </c>
      <c r="H138" s="20">
        <f>'CUOTA LICITADA'!F46</f>
        <v>1.88805252</v>
      </c>
      <c r="I138" s="20">
        <f>'CUOTA LICITADA'!G46</f>
        <v>0</v>
      </c>
      <c r="J138" s="20">
        <f>'CUOTA LICITADA'!H46</f>
        <v>18.81320389</v>
      </c>
      <c r="K138" s="20">
        <f>'CUOTA LICITADA'!I46</f>
        <v>0</v>
      </c>
      <c r="L138" s="20">
        <f>'CUOTA LICITADA'!J46</f>
        <v>18.81320389</v>
      </c>
      <c r="M138" s="28">
        <f>'CUOTA LICITADA'!K46</f>
        <v>0</v>
      </c>
      <c r="N138" s="21" t="s">
        <v>92</v>
      </c>
      <c r="O138" s="21">
        <f>'RESUMEN '!$B$3</f>
        <v>44599</v>
      </c>
      <c r="P138" s="19">
        <v>2021</v>
      </c>
      <c r="Q138" s="19"/>
    </row>
    <row r="139" spans="1:17" x14ac:dyDescent="0.2">
      <c r="A139" s="19" t="s">
        <v>48</v>
      </c>
      <c r="B139" s="19" t="s">
        <v>82</v>
      </c>
      <c r="C139" s="19" t="s">
        <v>62</v>
      </c>
      <c r="D139" s="19" t="s">
        <v>97</v>
      </c>
      <c r="E139" s="19" t="str">
        <f>'CUOTA LICITADA'!C45</f>
        <v>QUINTERO S.A. PESQ.</v>
      </c>
      <c r="F139" s="19" t="s">
        <v>89</v>
      </c>
      <c r="G139" s="19" t="s">
        <v>88</v>
      </c>
      <c r="H139" s="20">
        <f>'CUOTA LICITADA'!L45</f>
        <v>18.92620389</v>
      </c>
      <c r="I139" s="20">
        <f>'CUOTA LICITADA'!M45</f>
        <v>0</v>
      </c>
      <c r="J139" s="20">
        <f>'CUOTA LICITADA'!N45</f>
        <v>18.92620389</v>
      </c>
      <c r="K139" s="20">
        <f>'CUOTA LICITADA'!O45</f>
        <v>0.113</v>
      </c>
      <c r="L139" s="20">
        <f>'CUOTA LICITADA'!P45</f>
        <v>18.81320389</v>
      </c>
      <c r="M139" s="28">
        <f>'CUOTA LICITADA'!Q45</f>
        <v>5.9705581032922081E-3</v>
      </c>
      <c r="N139" s="21" t="s">
        <v>92</v>
      </c>
      <c r="O139" s="21">
        <f>'RESUMEN '!$B$3</f>
        <v>44599</v>
      </c>
      <c r="P139" s="19">
        <v>2021</v>
      </c>
      <c r="Q139" s="19"/>
    </row>
    <row r="140" spans="1:17" x14ac:dyDescent="0.2">
      <c r="A140" s="19" t="s">
        <v>48</v>
      </c>
      <c r="B140" s="19" t="s">
        <v>82</v>
      </c>
      <c r="C140" s="19" t="s">
        <v>62</v>
      </c>
      <c r="D140" s="19" t="s">
        <v>97</v>
      </c>
      <c r="E140" s="19" t="str">
        <f>'CUOTA LICITADA'!C47</f>
        <v>BRACPESCA S.A.</v>
      </c>
      <c r="F140" s="19" t="s">
        <v>85</v>
      </c>
      <c r="G140" s="19" t="s">
        <v>86</v>
      </c>
      <c r="H140" s="20">
        <f>'CUOTA LICITADA'!F47</f>
        <v>278.12230260000001</v>
      </c>
      <c r="I140" s="20">
        <f>'CUOTA LICITADA'!G47</f>
        <v>-222</v>
      </c>
      <c r="J140" s="20">
        <f>'CUOTA LICITADA'!H47</f>
        <v>56.122302600000012</v>
      </c>
      <c r="K140" s="20">
        <f>'CUOTA LICITADA'!I47</f>
        <v>76.649000000000001</v>
      </c>
      <c r="L140" s="20">
        <f>'CUOTA LICITADA'!J47</f>
        <v>-20.526697399999989</v>
      </c>
      <c r="M140" s="28">
        <f>'CUOTA LICITADA'!K47</f>
        <v>1.3657493803541836</v>
      </c>
      <c r="N140" s="21" t="s">
        <v>92</v>
      </c>
      <c r="O140" s="21">
        <f>'RESUMEN '!$B$3</f>
        <v>44599</v>
      </c>
      <c r="P140" s="19">
        <v>2021</v>
      </c>
      <c r="Q140" s="19"/>
    </row>
    <row r="141" spans="1:17" x14ac:dyDescent="0.2">
      <c r="A141" s="19" t="s">
        <v>48</v>
      </c>
      <c r="B141" s="19" t="s">
        <v>82</v>
      </c>
      <c r="C141" s="19" t="s">
        <v>62</v>
      </c>
      <c r="D141" s="19" t="s">
        <v>97</v>
      </c>
      <c r="E141" s="19" t="str">
        <f>'CUOTA LICITADA'!C47</f>
        <v>BRACPESCA S.A.</v>
      </c>
      <c r="F141" s="19" t="s">
        <v>87</v>
      </c>
      <c r="G141" s="19" t="s">
        <v>88</v>
      </c>
      <c r="H141" s="20">
        <f>'CUOTA LICITADA'!F48</f>
        <v>30.819629599999999</v>
      </c>
      <c r="I141" s="20">
        <f>'CUOTA LICITADA'!G48</f>
        <v>0</v>
      </c>
      <c r="J141" s="20">
        <f>'CUOTA LICITADA'!H48</f>
        <v>10.29293220000001</v>
      </c>
      <c r="K141" s="20">
        <f>'CUOTA LICITADA'!I48</f>
        <v>0</v>
      </c>
      <c r="L141" s="20">
        <f>'CUOTA LICITADA'!J48</f>
        <v>10.29293220000001</v>
      </c>
      <c r="M141" s="28">
        <f>'CUOTA LICITADA'!K48</f>
        <v>0</v>
      </c>
      <c r="N141" s="21" t="s">
        <v>92</v>
      </c>
      <c r="O141" s="21">
        <f>'RESUMEN '!$B$3</f>
        <v>44599</v>
      </c>
      <c r="P141" s="19">
        <v>2021</v>
      </c>
      <c r="Q141" s="19"/>
    </row>
    <row r="142" spans="1:17" x14ac:dyDescent="0.2">
      <c r="A142" s="19" t="s">
        <v>48</v>
      </c>
      <c r="B142" s="19" t="s">
        <v>82</v>
      </c>
      <c r="C142" s="19" t="s">
        <v>62</v>
      </c>
      <c r="D142" s="19" t="s">
        <v>97</v>
      </c>
      <c r="E142" s="19" t="str">
        <f>'CUOTA LICITADA'!C47</f>
        <v>BRACPESCA S.A.</v>
      </c>
      <c r="F142" s="19" t="s">
        <v>89</v>
      </c>
      <c r="G142" s="19" t="s">
        <v>88</v>
      </c>
      <c r="H142" s="20">
        <f>'CUOTA LICITADA'!L47</f>
        <v>308.9419322</v>
      </c>
      <c r="I142" s="20">
        <f>'CUOTA LICITADA'!M47</f>
        <v>-222</v>
      </c>
      <c r="J142" s="20">
        <f>'CUOTA LICITADA'!N47</f>
        <v>86.941932199999997</v>
      </c>
      <c r="K142" s="20">
        <f>'CUOTA LICITADA'!O47</f>
        <v>76.649000000000001</v>
      </c>
      <c r="L142" s="20">
        <f>'CUOTA LICITADA'!P47</f>
        <v>10.292932199999996</v>
      </c>
      <c r="M142" s="28">
        <f>'CUOTA LICITADA'!Q47</f>
        <v>0.88161141649897679</v>
      </c>
      <c r="N142" s="21" t="s">
        <v>92</v>
      </c>
      <c r="O142" s="21">
        <f>'RESUMEN '!$B$3</f>
        <v>44599</v>
      </c>
      <c r="P142" s="19">
        <v>2021</v>
      </c>
      <c r="Q142" s="19"/>
    </row>
    <row r="143" spans="1:17" x14ac:dyDescent="0.2">
      <c r="A143" s="19" t="s">
        <v>48</v>
      </c>
      <c r="B143" s="19" t="s">
        <v>82</v>
      </c>
      <c r="C143" s="19" t="s">
        <v>62</v>
      </c>
      <c r="D143" s="19" t="s">
        <v>97</v>
      </c>
      <c r="E143" s="19" t="str">
        <f>'CUOTA LICITADA'!C49</f>
        <v>CAMANCHACA PESCA SUR S.A.</v>
      </c>
      <c r="F143" s="19" t="s">
        <v>85</v>
      </c>
      <c r="G143" s="19" t="s">
        <v>86</v>
      </c>
      <c r="H143" s="20">
        <f>'CUOTA LICITADA'!F49</f>
        <v>334.40477987999998</v>
      </c>
      <c r="I143" s="20">
        <f>'CUOTA LICITADA'!G49</f>
        <v>301.28413999999992</v>
      </c>
      <c r="J143" s="20">
        <f>'CUOTA LICITADA'!H49</f>
        <v>635.68891987999996</v>
      </c>
      <c r="K143" s="20">
        <f>'CUOTA LICITADA'!I49</f>
        <v>230.155</v>
      </c>
      <c r="L143" s="20">
        <f>'CUOTA LICITADA'!J49</f>
        <v>405.53391987999998</v>
      </c>
      <c r="M143" s="28">
        <f>'CUOTA LICITADA'!K49</f>
        <v>0.36205601954403538</v>
      </c>
      <c r="N143" s="21" t="s">
        <v>92</v>
      </c>
      <c r="O143" s="21">
        <f>'RESUMEN '!$B$3</f>
        <v>44599</v>
      </c>
      <c r="P143" s="19">
        <v>2021</v>
      </c>
      <c r="Q143" s="19"/>
    </row>
    <row r="144" spans="1:17" x14ac:dyDescent="0.2">
      <c r="A144" s="19" t="s">
        <v>48</v>
      </c>
      <c r="B144" s="19" t="s">
        <v>82</v>
      </c>
      <c r="C144" s="19" t="s">
        <v>62</v>
      </c>
      <c r="D144" s="19" t="s">
        <v>97</v>
      </c>
      <c r="E144" s="19" t="str">
        <f>'CUOTA LICITADA'!C49</f>
        <v>CAMANCHACA PESCA SUR S.A.</v>
      </c>
      <c r="F144" s="19" t="s">
        <v>87</v>
      </c>
      <c r="G144" s="19" t="s">
        <v>88</v>
      </c>
      <c r="H144" s="20">
        <f>'CUOTA LICITADA'!F50</f>
        <v>37.056472479999996</v>
      </c>
      <c r="I144" s="20">
        <f>'CUOTA LICITADA'!G50</f>
        <v>3.490000000000002</v>
      </c>
      <c r="J144" s="20">
        <f>'CUOTA LICITADA'!H50</f>
        <v>446.08039235999996</v>
      </c>
      <c r="K144" s="20">
        <f>'CUOTA LICITADA'!I50</f>
        <v>393.94299999999998</v>
      </c>
      <c r="L144" s="20">
        <f>'CUOTA LICITADA'!J50</f>
        <v>52.137392359999978</v>
      </c>
      <c r="M144" s="28">
        <f>'CUOTA LICITADA'!K50</f>
        <v>0.88312108477988516</v>
      </c>
      <c r="N144" s="21" t="s">
        <v>92</v>
      </c>
      <c r="O144" s="21">
        <f>'RESUMEN '!$B$3</f>
        <v>44599</v>
      </c>
      <c r="P144" s="19">
        <v>2021</v>
      </c>
      <c r="Q144" s="19"/>
    </row>
    <row r="145" spans="1:17" x14ac:dyDescent="0.2">
      <c r="A145" s="19" t="s">
        <v>48</v>
      </c>
      <c r="B145" s="19" t="s">
        <v>82</v>
      </c>
      <c r="C145" s="19" t="s">
        <v>62</v>
      </c>
      <c r="D145" s="19" t="s">
        <v>97</v>
      </c>
      <c r="E145" s="19" t="str">
        <f>'CUOTA LICITADA'!C49</f>
        <v>CAMANCHACA PESCA SUR S.A.</v>
      </c>
      <c r="F145" s="19" t="s">
        <v>89</v>
      </c>
      <c r="G145" s="19" t="s">
        <v>88</v>
      </c>
      <c r="H145" s="20">
        <f>'CUOTA LICITADA'!L49</f>
        <v>371.46125236</v>
      </c>
      <c r="I145" s="20">
        <f>'CUOTA LICITADA'!M49</f>
        <v>304.77413999999993</v>
      </c>
      <c r="J145" s="20">
        <f>'CUOTA LICITADA'!N49</f>
        <v>676.23539235999988</v>
      </c>
      <c r="K145" s="20">
        <f>'CUOTA LICITADA'!O49</f>
        <v>624.09799999999996</v>
      </c>
      <c r="L145" s="20">
        <f>'CUOTA LICITADA'!P49</f>
        <v>52.137392359999922</v>
      </c>
      <c r="M145" s="28">
        <f>'CUOTA LICITADA'!Q49</f>
        <v>0.92290052702204006</v>
      </c>
      <c r="N145" s="21" t="s">
        <v>92</v>
      </c>
      <c r="O145" s="21">
        <f>'RESUMEN '!$B$3</f>
        <v>44599</v>
      </c>
      <c r="P145" s="19">
        <v>2021</v>
      </c>
      <c r="Q145" s="19"/>
    </row>
    <row r="146" spans="1:17" x14ac:dyDescent="0.2">
      <c r="A146" s="19" t="s">
        <v>48</v>
      </c>
      <c r="B146" s="19" t="s">
        <v>82</v>
      </c>
      <c r="C146" s="19" t="s">
        <v>62</v>
      </c>
      <c r="D146" s="19" t="s">
        <v>97</v>
      </c>
      <c r="E146" s="19" t="str">
        <f>'CUOTA LICITADA'!C51</f>
        <v>ANTONIO CRUZ CORDOVA NAKOUZI E.I.R.L.</v>
      </c>
      <c r="F146" s="19" t="s">
        <v>85</v>
      </c>
      <c r="G146" s="19" t="s">
        <v>86</v>
      </c>
      <c r="H146" s="20">
        <f>'CUOTA LICITADA'!F51</f>
        <v>3.0075586800000003</v>
      </c>
      <c r="I146" s="20">
        <f>'CUOTA LICITADA'!G51</f>
        <v>0</v>
      </c>
      <c r="J146" s="20">
        <f>'CUOTA LICITADA'!H51</f>
        <v>3.0075586800000003</v>
      </c>
      <c r="K146" s="20">
        <f>'CUOTA LICITADA'!I51</f>
        <v>0</v>
      </c>
      <c r="L146" s="20">
        <f>'CUOTA LICITADA'!J51</f>
        <v>3.0075586800000003</v>
      </c>
      <c r="M146" s="28">
        <f>'CUOTA LICITADA'!K51</f>
        <v>0</v>
      </c>
      <c r="N146" s="21" t="s">
        <v>92</v>
      </c>
      <c r="O146" s="21">
        <f>'RESUMEN '!$B$3</f>
        <v>44599</v>
      </c>
      <c r="P146" s="19">
        <v>2021</v>
      </c>
      <c r="Q146" s="19"/>
    </row>
    <row r="147" spans="1:17" x14ac:dyDescent="0.2">
      <c r="A147" s="19" t="s">
        <v>48</v>
      </c>
      <c r="B147" s="19" t="s">
        <v>82</v>
      </c>
      <c r="C147" s="19" t="s">
        <v>62</v>
      </c>
      <c r="D147" s="19" t="s">
        <v>97</v>
      </c>
      <c r="E147" s="19" t="str">
        <f>'CUOTA LICITADA'!C51</f>
        <v>ANTONIO CRUZ CORDOVA NAKOUZI E.I.R.L.</v>
      </c>
      <c r="F147" s="19" t="s">
        <v>87</v>
      </c>
      <c r="G147" s="19" t="s">
        <v>88</v>
      </c>
      <c r="H147" s="20">
        <f>'CUOTA LICITADA'!F52</f>
        <v>0.33327728000000001</v>
      </c>
      <c r="I147" s="20">
        <f>'CUOTA LICITADA'!G52</f>
        <v>0</v>
      </c>
      <c r="J147" s="20">
        <f>'CUOTA LICITADA'!H52</f>
        <v>3.3408359600000002</v>
      </c>
      <c r="K147" s="20">
        <f>'CUOTA LICITADA'!I52</f>
        <v>0</v>
      </c>
      <c r="L147" s="20">
        <f>'CUOTA LICITADA'!J52</f>
        <v>3.3408359600000002</v>
      </c>
      <c r="M147" s="28">
        <f>'CUOTA LICITADA'!K52</f>
        <v>0</v>
      </c>
      <c r="N147" s="21" t="s">
        <v>92</v>
      </c>
      <c r="O147" s="21">
        <f>'RESUMEN '!$B$3</f>
        <v>44599</v>
      </c>
      <c r="P147" s="19">
        <v>2021</v>
      </c>
      <c r="Q147" s="19"/>
    </row>
    <row r="148" spans="1:17" x14ac:dyDescent="0.2">
      <c r="A148" s="19" t="s">
        <v>48</v>
      </c>
      <c r="B148" s="19" t="s">
        <v>82</v>
      </c>
      <c r="C148" s="19" t="s">
        <v>62</v>
      </c>
      <c r="D148" s="19" t="s">
        <v>97</v>
      </c>
      <c r="E148" s="19" t="str">
        <f>'CUOTA LICITADA'!C51</f>
        <v>ANTONIO CRUZ CORDOVA NAKOUZI E.I.R.L.</v>
      </c>
      <c r="F148" s="19" t="s">
        <v>89</v>
      </c>
      <c r="G148" s="19" t="s">
        <v>88</v>
      </c>
      <c r="H148" s="20">
        <f>'CUOTA LICITADA'!L51</f>
        <v>3.3408359600000002</v>
      </c>
      <c r="I148" s="20">
        <f>'CUOTA LICITADA'!M51</f>
        <v>0</v>
      </c>
      <c r="J148" s="20">
        <f>'CUOTA LICITADA'!N51</f>
        <v>3.3408359600000002</v>
      </c>
      <c r="K148" s="20">
        <f>'CUOTA LICITADA'!O51</f>
        <v>0</v>
      </c>
      <c r="L148" s="20">
        <f>'CUOTA LICITADA'!P51</f>
        <v>3.3408359600000002</v>
      </c>
      <c r="M148" s="28">
        <f>'CUOTA LICITADA'!Q51</f>
        <v>0</v>
      </c>
      <c r="N148" s="21" t="s">
        <v>92</v>
      </c>
      <c r="O148" s="21">
        <f>'RESUMEN '!$B$3</f>
        <v>44599</v>
      </c>
      <c r="P148" s="19">
        <v>2021</v>
      </c>
      <c r="Q148" s="19"/>
    </row>
    <row r="149" spans="1:17" x14ac:dyDescent="0.2">
      <c r="A149" s="19" t="s">
        <v>48</v>
      </c>
      <c r="B149" s="19" t="s">
        <v>82</v>
      </c>
      <c r="C149" s="19" t="s">
        <v>62</v>
      </c>
      <c r="D149" s="19" t="s">
        <v>97</v>
      </c>
      <c r="E149" s="19" t="str">
        <f>'CUOTA LICITADA'!C53</f>
        <v>GRIMAR S.A. PESQ.</v>
      </c>
      <c r="F149" s="19" t="s">
        <v>85</v>
      </c>
      <c r="G149" s="19" t="s">
        <v>86</v>
      </c>
      <c r="H149" s="20">
        <f>'CUOTA LICITADA'!F53</f>
        <v>8.9520000000000002E-2</v>
      </c>
      <c r="I149" s="20">
        <f>'CUOTA LICITADA'!G53</f>
        <v>0</v>
      </c>
      <c r="J149" s="20">
        <f>'CUOTA LICITADA'!H53</f>
        <v>8.9520000000000002E-2</v>
      </c>
      <c r="K149" s="20">
        <f>'CUOTA LICITADA'!I53</f>
        <v>0</v>
      </c>
      <c r="L149" s="20">
        <f>'CUOTA LICITADA'!J53</f>
        <v>8.9520000000000002E-2</v>
      </c>
      <c r="M149" s="28">
        <f>'CUOTA LICITADA'!K53</f>
        <v>0</v>
      </c>
      <c r="N149" s="21" t="s">
        <v>92</v>
      </c>
      <c r="O149" s="21">
        <f>'RESUMEN '!$B$3</f>
        <v>44599</v>
      </c>
      <c r="P149" s="19">
        <v>2021</v>
      </c>
      <c r="Q149" s="19"/>
    </row>
    <row r="150" spans="1:17" x14ac:dyDescent="0.2">
      <c r="A150" s="19" t="s">
        <v>48</v>
      </c>
      <c r="B150" s="19" t="s">
        <v>82</v>
      </c>
      <c r="C150" s="19" t="s">
        <v>62</v>
      </c>
      <c r="D150" s="19" t="s">
        <v>97</v>
      </c>
      <c r="E150" s="19" t="str">
        <f>'CUOTA LICITADA'!C53</f>
        <v>GRIMAR S.A. PESQ.</v>
      </c>
      <c r="F150" s="19" t="s">
        <v>87</v>
      </c>
      <c r="G150" s="19" t="s">
        <v>88</v>
      </c>
      <c r="H150" s="20">
        <f>'CUOTA LICITADA'!F54</f>
        <v>9.92E-3</v>
      </c>
      <c r="I150" s="20">
        <f>'CUOTA LICITADA'!G54</f>
        <v>0</v>
      </c>
      <c r="J150" s="20">
        <f>'CUOTA LICITADA'!H54</f>
        <v>9.9440000000000001E-2</v>
      </c>
      <c r="K150" s="20">
        <f>'CUOTA LICITADA'!I54</f>
        <v>0</v>
      </c>
      <c r="L150" s="20">
        <f>'CUOTA LICITADA'!J54</f>
        <v>9.9440000000000001E-2</v>
      </c>
      <c r="M150" s="28">
        <f>'CUOTA LICITADA'!K54</f>
        <v>0</v>
      </c>
      <c r="N150" s="21" t="s">
        <v>92</v>
      </c>
      <c r="O150" s="21">
        <f>'RESUMEN '!$B$3</f>
        <v>44599</v>
      </c>
      <c r="P150" s="19">
        <v>2021</v>
      </c>
      <c r="Q150" s="19"/>
    </row>
    <row r="151" spans="1:17" x14ac:dyDescent="0.2">
      <c r="A151" s="19" t="s">
        <v>48</v>
      </c>
      <c r="B151" s="19" t="s">
        <v>82</v>
      </c>
      <c r="C151" s="19" t="s">
        <v>62</v>
      </c>
      <c r="D151" s="19" t="s">
        <v>97</v>
      </c>
      <c r="E151" s="19" t="str">
        <f>'CUOTA LICITADA'!C53</f>
        <v>GRIMAR S.A. PESQ.</v>
      </c>
      <c r="F151" s="19" t="s">
        <v>89</v>
      </c>
      <c r="G151" s="19" t="s">
        <v>88</v>
      </c>
      <c r="H151" s="20">
        <f>'CUOTA LICITADA'!L53</f>
        <v>9.9440000000000001E-2</v>
      </c>
      <c r="I151" s="20">
        <f>'CUOTA LICITADA'!M53</f>
        <v>0</v>
      </c>
      <c r="J151" s="20">
        <f>'CUOTA LICITADA'!N53</f>
        <v>9.9440000000000001E-2</v>
      </c>
      <c r="K151" s="20">
        <f>'CUOTA LICITADA'!O53</f>
        <v>0</v>
      </c>
      <c r="L151" s="20">
        <f>'CUOTA LICITADA'!P53</f>
        <v>9.9440000000000001E-2</v>
      </c>
      <c r="M151" s="28">
        <f>'CUOTA LICITADA'!Q53</f>
        <v>0</v>
      </c>
      <c r="N151" s="21" t="s">
        <v>92</v>
      </c>
      <c r="O151" s="21">
        <f>'RESUMEN '!$B$3</f>
        <v>44599</v>
      </c>
      <c r="P151" s="19">
        <v>2021</v>
      </c>
      <c r="Q151" s="19"/>
    </row>
    <row r="152" spans="1:17" x14ac:dyDescent="0.2">
      <c r="A152" s="19" t="s">
        <v>48</v>
      </c>
      <c r="B152" s="19" t="s">
        <v>82</v>
      </c>
      <c r="C152" s="19" t="s">
        <v>62</v>
      </c>
      <c r="D152" s="19" t="s">
        <v>97</v>
      </c>
      <c r="E152" s="19" t="str">
        <f>'CUOTA LICITADA'!C55</f>
        <v>ISLADAMAS S.A. PESQ.</v>
      </c>
      <c r="F152" s="19" t="s">
        <v>85</v>
      </c>
      <c r="G152" s="19" t="s">
        <v>86</v>
      </c>
      <c r="H152" s="20">
        <f>'CUOTA LICITADA'!F55</f>
        <v>158.7636081</v>
      </c>
      <c r="I152" s="20">
        <f>'CUOTA LICITADA'!G55</f>
        <v>68.695999999999998</v>
      </c>
      <c r="J152" s="20">
        <f>'CUOTA LICITADA'!H55</f>
        <v>227.4596081</v>
      </c>
      <c r="K152" s="20">
        <f>'CUOTA LICITADA'!I55</f>
        <v>108.062</v>
      </c>
      <c r="L152" s="20">
        <f>'CUOTA LICITADA'!J55</f>
        <v>119.3976081</v>
      </c>
      <c r="M152" s="28">
        <f>'CUOTA LICITADA'!K55</f>
        <v>0.47508215151980648</v>
      </c>
      <c r="N152" s="21" t="s">
        <v>92</v>
      </c>
      <c r="O152" s="21">
        <f>'RESUMEN '!$B$3</f>
        <v>44599</v>
      </c>
      <c r="P152" s="19">
        <v>2021</v>
      </c>
      <c r="Q152" s="19"/>
    </row>
    <row r="153" spans="1:17" x14ac:dyDescent="0.2">
      <c r="A153" s="19" t="s">
        <v>48</v>
      </c>
      <c r="B153" s="19" t="s">
        <v>82</v>
      </c>
      <c r="C153" s="19" t="s">
        <v>62</v>
      </c>
      <c r="D153" s="19" t="s">
        <v>97</v>
      </c>
      <c r="E153" s="19" t="str">
        <f>'CUOTA LICITADA'!C55</f>
        <v>ISLADAMAS S.A. PESQ.</v>
      </c>
      <c r="F153" s="19" t="s">
        <v>87</v>
      </c>
      <c r="G153" s="19" t="s">
        <v>88</v>
      </c>
      <c r="H153" s="20">
        <f>'CUOTA LICITADA'!F56</f>
        <v>17.5931076</v>
      </c>
      <c r="I153" s="20">
        <f>'CUOTA LICITADA'!G56</f>
        <v>0</v>
      </c>
      <c r="J153" s="20">
        <f>'CUOTA LICITADA'!H56</f>
        <v>136.99071570000001</v>
      </c>
      <c r="K153" s="20">
        <f>'CUOTA LICITADA'!I56</f>
        <v>126.47899999999998</v>
      </c>
      <c r="L153" s="20">
        <f>'CUOTA LICITADA'!J56</f>
        <v>10.511715700000025</v>
      </c>
      <c r="M153" s="28">
        <f>'CUOTA LICITADA'!K56</f>
        <v>0.92326694808267196</v>
      </c>
      <c r="N153" s="21" t="s">
        <v>92</v>
      </c>
      <c r="O153" s="21">
        <f>'RESUMEN '!$B$3</f>
        <v>44599</v>
      </c>
      <c r="P153" s="19">
        <v>2021</v>
      </c>
      <c r="Q153" s="19"/>
    </row>
    <row r="154" spans="1:17" x14ac:dyDescent="0.2">
      <c r="A154" s="19" t="s">
        <v>48</v>
      </c>
      <c r="B154" s="19" t="s">
        <v>82</v>
      </c>
      <c r="C154" s="19" t="s">
        <v>62</v>
      </c>
      <c r="D154" s="19" t="s">
        <v>97</v>
      </c>
      <c r="E154" s="19" t="str">
        <f>'CUOTA LICITADA'!C55</f>
        <v>ISLADAMAS S.A. PESQ.</v>
      </c>
      <c r="F154" s="19" t="s">
        <v>89</v>
      </c>
      <c r="G154" s="19" t="s">
        <v>88</v>
      </c>
      <c r="H154" s="20">
        <f>'CUOTA LICITADA'!L55</f>
        <v>176.3567157</v>
      </c>
      <c r="I154" s="20">
        <f>'CUOTA LICITADA'!M55</f>
        <v>68.695999999999998</v>
      </c>
      <c r="J154" s="20">
        <f>'CUOTA LICITADA'!N55</f>
        <v>245.05271569999999</v>
      </c>
      <c r="K154" s="20">
        <f>'CUOTA LICITADA'!O55</f>
        <v>234.541</v>
      </c>
      <c r="L154" s="20">
        <f>'CUOTA LICITADA'!P55</f>
        <v>10.511715699999996</v>
      </c>
      <c r="M154" s="28">
        <f>'CUOTA LICITADA'!Q55</f>
        <v>0.95710426766757928</v>
      </c>
      <c r="N154" s="21" t="s">
        <v>92</v>
      </c>
      <c r="O154" s="21">
        <f>'RESUMEN '!$B$3</f>
        <v>44599</v>
      </c>
      <c r="P154" s="19">
        <v>2021</v>
      </c>
      <c r="Q154" s="19"/>
    </row>
    <row r="155" spans="1:17" x14ac:dyDescent="0.2">
      <c r="A155" s="19" t="s">
        <v>48</v>
      </c>
      <c r="B155" s="19" t="s">
        <v>82</v>
      </c>
      <c r="C155" s="19" t="s">
        <v>62</v>
      </c>
      <c r="D155" s="19" t="s">
        <v>97</v>
      </c>
      <c r="E155" s="19" t="str">
        <f>'CUOTA LICITADA'!C57</f>
        <v>LANDES S.A. PESQ.</v>
      </c>
      <c r="F155" s="19" t="s">
        <v>85</v>
      </c>
      <c r="G155" s="19" t="s">
        <v>86</v>
      </c>
      <c r="H155" s="20">
        <f>'CUOTA LICITADA'!F57</f>
        <v>1.119</v>
      </c>
      <c r="I155" s="20">
        <f>'CUOTA LICITADA'!G57</f>
        <v>0</v>
      </c>
      <c r="J155" s="20">
        <f>'CUOTA LICITADA'!H57</f>
        <v>1.119</v>
      </c>
      <c r="K155" s="20">
        <f>'CUOTA LICITADA'!I57</f>
        <v>0</v>
      </c>
      <c r="L155" s="20">
        <f>'CUOTA LICITADA'!J57</f>
        <v>1.119</v>
      </c>
      <c r="M155" s="28">
        <f>'CUOTA LICITADA'!K57</f>
        <v>0</v>
      </c>
      <c r="N155" s="21" t="s">
        <v>92</v>
      </c>
      <c r="O155" s="21">
        <f>'RESUMEN '!$B$3</f>
        <v>44599</v>
      </c>
      <c r="P155" s="19">
        <v>2021</v>
      </c>
      <c r="Q155" s="19"/>
    </row>
    <row r="156" spans="1:17" x14ac:dyDescent="0.2">
      <c r="A156" s="19" t="s">
        <v>48</v>
      </c>
      <c r="B156" s="19" t="s">
        <v>82</v>
      </c>
      <c r="C156" s="19" t="s">
        <v>62</v>
      </c>
      <c r="D156" s="19" t="s">
        <v>97</v>
      </c>
      <c r="E156" s="19" t="str">
        <f>'CUOTA LICITADA'!C57</f>
        <v>LANDES S.A. PESQ.</v>
      </c>
      <c r="F156" s="19" t="s">
        <v>87</v>
      </c>
      <c r="G156" s="19" t="s">
        <v>88</v>
      </c>
      <c r="H156" s="20">
        <f>'CUOTA LICITADA'!F58</f>
        <v>0.124</v>
      </c>
      <c r="I156" s="20">
        <f>'CUOTA LICITADA'!G58</f>
        <v>0</v>
      </c>
      <c r="J156" s="20">
        <f>'CUOTA LICITADA'!H58</f>
        <v>1.2429999999999999</v>
      </c>
      <c r="K156" s="20">
        <f>'CUOTA LICITADA'!I58</f>
        <v>0</v>
      </c>
      <c r="L156" s="20">
        <f>'CUOTA LICITADA'!J58</f>
        <v>1.2429999999999999</v>
      </c>
      <c r="M156" s="28">
        <f>'CUOTA LICITADA'!K58</f>
        <v>0</v>
      </c>
      <c r="N156" s="21" t="s">
        <v>92</v>
      </c>
      <c r="O156" s="21">
        <f>'RESUMEN '!$B$3</f>
        <v>44599</v>
      </c>
      <c r="P156" s="19">
        <v>2021</v>
      </c>
      <c r="Q156" s="19"/>
    </row>
    <row r="157" spans="1:17" x14ac:dyDescent="0.2">
      <c r="A157" s="19" t="s">
        <v>48</v>
      </c>
      <c r="B157" s="19" t="s">
        <v>82</v>
      </c>
      <c r="C157" s="19" t="s">
        <v>62</v>
      </c>
      <c r="D157" s="19" t="s">
        <v>97</v>
      </c>
      <c r="E157" s="19" t="str">
        <f>'CUOTA LICITADA'!C57</f>
        <v>LANDES S.A. PESQ.</v>
      </c>
      <c r="F157" s="19" t="s">
        <v>89</v>
      </c>
      <c r="G157" s="19" t="s">
        <v>88</v>
      </c>
      <c r="H157" s="20">
        <f>'CUOTA LICITADA'!L57</f>
        <v>1.2429999999999999</v>
      </c>
      <c r="I157" s="20">
        <f>'CUOTA LICITADA'!M57</f>
        <v>0</v>
      </c>
      <c r="J157" s="20">
        <f>'CUOTA LICITADA'!N57</f>
        <v>1.2429999999999999</v>
      </c>
      <c r="K157" s="20">
        <f>'CUOTA LICITADA'!O57</f>
        <v>0</v>
      </c>
      <c r="L157" s="20">
        <f>'CUOTA LICITADA'!P57</f>
        <v>1.2429999999999999</v>
      </c>
      <c r="M157" s="28">
        <f>'CUOTA LICITADA'!Q57</f>
        <v>0</v>
      </c>
      <c r="N157" s="21" t="s">
        <v>92</v>
      </c>
      <c r="O157" s="21">
        <f>'RESUMEN '!$B$3</f>
        <v>44599</v>
      </c>
      <c r="P157" s="19">
        <v>2021</v>
      </c>
      <c r="Q157" s="19"/>
    </row>
    <row r="158" spans="1:17" x14ac:dyDescent="0.2">
      <c r="A158" s="19" t="s">
        <v>48</v>
      </c>
      <c r="B158" s="19" t="s">
        <v>82</v>
      </c>
      <c r="C158" s="19" t="s">
        <v>62</v>
      </c>
      <c r="D158" s="19" t="s">
        <v>97</v>
      </c>
      <c r="E158" s="19" t="str">
        <f>'CUOTA LICITADA'!C59</f>
        <v>ZUÑIGA ROMERO GONZALO</v>
      </c>
      <c r="F158" s="19" t="s">
        <v>85</v>
      </c>
      <c r="G158" s="19" t="s">
        <v>86</v>
      </c>
      <c r="H158" s="20">
        <f>'CUOTA LICITADA'!F59</f>
        <v>2.8870199999999995E-2</v>
      </c>
      <c r="I158" s="20">
        <f>'CUOTA LICITADA'!G59</f>
        <v>0</v>
      </c>
      <c r="J158" s="20">
        <f>'CUOTA LICITADA'!H59</f>
        <v>2.8870199999999995E-2</v>
      </c>
      <c r="K158" s="20">
        <f>'CUOTA LICITADA'!I59</f>
        <v>0</v>
      </c>
      <c r="L158" s="20">
        <f>'CUOTA LICITADA'!J59</f>
        <v>2.8870199999999995E-2</v>
      </c>
      <c r="M158" s="28">
        <f>'CUOTA LICITADA'!K59</f>
        <v>0</v>
      </c>
      <c r="N158" s="21" t="s">
        <v>92</v>
      </c>
      <c r="O158" s="21">
        <f>'RESUMEN '!$B$3</f>
        <v>44599</v>
      </c>
      <c r="P158" s="19">
        <v>2021</v>
      </c>
      <c r="Q158" s="19"/>
    </row>
    <row r="159" spans="1:17" x14ac:dyDescent="0.2">
      <c r="A159" s="19" t="s">
        <v>48</v>
      </c>
      <c r="B159" s="19" t="s">
        <v>82</v>
      </c>
      <c r="C159" s="19" t="s">
        <v>62</v>
      </c>
      <c r="D159" s="19" t="s">
        <v>97</v>
      </c>
      <c r="E159" s="19" t="str">
        <f>'CUOTA LICITADA'!C59</f>
        <v>ZUÑIGA ROMERO GONZALO</v>
      </c>
      <c r="F159" s="19" t="s">
        <v>87</v>
      </c>
      <c r="G159" s="19" t="s">
        <v>88</v>
      </c>
      <c r="H159" s="20">
        <f>'CUOTA LICITADA'!F60</f>
        <v>3.1991999999999997E-3</v>
      </c>
      <c r="I159" s="20">
        <f>'CUOTA LICITADA'!G60</f>
        <v>0</v>
      </c>
      <c r="J159" s="20">
        <f>'CUOTA LICITADA'!H60</f>
        <v>3.2069399999999998E-2</v>
      </c>
      <c r="K159" s="20">
        <f>'CUOTA LICITADA'!I60</f>
        <v>0</v>
      </c>
      <c r="L159" s="20">
        <f>'CUOTA LICITADA'!J60</f>
        <v>3.2069399999999998E-2</v>
      </c>
      <c r="M159" s="28">
        <f>'CUOTA LICITADA'!K60</f>
        <v>0</v>
      </c>
      <c r="N159" s="21" t="s">
        <v>92</v>
      </c>
      <c r="O159" s="21">
        <f>'RESUMEN '!$B$3</f>
        <v>44599</v>
      </c>
      <c r="P159" s="19">
        <v>2021</v>
      </c>
      <c r="Q159" s="19"/>
    </row>
    <row r="160" spans="1:17" x14ac:dyDescent="0.2">
      <c r="A160" s="19" t="s">
        <v>48</v>
      </c>
      <c r="B160" s="19" t="s">
        <v>82</v>
      </c>
      <c r="C160" s="19" t="s">
        <v>62</v>
      </c>
      <c r="D160" s="19" t="s">
        <v>97</v>
      </c>
      <c r="E160" s="19" t="str">
        <f>'CUOTA LICITADA'!C59</f>
        <v>ZUÑIGA ROMERO GONZALO</v>
      </c>
      <c r="F160" s="19" t="s">
        <v>89</v>
      </c>
      <c r="G160" s="19" t="s">
        <v>88</v>
      </c>
      <c r="H160" s="20">
        <f>'CUOTA LICITADA'!L59</f>
        <v>3.2069399999999998E-2</v>
      </c>
      <c r="I160" s="20">
        <f>'CUOTA LICITADA'!M59</f>
        <v>0</v>
      </c>
      <c r="J160" s="20">
        <f>'CUOTA LICITADA'!N59</f>
        <v>3.2069399999999998E-2</v>
      </c>
      <c r="K160" s="20">
        <f>'CUOTA LICITADA'!O59</f>
        <v>0</v>
      </c>
      <c r="L160" s="20">
        <f>'CUOTA LICITADA'!P59</f>
        <v>3.2069399999999998E-2</v>
      </c>
      <c r="M160" s="28">
        <f>'CUOTA LICITADA'!Q59</f>
        <v>0</v>
      </c>
      <c r="N160" s="21" t="s">
        <v>92</v>
      </c>
      <c r="O160" s="21">
        <f>'RESUMEN '!$B$3</f>
        <v>44599</v>
      </c>
      <c r="P160" s="19">
        <v>2021</v>
      </c>
      <c r="Q160" s="19"/>
    </row>
    <row r="161" spans="1:17" x14ac:dyDescent="0.2">
      <c r="A161" s="19" t="s">
        <v>48</v>
      </c>
      <c r="B161" s="19" t="s">
        <v>82</v>
      </c>
      <c r="C161" s="19" t="s">
        <v>62</v>
      </c>
      <c r="D161" s="19" t="s">
        <v>97</v>
      </c>
      <c r="E161" s="19" t="str">
        <f>'CUOTA LICITADA'!C61</f>
        <v>PACIFICBLU SPA.</v>
      </c>
      <c r="F161" s="19" t="s">
        <v>85</v>
      </c>
      <c r="G161" s="19" t="s">
        <v>86</v>
      </c>
      <c r="H161" s="20">
        <f>'CUOTA LICITADA'!F61</f>
        <v>158.51907303000002</v>
      </c>
      <c r="I161" s="20">
        <f>'CUOTA LICITADA'!G61</f>
        <v>-150.02614</v>
      </c>
      <c r="J161" s="20">
        <f>'CUOTA LICITADA'!H61</f>
        <v>8.4929330300000174</v>
      </c>
      <c r="K161" s="20">
        <f>'CUOTA LICITADA'!I61</f>
        <v>14.948</v>
      </c>
      <c r="L161" s="20">
        <f>'CUOTA LICITADA'!J61</f>
        <v>-6.455066969999983</v>
      </c>
      <c r="M161" s="28">
        <f>'CUOTA LICITADA'!K61</f>
        <v>1.7600515566528574</v>
      </c>
      <c r="N161" s="21" t="s">
        <v>92</v>
      </c>
      <c r="O161" s="21">
        <f>'RESUMEN '!$B$3</f>
        <v>44599</v>
      </c>
      <c r="P161" s="19">
        <v>2021</v>
      </c>
      <c r="Q161" s="19"/>
    </row>
    <row r="162" spans="1:17" x14ac:dyDescent="0.2">
      <c r="A162" s="19" t="s">
        <v>48</v>
      </c>
      <c r="B162" s="19" t="s">
        <v>82</v>
      </c>
      <c r="C162" s="19" t="s">
        <v>62</v>
      </c>
      <c r="D162" s="19" t="s">
        <v>97</v>
      </c>
      <c r="E162" s="19" t="str">
        <f>'CUOTA LICITADA'!C61</f>
        <v>PACIFICBLU SPA.</v>
      </c>
      <c r="F162" s="19" t="s">
        <v>87</v>
      </c>
      <c r="G162" s="19" t="s">
        <v>88</v>
      </c>
      <c r="H162" s="20">
        <f>'CUOTA LICITADA'!F62</f>
        <v>17.566009880000003</v>
      </c>
      <c r="I162" s="20">
        <f>'CUOTA LICITADA'!G62</f>
        <v>0</v>
      </c>
      <c r="J162" s="20">
        <f>'CUOTA LICITADA'!H62</f>
        <v>11.11094291000002</v>
      </c>
      <c r="K162" s="20">
        <f>'CUOTA LICITADA'!I62</f>
        <v>2.0270000000000001</v>
      </c>
      <c r="L162" s="20">
        <f>'CUOTA LICITADA'!J62</f>
        <v>9.0839429100000189</v>
      </c>
      <c r="M162" s="28">
        <f>'CUOTA LICITADA'!K62</f>
        <v>0.18243276168538936</v>
      </c>
      <c r="N162" s="21" t="s">
        <v>92</v>
      </c>
      <c r="O162" s="21">
        <f>'RESUMEN '!$B$3</f>
        <v>44599</v>
      </c>
      <c r="P162" s="19">
        <v>2021</v>
      </c>
      <c r="Q162" s="19"/>
    </row>
    <row r="163" spans="1:17" x14ac:dyDescent="0.2">
      <c r="A163" s="19" t="s">
        <v>48</v>
      </c>
      <c r="B163" s="19" t="s">
        <v>82</v>
      </c>
      <c r="C163" s="19" t="s">
        <v>62</v>
      </c>
      <c r="D163" s="19" t="s">
        <v>97</v>
      </c>
      <c r="E163" s="19" t="str">
        <f>'CUOTA LICITADA'!C61</f>
        <v>PACIFICBLU SPA.</v>
      </c>
      <c r="F163" s="19" t="s">
        <v>89</v>
      </c>
      <c r="G163" s="19" t="s">
        <v>88</v>
      </c>
      <c r="H163" s="20">
        <f>'CUOTA LICITADA'!L61</f>
        <v>176.08508291000001</v>
      </c>
      <c r="I163" s="20">
        <f>'CUOTA LICITADA'!M61</f>
        <v>-150.02614</v>
      </c>
      <c r="J163" s="20">
        <f>'CUOTA LICITADA'!N61</f>
        <v>26.058942910000013</v>
      </c>
      <c r="K163" s="20">
        <f>'CUOTA LICITADA'!O61</f>
        <v>16.975000000000001</v>
      </c>
      <c r="L163" s="20">
        <f>'CUOTA LICITADA'!P61</f>
        <v>9.0839429100000118</v>
      </c>
      <c r="M163" s="28">
        <f>'CUOTA LICITADA'!Q61</f>
        <v>0.65140785098715248</v>
      </c>
      <c r="N163" s="21" t="s">
        <v>92</v>
      </c>
      <c r="O163" s="21">
        <f>'RESUMEN '!$B$3</f>
        <v>44599</v>
      </c>
      <c r="P163" s="19">
        <v>2021</v>
      </c>
      <c r="Q163" s="19"/>
    </row>
    <row r="164" spans="1:17" x14ac:dyDescent="0.2">
      <c r="A164" s="19" t="s">
        <v>48</v>
      </c>
      <c r="B164" s="19" t="s">
        <v>82</v>
      </c>
      <c r="C164" s="19" t="s">
        <v>62</v>
      </c>
      <c r="D164" s="19" t="s">
        <v>97</v>
      </c>
      <c r="E164" s="19" t="str">
        <f>'CUOTA LICITADA'!C63</f>
        <v>DA VENEZIA RETAMALES ANTONIO</v>
      </c>
      <c r="F164" s="19" t="s">
        <v>85</v>
      </c>
      <c r="G164" s="19" t="s">
        <v>86</v>
      </c>
      <c r="H164" s="20">
        <f>'CUOTA LICITADA'!F63</f>
        <v>2.2491900000000002E-2</v>
      </c>
      <c r="I164" s="20">
        <f>'CUOTA LICITADA'!G63</f>
        <v>0</v>
      </c>
      <c r="J164" s="20">
        <f>'CUOTA LICITADA'!H63</f>
        <v>2.2491900000000002E-2</v>
      </c>
      <c r="K164" s="20">
        <f>'CUOTA LICITADA'!I63</f>
        <v>0</v>
      </c>
      <c r="L164" s="20">
        <f>'CUOTA LICITADA'!J63</f>
        <v>2.2491900000000002E-2</v>
      </c>
      <c r="M164" s="28">
        <f>'CUOTA LICITADA'!K63</f>
        <v>0</v>
      </c>
      <c r="N164" s="21" t="s">
        <v>92</v>
      </c>
      <c r="O164" s="21">
        <f>'RESUMEN '!$B$3</f>
        <v>44599</v>
      </c>
      <c r="P164" s="19">
        <v>2021</v>
      </c>
      <c r="Q164" s="19"/>
    </row>
    <row r="165" spans="1:17" x14ac:dyDescent="0.2">
      <c r="A165" s="19" t="s">
        <v>48</v>
      </c>
      <c r="B165" s="19" t="s">
        <v>82</v>
      </c>
      <c r="C165" s="19" t="s">
        <v>62</v>
      </c>
      <c r="D165" s="19" t="s">
        <v>97</v>
      </c>
      <c r="E165" s="19" t="str">
        <f>'CUOTA LICITADA'!C63</f>
        <v>DA VENEZIA RETAMALES ANTONIO</v>
      </c>
      <c r="F165" s="19" t="s">
        <v>87</v>
      </c>
      <c r="G165" s="19" t="s">
        <v>88</v>
      </c>
      <c r="H165" s="20">
        <f>'CUOTA LICITADA'!F64</f>
        <v>2.4924000000000001E-3</v>
      </c>
      <c r="I165" s="20">
        <f>'CUOTA LICITADA'!G64</f>
        <v>0</v>
      </c>
      <c r="J165" s="20">
        <f>'CUOTA LICITADA'!H64</f>
        <v>2.4984300000000001E-2</v>
      </c>
      <c r="K165" s="20">
        <f>'CUOTA LICITADA'!I64</f>
        <v>0</v>
      </c>
      <c r="L165" s="20">
        <f>'CUOTA LICITADA'!J64</f>
        <v>2.4984300000000001E-2</v>
      </c>
      <c r="M165" s="28">
        <f>'CUOTA LICITADA'!K64</f>
        <v>0</v>
      </c>
      <c r="N165" s="21" t="s">
        <v>92</v>
      </c>
      <c r="O165" s="21">
        <f>'RESUMEN '!$B$3</f>
        <v>44599</v>
      </c>
      <c r="P165" s="19">
        <v>2021</v>
      </c>
      <c r="Q165" s="19"/>
    </row>
    <row r="166" spans="1:17" x14ac:dyDescent="0.2">
      <c r="A166" s="19" t="s">
        <v>48</v>
      </c>
      <c r="B166" s="19" t="s">
        <v>82</v>
      </c>
      <c r="C166" s="19" t="s">
        <v>62</v>
      </c>
      <c r="D166" s="19" t="s">
        <v>97</v>
      </c>
      <c r="E166" s="19" t="str">
        <f>'CUOTA LICITADA'!C63</f>
        <v>DA VENEZIA RETAMALES ANTONIO</v>
      </c>
      <c r="F166" s="19" t="s">
        <v>89</v>
      </c>
      <c r="G166" s="19" t="s">
        <v>88</v>
      </c>
      <c r="H166" s="20">
        <f>'CUOTA LICITADA'!L63</f>
        <v>2.4984300000000001E-2</v>
      </c>
      <c r="I166" s="20">
        <f>'CUOTA LICITADA'!M63</f>
        <v>0</v>
      </c>
      <c r="J166" s="20">
        <f>'CUOTA LICITADA'!N63</f>
        <v>2.4984300000000001E-2</v>
      </c>
      <c r="K166" s="20">
        <f>'CUOTA LICITADA'!O63</f>
        <v>0</v>
      </c>
      <c r="L166" s="20">
        <f>'CUOTA LICITADA'!P63</f>
        <v>2.4984300000000001E-2</v>
      </c>
      <c r="M166" s="28">
        <f>'CUOTA LICITADA'!Q63</f>
        <v>0</v>
      </c>
      <c r="N166" s="21" t="s">
        <v>92</v>
      </c>
      <c r="O166" s="21">
        <f>'RESUMEN '!$B$3</f>
        <v>44599</v>
      </c>
      <c r="P166" s="19">
        <v>2021</v>
      </c>
      <c r="Q166" s="19"/>
    </row>
    <row r="167" spans="1:17" x14ac:dyDescent="0.2">
      <c r="A167" s="19" t="s">
        <v>48</v>
      </c>
      <c r="B167" s="19" t="s">
        <v>82</v>
      </c>
      <c r="C167" s="19" t="s">
        <v>62</v>
      </c>
      <c r="D167" s="19" t="s">
        <v>97</v>
      </c>
      <c r="E167" s="19" t="str">
        <f>'CUOTA LICITADA'!C65</f>
        <v>ENFERMAR LTDA. SOC. PESQ.</v>
      </c>
      <c r="F167" s="19" t="s">
        <v>85</v>
      </c>
      <c r="G167" s="19" t="s">
        <v>86</v>
      </c>
      <c r="H167" s="20">
        <f>'CUOTA LICITADA'!F65</f>
        <v>3.98929095</v>
      </c>
      <c r="I167" s="20">
        <f>'CUOTA LICITADA'!G65</f>
        <v>0</v>
      </c>
      <c r="J167" s="20">
        <f>'CUOTA LICITADA'!H65</f>
        <v>3.98929095</v>
      </c>
      <c r="K167" s="20">
        <f>'CUOTA LICITADA'!I65</f>
        <v>0</v>
      </c>
      <c r="L167" s="20">
        <f>'CUOTA LICITADA'!J65</f>
        <v>3.98929095</v>
      </c>
      <c r="M167" s="28">
        <f>'CUOTA LICITADA'!K65</f>
        <v>0</v>
      </c>
      <c r="N167" s="21" t="s">
        <v>92</v>
      </c>
      <c r="O167" s="21">
        <f>'RESUMEN '!$B$3</f>
        <v>44599</v>
      </c>
      <c r="P167" s="19">
        <v>2021</v>
      </c>
      <c r="Q167" s="19"/>
    </row>
    <row r="168" spans="1:17" x14ac:dyDescent="0.2">
      <c r="A168" s="19" t="s">
        <v>48</v>
      </c>
      <c r="B168" s="19" t="s">
        <v>82</v>
      </c>
      <c r="C168" s="19" t="s">
        <v>62</v>
      </c>
      <c r="D168" s="19" t="s">
        <v>97</v>
      </c>
      <c r="E168" s="19" t="str">
        <f>'CUOTA LICITADA'!C65</f>
        <v>ENFERMAR LTDA. SOC. PESQ.</v>
      </c>
      <c r="F168" s="19" t="s">
        <v>87</v>
      </c>
      <c r="G168" s="19" t="s">
        <v>88</v>
      </c>
      <c r="H168" s="20">
        <f>'CUOTA LICITADA'!F66</f>
        <v>0.44206620000000002</v>
      </c>
      <c r="I168" s="20">
        <f>'CUOTA LICITADA'!G66</f>
        <v>0</v>
      </c>
      <c r="J168" s="20">
        <f>'CUOTA LICITADA'!H66</f>
        <v>4.4313571500000002</v>
      </c>
      <c r="K168" s="20">
        <f>'CUOTA LICITADA'!I66</f>
        <v>0</v>
      </c>
      <c r="L168" s="20">
        <f>'CUOTA LICITADA'!J66</f>
        <v>4.4313571500000002</v>
      </c>
      <c r="M168" s="28">
        <f>'CUOTA LICITADA'!K66</f>
        <v>0</v>
      </c>
      <c r="N168" s="21" t="s">
        <v>92</v>
      </c>
      <c r="O168" s="21">
        <f>'RESUMEN '!$B$3</f>
        <v>44599</v>
      </c>
      <c r="P168" s="19">
        <v>2021</v>
      </c>
      <c r="Q168" s="19"/>
    </row>
    <row r="169" spans="1:17" x14ac:dyDescent="0.2">
      <c r="A169" s="19" t="s">
        <v>48</v>
      </c>
      <c r="B169" s="19" t="s">
        <v>82</v>
      </c>
      <c r="C169" s="19" t="s">
        <v>62</v>
      </c>
      <c r="D169" s="19" t="s">
        <v>97</v>
      </c>
      <c r="E169" s="19" t="str">
        <f>'CUOTA LICITADA'!C65</f>
        <v>ENFERMAR LTDA. SOC. PESQ.</v>
      </c>
      <c r="F169" s="19" t="s">
        <v>89</v>
      </c>
      <c r="G169" s="19" t="s">
        <v>88</v>
      </c>
      <c r="H169" s="20">
        <f>'CUOTA LICITADA'!L65</f>
        <v>4.4313571500000002</v>
      </c>
      <c r="I169" s="20">
        <f>'CUOTA LICITADA'!M65</f>
        <v>0</v>
      </c>
      <c r="J169" s="20">
        <f>'CUOTA LICITADA'!N65</f>
        <v>4.4313571500000002</v>
      </c>
      <c r="K169" s="20">
        <f>'CUOTA LICITADA'!O65</f>
        <v>0</v>
      </c>
      <c r="L169" s="20">
        <f>'CUOTA LICITADA'!P65</f>
        <v>4.4313571500000002</v>
      </c>
      <c r="M169" s="28">
        <f>'CUOTA LICITADA'!Q65</f>
        <v>0</v>
      </c>
      <c r="N169" s="21" t="s">
        <v>92</v>
      </c>
      <c r="O169" s="21">
        <f>'RESUMEN '!$B$3</f>
        <v>44599</v>
      </c>
      <c r="P169" s="19">
        <v>2021</v>
      </c>
      <c r="Q169" s="19"/>
    </row>
    <row r="170" spans="1:17" x14ac:dyDescent="0.2">
      <c r="A170" s="19" t="s">
        <v>48</v>
      </c>
      <c r="B170" s="19" t="s">
        <v>82</v>
      </c>
      <c r="C170" s="19" t="s">
        <v>62</v>
      </c>
      <c r="D170" s="19" t="s">
        <v>97</v>
      </c>
      <c r="E170" s="19" t="str">
        <f>'CUOTA LICITADA'!C71</f>
        <v>COMERCIALIZADORA SIMON SEAFOOD LTDA.</v>
      </c>
      <c r="F170" s="19" t="s">
        <v>85</v>
      </c>
      <c r="G170" s="19" t="s">
        <v>86</v>
      </c>
      <c r="H170" s="20">
        <f>'CUOTA LICITADA'!F71</f>
        <v>0.50131199999999998</v>
      </c>
      <c r="I170" s="20">
        <f>'CUOTA LICITADA'!G71</f>
        <v>0</v>
      </c>
      <c r="J170" s="20">
        <f>'CUOTA LICITADA'!H71</f>
        <v>0.50131199999999998</v>
      </c>
      <c r="K170" s="20">
        <f>'CUOTA LICITADA'!I71</f>
        <v>0</v>
      </c>
      <c r="L170" s="20">
        <f>'CUOTA LICITADA'!J71</f>
        <v>0.50131199999999998</v>
      </c>
      <c r="M170" s="28">
        <f>'CUOTA LICITADA'!K71</f>
        <v>0</v>
      </c>
      <c r="N170" s="21" t="s">
        <v>92</v>
      </c>
      <c r="O170" s="21">
        <f>'RESUMEN '!$B$3</f>
        <v>44599</v>
      </c>
      <c r="P170" s="19">
        <v>2021</v>
      </c>
      <c r="Q170" s="19"/>
    </row>
    <row r="171" spans="1:17" x14ac:dyDescent="0.2">
      <c r="A171" s="19" t="s">
        <v>48</v>
      </c>
      <c r="B171" s="19" t="s">
        <v>82</v>
      </c>
      <c r="C171" s="19" t="s">
        <v>62</v>
      </c>
      <c r="D171" s="19" t="s">
        <v>97</v>
      </c>
      <c r="E171" s="19" t="str">
        <f>'CUOTA LICITADA'!C71</f>
        <v>COMERCIALIZADORA SIMON SEAFOOD LTDA.</v>
      </c>
      <c r="F171" s="19" t="s">
        <v>87</v>
      </c>
      <c r="G171" s="19" t="s">
        <v>88</v>
      </c>
      <c r="H171" s="20">
        <f>'CUOTA LICITADA'!F72</f>
        <v>5.5551999999999997E-2</v>
      </c>
      <c r="I171" s="20">
        <f>'CUOTA LICITADA'!G72</f>
        <v>0</v>
      </c>
      <c r="J171" s="20">
        <f>'CUOTA LICITADA'!H72</f>
        <v>0.55686400000000003</v>
      </c>
      <c r="K171" s="20">
        <f>'CUOTA LICITADA'!I72</f>
        <v>0</v>
      </c>
      <c r="L171" s="20">
        <f>'CUOTA LICITADA'!J72</f>
        <v>0.55686400000000003</v>
      </c>
      <c r="M171" s="28">
        <f>'CUOTA LICITADA'!K72</f>
        <v>0</v>
      </c>
      <c r="N171" s="21" t="s">
        <v>92</v>
      </c>
      <c r="O171" s="21">
        <f>'RESUMEN '!$B$3</f>
        <v>44599</v>
      </c>
      <c r="P171" s="19">
        <v>2021</v>
      </c>
      <c r="Q171" s="19"/>
    </row>
    <row r="172" spans="1:17" x14ac:dyDescent="0.2">
      <c r="A172" s="19" t="s">
        <v>48</v>
      </c>
      <c r="B172" s="19" t="s">
        <v>82</v>
      </c>
      <c r="C172" s="19" t="s">
        <v>62</v>
      </c>
      <c r="D172" s="19" t="s">
        <v>97</v>
      </c>
      <c r="E172" s="19" t="str">
        <f>'CUOTA LICITADA'!C71</f>
        <v>COMERCIALIZADORA SIMON SEAFOOD LTDA.</v>
      </c>
      <c r="F172" s="19" t="s">
        <v>89</v>
      </c>
      <c r="G172" s="19" t="s">
        <v>88</v>
      </c>
      <c r="H172" s="20">
        <f>'CUOTA LICITADA'!L71</f>
        <v>0.55686400000000003</v>
      </c>
      <c r="I172" s="20">
        <f>'CUOTA LICITADA'!M71</f>
        <v>0</v>
      </c>
      <c r="J172" s="20">
        <f>'CUOTA LICITADA'!N71</f>
        <v>0.55686400000000003</v>
      </c>
      <c r="K172" s="20">
        <f>'CUOTA LICITADA'!O71</f>
        <v>0</v>
      </c>
      <c r="L172" s="20">
        <f>'CUOTA LICITADA'!P71</f>
        <v>0.55686400000000003</v>
      </c>
      <c r="M172" s="28">
        <f>'CUOTA LICITADA'!Q71</f>
        <v>0</v>
      </c>
      <c r="N172" s="21" t="s">
        <v>92</v>
      </c>
      <c r="O172" s="21">
        <f>'RESUMEN '!$B$3</f>
        <v>44599</v>
      </c>
      <c r="P172" s="19">
        <v>2021</v>
      </c>
      <c r="Q172" s="19"/>
    </row>
    <row r="173" spans="1:17" x14ac:dyDescent="0.2">
      <c r="A173" s="19" t="s">
        <v>48</v>
      </c>
      <c r="B173" s="19" t="s">
        <v>82</v>
      </c>
      <c r="C173" s="19" t="s">
        <v>62</v>
      </c>
      <c r="D173" s="19" t="s">
        <v>97</v>
      </c>
      <c r="E173" s="19" t="str">
        <f>'CUOTA LICITADA'!C67</f>
        <v>RUBIO Y MAUAD LTDA.</v>
      </c>
      <c r="F173" s="19" t="s">
        <v>85</v>
      </c>
      <c r="G173" s="19" t="s">
        <v>86</v>
      </c>
      <c r="H173" s="20">
        <f>'CUOTA LICITADA'!F67</f>
        <v>61.842989699999997</v>
      </c>
      <c r="I173" s="20">
        <f>'CUOTA LICITADA'!G67</f>
        <v>-68.695999999999998</v>
      </c>
      <c r="J173" s="20">
        <f>'CUOTA LICITADA'!H67</f>
        <v>-6.8530103000000011</v>
      </c>
      <c r="K173" s="20">
        <f>'CUOTA LICITADA'!I67</f>
        <v>0</v>
      </c>
      <c r="L173" s="20">
        <f>'CUOTA LICITADA'!J67</f>
        <v>-6.8530103000000011</v>
      </c>
      <c r="M173" s="28">
        <f>'CUOTA LICITADA'!K67</f>
        <v>0</v>
      </c>
      <c r="N173" s="21" t="s">
        <v>92</v>
      </c>
      <c r="O173" s="21">
        <f>'RESUMEN '!$B$3</f>
        <v>44599</v>
      </c>
      <c r="P173" s="19">
        <v>2021</v>
      </c>
      <c r="Q173" s="19"/>
    </row>
    <row r="174" spans="1:17" x14ac:dyDescent="0.2">
      <c r="A174" s="19" t="s">
        <v>48</v>
      </c>
      <c r="B174" s="19" t="s">
        <v>82</v>
      </c>
      <c r="C174" s="19" t="s">
        <v>62</v>
      </c>
      <c r="D174" s="19" t="s">
        <v>97</v>
      </c>
      <c r="E174" s="19" t="str">
        <f>'CUOTA LICITADA'!C67</f>
        <v>RUBIO Y MAUAD LTDA.</v>
      </c>
      <c r="F174" s="19" t="s">
        <v>87</v>
      </c>
      <c r="G174" s="19" t="s">
        <v>88</v>
      </c>
      <c r="H174" s="20">
        <f>'CUOTA LICITADA'!F68</f>
        <v>6.8530211999999997</v>
      </c>
      <c r="I174" s="20">
        <f>'CUOTA LICITADA'!G68</f>
        <v>0</v>
      </c>
      <c r="J174" s="20">
        <f>'CUOTA LICITADA'!H68</f>
        <v>1.0899999998592591E-5</v>
      </c>
      <c r="K174" s="20">
        <f>'CUOTA LICITADA'!I68</f>
        <v>0</v>
      </c>
      <c r="L174" s="20">
        <f>'CUOTA LICITADA'!J68</f>
        <v>1.0899999998592591E-5</v>
      </c>
      <c r="M174" s="28">
        <f>'CUOTA LICITADA'!K68</f>
        <v>0</v>
      </c>
      <c r="N174" s="21" t="s">
        <v>92</v>
      </c>
      <c r="O174" s="21">
        <f>'RESUMEN '!$B$3</f>
        <v>44599</v>
      </c>
      <c r="P174" s="19">
        <v>2021</v>
      </c>
      <c r="Q174" s="19"/>
    </row>
    <row r="175" spans="1:17" x14ac:dyDescent="0.2">
      <c r="A175" s="19" t="s">
        <v>48</v>
      </c>
      <c r="B175" s="19" t="s">
        <v>82</v>
      </c>
      <c r="C175" s="19" t="s">
        <v>62</v>
      </c>
      <c r="D175" s="19" t="s">
        <v>97</v>
      </c>
      <c r="E175" s="19" t="str">
        <f>'CUOTA LICITADA'!C67</f>
        <v>RUBIO Y MAUAD LTDA.</v>
      </c>
      <c r="F175" s="19" t="s">
        <v>89</v>
      </c>
      <c r="G175" s="19" t="s">
        <v>88</v>
      </c>
      <c r="H175" s="20">
        <f>'CUOTA LICITADA'!L67</f>
        <v>68.69601089999999</v>
      </c>
      <c r="I175" s="20">
        <f>'CUOTA LICITADA'!M67</f>
        <v>-68.695999999999998</v>
      </c>
      <c r="J175" s="20">
        <f>'CUOTA LICITADA'!N67</f>
        <v>1.0899999992375342E-5</v>
      </c>
      <c r="K175" s="20">
        <f>'CUOTA LICITADA'!O67</f>
        <v>0</v>
      </c>
      <c r="L175" s="20">
        <f>'CUOTA LICITADA'!P67</f>
        <v>1.0899999992375342E-5</v>
      </c>
      <c r="M175" s="28">
        <f>'CUOTA LICITADA'!Q67</f>
        <v>0</v>
      </c>
      <c r="N175" s="21" t="s">
        <v>92</v>
      </c>
      <c r="O175" s="21">
        <f>'RESUMEN '!$B$3</f>
        <v>44599</v>
      </c>
      <c r="P175" s="19">
        <v>2021</v>
      </c>
      <c r="Q175" s="19"/>
    </row>
    <row r="176" spans="1:17" x14ac:dyDescent="0.2">
      <c r="A176" s="24" t="s">
        <v>48</v>
      </c>
      <c r="B176" s="24" t="s">
        <v>82</v>
      </c>
      <c r="C176" s="24" t="s">
        <v>98</v>
      </c>
      <c r="D176" s="24" t="s">
        <v>99</v>
      </c>
      <c r="E176" s="24" t="s">
        <v>100</v>
      </c>
      <c r="F176" s="24" t="s">
        <v>89</v>
      </c>
      <c r="G176" s="24" t="s">
        <v>88</v>
      </c>
      <c r="H176" s="25">
        <f>'CUOTA LICITADA'!F77</f>
        <v>2260.0067584169997</v>
      </c>
      <c r="I176" s="25">
        <f>'CUOTA LICITADA'!G77</f>
        <v>-1.7290000005942829E-4</v>
      </c>
      <c r="J176" s="25">
        <f>'CUOTA LICITADA'!H77</f>
        <v>2260.0065855169996</v>
      </c>
      <c r="K176" s="25">
        <f>'CUOTA LICITADA'!I77</f>
        <v>2013.3310000000001</v>
      </c>
      <c r="L176" s="25">
        <f>'CUOTA LICITADA'!J77</f>
        <v>246.67558551699949</v>
      </c>
      <c r="M176" s="29">
        <f>'CUOTA LICITADA'!K77</f>
        <v>0.89085182888501635</v>
      </c>
      <c r="N176" s="26" t="s">
        <v>92</v>
      </c>
      <c r="O176" s="26">
        <f>'RESUMEN '!$B$3</f>
        <v>44599</v>
      </c>
      <c r="P176" s="19">
        <v>2021</v>
      </c>
      <c r="Q176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M1" workbookViewId="0">
      <selection activeCell="Q31" sqref="Q31"/>
    </sheetView>
  </sheetViews>
  <sheetFormatPr baseColWidth="10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15.140625" bestFit="1" customWidth="1"/>
    <col min="17" max="17" width="28.5703125" bestFit="1" customWidth="1"/>
  </cols>
  <sheetData>
    <row r="1" spans="1:22" ht="15.75" thickBot="1" x14ac:dyDescent="0.3">
      <c r="C1" t="s">
        <v>125</v>
      </c>
      <c r="D1" t="s">
        <v>126</v>
      </c>
      <c r="E1" t="s">
        <v>127</v>
      </c>
      <c r="F1" t="s">
        <v>128</v>
      </c>
      <c r="G1">
        <v>98</v>
      </c>
    </row>
    <row r="2" spans="1:22" x14ac:dyDescent="0.25">
      <c r="A2" s="272" t="s">
        <v>50</v>
      </c>
      <c r="B2" s="258" t="s">
        <v>24</v>
      </c>
      <c r="C2" s="258">
        <v>0.33248030000000001</v>
      </c>
      <c r="D2" s="258">
        <f>0.00975+0.00975+0.002+0.01425</f>
        <v>3.5749999999999997E-2</v>
      </c>
      <c r="E2" s="258">
        <f>C2+D2</f>
        <v>0.36823030000000001</v>
      </c>
      <c r="F2" s="258">
        <f>E2*$G$1</f>
        <v>36.086569400000002</v>
      </c>
      <c r="G2" s="258">
        <v>36.086570000000002</v>
      </c>
      <c r="H2" s="319">
        <f>F2-G2</f>
        <v>-5.999999999062311E-7</v>
      </c>
      <c r="K2" s="136" t="s">
        <v>131</v>
      </c>
      <c r="L2" s="137">
        <v>2022</v>
      </c>
      <c r="N2" s="142" t="s">
        <v>18</v>
      </c>
      <c r="O2" s="143" t="s">
        <v>61</v>
      </c>
      <c r="P2" s="143" t="s">
        <v>62</v>
      </c>
      <c r="Q2" s="144" t="s">
        <v>60</v>
      </c>
      <c r="S2" s="142" t="s">
        <v>18</v>
      </c>
      <c r="T2" s="143" t="s">
        <v>83</v>
      </c>
      <c r="U2" s="143" t="s">
        <v>90</v>
      </c>
      <c r="V2" s="144" t="s">
        <v>60</v>
      </c>
    </row>
    <row r="3" spans="1:22" ht="15.75" thickBot="1" x14ac:dyDescent="0.3">
      <c r="A3" s="273"/>
      <c r="B3" s="257"/>
      <c r="C3" s="257"/>
      <c r="D3" s="257"/>
      <c r="E3" s="257"/>
      <c r="F3" s="257"/>
      <c r="G3" s="257"/>
      <c r="H3" s="320"/>
      <c r="K3" s="138" t="s">
        <v>132</v>
      </c>
      <c r="L3" s="139">
        <v>20.604255900000002</v>
      </c>
      <c r="N3" s="145" t="s">
        <v>52</v>
      </c>
      <c r="O3" s="146">
        <v>915</v>
      </c>
      <c r="P3" s="146">
        <v>1119</v>
      </c>
      <c r="Q3" s="147">
        <v>2034</v>
      </c>
      <c r="S3" s="145" t="s">
        <v>52</v>
      </c>
      <c r="T3" s="146">
        <v>90</v>
      </c>
      <c r="U3" s="146">
        <v>796</v>
      </c>
      <c r="V3" s="147">
        <f>SUM(T3:U3)</f>
        <v>886</v>
      </c>
    </row>
    <row r="4" spans="1:22" x14ac:dyDescent="0.25">
      <c r="A4" s="273"/>
      <c r="B4" s="257" t="s">
        <v>25</v>
      </c>
      <c r="C4" s="257">
        <f>0.0239553+0.0058632+0.0026566+0.027652</f>
        <v>6.0127100000000003E-2</v>
      </c>
      <c r="D4" s="257">
        <f>0.00645</f>
        <v>6.45E-3</v>
      </c>
      <c r="E4" s="258">
        <f>C4+D4</f>
        <v>6.65771E-2</v>
      </c>
      <c r="F4" s="258">
        <f t="shared" ref="F4" si="0">E4*$G$1</f>
        <v>6.5245557999999999</v>
      </c>
      <c r="G4" s="257">
        <v>6.5245600000000001</v>
      </c>
      <c r="H4" s="319">
        <f t="shared" ref="H4" si="1">F4-G4</f>
        <v>-4.2000000002317961E-6</v>
      </c>
      <c r="K4" s="138" t="s">
        <v>133</v>
      </c>
      <c r="L4" s="139">
        <v>3.3374200000000003</v>
      </c>
      <c r="N4" s="145" t="s">
        <v>53</v>
      </c>
      <c r="O4" s="146">
        <v>102</v>
      </c>
      <c r="P4" s="146">
        <v>124</v>
      </c>
      <c r="Q4" s="147">
        <v>226</v>
      </c>
      <c r="S4" s="145" t="s">
        <v>53</v>
      </c>
      <c r="T4" s="146">
        <v>8</v>
      </c>
      <c r="U4" s="146">
        <v>88</v>
      </c>
      <c r="V4" s="147">
        <f>SUM(T4:U4)</f>
        <v>96</v>
      </c>
    </row>
    <row r="5" spans="1:22" ht="15.75" thickBot="1" x14ac:dyDescent="0.3">
      <c r="A5" s="273"/>
      <c r="B5" s="257"/>
      <c r="C5" s="257"/>
      <c r="D5" s="257"/>
      <c r="E5" s="257"/>
      <c r="F5" s="257"/>
      <c r="G5" s="257"/>
      <c r="H5" s="320"/>
      <c r="K5" s="138" t="s">
        <v>134</v>
      </c>
      <c r="L5" s="139">
        <v>20.394539999999999</v>
      </c>
      <c r="N5" s="148" t="s">
        <v>60</v>
      </c>
      <c r="O5" s="149">
        <v>1017</v>
      </c>
      <c r="P5" s="149">
        <v>1243</v>
      </c>
      <c r="Q5" s="150">
        <v>2260</v>
      </c>
      <c r="S5" s="148" t="s">
        <v>60</v>
      </c>
      <c r="T5" s="149">
        <f>SUM(T3:T4)</f>
        <v>98</v>
      </c>
      <c r="U5" s="149">
        <f>SUM(U3:U4)</f>
        <v>884</v>
      </c>
      <c r="V5" s="150">
        <f>SUM(V3:V4)</f>
        <v>982</v>
      </c>
    </row>
    <row r="6" spans="1:22" x14ac:dyDescent="0.25">
      <c r="A6" s="273"/>
      <c r="B6" s="257" t="s">
        <v>26</v>
      </c>
      <c r="C6" s="257">
        <v>3.0000000000000001E-5</v>
      </c>
      <c r="D6" s="257"/>
      <c r="E6" s="258">
        <f t="shared" ref="E6" si="2">C6+D6</f>
        <v>3.0000000000000001E-5</v>
      </c>
      <c r="F6" s="258">
        <f t="shared" ref="F6" si="3">E6*$G$1</f>
        <v>2.9399999999999999E-3</v>
      </c>
      <c r="G6" s="257">
        <v>2.9400000000000003E-3</v>
      </c>
      <c r="H6" s="319">
        <f t="shared" ref="H6" si="4">F6-G6</f>
        <v>0</v>
      </c>
      <c r="K6" s="138" t="s">
        <v>135</v>
      </c>
      <c r="L6" s="139">
        <v>16.654620000000001</v>
      </c>
    </row>
    <row r="7" spans="1:22" ht="15.75" thickBot="1" x14ac:dyDescent="0.3">
      <c r="A7" s="273"/>
      <c r="B7" s="257"/>
      <c r="C7" s="257"/>
      <c r="D7" s="257"/>
      <c r="E7" s="257"/>
      <c r="F7" s="257"/>
      <c r="G7" s="257"/>
      <c r="H7" s="320"/>
      <c r="K7" s="138" t="s">
        <v>136</v>
      </c>
      <c r="L7" s="139">
        <v>7.59</v>
      </c>
    </row>
    <row r="8" spans="1:22" x14ac:dyDescent="0.25">
      <c r="A8" s="273"/>
      <c r="B8" s="257" t="s">
        <v>27</v>
      </c>
      <c r="C8" s="257">
        <v>0.34622619999999998</v>
      </c>
      <c r="D8" s="257">
        <f>0.00775+0.00026+0.01125+0.01425</f>
        <v>3.3509999999999998E-2</v>
      </c>
      <c r="E8" s="258">
        <f t="shared" ref="E8" si="5">C8+D8</f>
        <v>0.37973619999999997</v>
      </c>
      <c r="F8" s="258">
        <f t="shared" ref="F8" si="6">E8*$G$1</f>
        <v>37.214147599999997</v>
      </c>
      <c r="G8" s="257">
        <v>37.214149999999997</v>
      </c>
      <c r="H8" s="319">
        <f t="shared" ref="H8" si="7">F8-G8</f>
        <v>-2.3999999996249244E-6</v>
      </c>
      <c r="K8" s="138" t="s">
        <v>137</v>
      </c>
      <c r="L8" s="139">
        <v>8.0000000000000002E-3</v>
      </c>
      <c r="N8" s="316" t="s">
        <v>146</v>
      </c>
      <c r="O8" s="317"/>
      <c r="P8" s="317"/>
      <c r="Q8" s="317"/>
      <c r="R8" s="317"/>
      <c r="S8" s="317"/>
      <c r="T8" s="317"/>
      <c r="U8" s="318"/>
    </row>
    <row r="9" spans="1:22" ht="15.75" thickBot="1" x14ac:dyDescent="0.3">
      <c r="A9" s="273"/>
      <c r="B9" s="257"/>
      <c r="C9" s="257"/>
      <c r="D9" s="257"/>
      <c r="E9" s="257"/>
      <c r="F9" s="257"/>
      <c r="G9" s="257"/>
      <c r="H9" s="320"/>
      <c r="K9" s="138" t="s">
        <v>138</v>
      </c>
      <c r="L9" s="140">
        <v>0.26877200000000001</v>
      </c>
      <c r="N9" s="151" t="s">
        <v>147</v>
      </c>
      <c r="O9" s="152" t="s">
        <v>148</v>
      </c>
      <c r="P9" s="152" t="s">
        <v>149</v>
      </c>
      <c r="Q9" s="152" t="s">
        <v>150</v>
      </c>
      <c r="R9" s="152" t="s">
        <v>151</v>
      </c>
      <c r="S9" s="152" t="s">
        <v>61</v>
      </c>
      <c r="T9" s="152" t="s">
        <v>152</v>
      </c>
      <c r="U9" s="153" t="s">
        <v>153</v>
      </c>
    </row>
    <row r="10" spans="1:22" x14ac:dyDescent="0.25">
      <c r="A10" s="273"/>
      <c r="B10" s="257" t="s">
        <v>30</v>
      </c>
      <c r="C10" s="257">
        <v>1.7310000000000001E-4</v>
      </c>
      <c r="D10" s="257"/>
      <c r="E10" s="258">
        <f t="shared" ref="E10" si="8">C10+D10</f>
        <v>1.7310000000000001E-4</v>
      </c>
      <c r="F10" s="258">
        <f t="shared" ref="F10" si="9">E10*$G$1</f>
        <v>1.6963800000000001E-2</v>
      </c>
      <c r="G10" s="257">
        <v>1.6959999999999999E-2</v>
      </c>
      <c r="H10" s="319">
        <f t="shared" ref="H10" si="10">F10-G10</f>
        <v>3.8000000000017187E-6</v>
      </c>
      <c r="K10" s="138" t="s">
        <v>139</v>
      </c>
      <c r="L10" s="140">
        <v>0.36196500000000004</v>
      </c>
      <c r="N10" s="155">
        <v>96</v>
      </c>
      <c r="O10" s="156">
        <v>44223</v>
      </c>
      <c r="P10" s="155" t="s">
        <v>154</v>
      </c>
      <c r="Q10" s="155" t="s">
        <v>155</v>
      </c>
      <c r="R10" s="158">
        <f>U10/Q5</f>
        <v>8.3600000000000008E-2</v>
      </c>
      <c r="S10" s="158">
        <f>R10*O5</f>
        <v>85.021200000000007</v>
      </c>
      <c r="T10" s="158">
        <f>R10*P5</f>
        <v>103.91480000000001</v>
      </c>
      <c r="U10" s="158">
        <v>188.93600000000001</v>
      </c>
    </row>
    <row r="11" spans="1:22" ht="15.75" thickBot="1" x14ac:dyDescent="0.3">
      <c r="A11" s="273"/>
      <c r="B11" s="257"/>
      <c r="C11" s="257"/>
      <c r="D11" s="257"/>
      <c r="E11" s="257"/>
      <c r="F11" s="257"/>
      <c r="G11" s="257"/>
      <c r="H11" s="320"/>
      <c r="K11" s="138" t="s">
        <v>140</v>
      </c>
      <c r="L11" s="139">
        <v>10.676137000000001</v>
      </c>
      <c r="N11" s="157"/>
      <c r="O11" s="157"/>
      <c r="P11" s="157"/>
      <c r="Q11" s="157"/>
      <c r="R11" s="159">
        <f>U11/V5</f>
        <v>6.7053971486761704E-2</v>
      </c>
      <c r="S11" s="159">
        <f>R11*T5</f>
        <v>6.5712892057026471</v>
      </c>
      <c r="T11" s="159">
        <f>R11*U5</f>
        <v>59.275710794297346</v>
      </c>
      <c r="U11" s="159">
        <v>65.846999999999994</v>
      </c>
    </row>
    <row r="12" spans="1:22" x14ac:dyDescent="0.25">
      <c r="A12" s="273"/>
      <c r="B12" s="257" t="s">
        <v>31</v>
      </c>
      <c r="C12" s="257">
        <f>0.0438706+0.022+0.0216617</f>
        <v>8.7532300000000007E-2</v>
      </c>
      <c r="D12" s="257">
        <f>0.00225+0.009+0.00705</f>
        <v>1.83E-2</v>
      </c>
      <c r="E12" s="258">
        <f t="shared" ref="E12" si="11">C12+D12</f>
        <v>0.1058323</v>
      </c>
      <c r="F12" s="258">
        <f t="shared" ref="F12" si="12">E12*$G$1</f>
        <v>10.3715654</v>
      </c>
      <c r="G12" s="257">
        <v>10.371550000000001</v>
      </c>
      <c r="H12" s="319">
        <f t="shared" ref="H12" si="13">F12-G12</f>
        <v>1.5399999998777503E-5</v>
      </c>
      <c r="K12" s="138" t="s">
        <v>141</v>
      </c>
      <c r="L12" s="140">
        <v>2.0100000000000001E-3</v>
      </c>
      <c r="N12" s="157">
        <v>120</v>
      </c>
      <c r="O12" s="157"/>
      <c r="P12" s="157" t="s">
        <v>171</v>
      </c>
      <c r="Q12" s="157" t="s">
        <v>172</v>
      </c>
      <c r="R12" s="157">
        <f>U12/Q5</f>
        <v>5.5266299999999997E-2</v>
      </c>
      <c r="S12" s="157">
        <f>R12*O5</f>
        <v>56.2058271</v>
      </c>
      <c r="T12" s="157">
        <f>R12*P5</f>
        <v>68.69601089999999</v>
      </c>
      <c r="U12" s="157">
        <v>124.901838</v>
      </c>
    </row>
    <row r="13" spans="1:22" ht="15.75" thickBot="1" x14ac:dyDescent="0.3">
      <c r="A13" s="273"/>
      <c r="B13" s="257"/>
      <c r="C13" s="257"/>
      <c r="D13" s="257"/>
      <c r="E13" s="257"/>
      <c r="F13" s="257"/>
      <c r="G13" s="257"/>
      <c r="H13" s="320"/>
      <c r="K13" s="138" t="s">
        <v>142</v>
      </c>
      <c r="L13" s="140">
        <v>0.1</v>
      </c>
      <c r="N13" s="157">
        <v>953</v>
      </c>
      <c r="O13" s="157"/>
      <c r="P13" s="157" t="s">
        <v>154</v>
      </c>
      <c r="Q13" s="157" t="s">
        <v>155</v>
      </c>
      <c r="R13" s="157">
        <f>U13/Q5</f>
        <v>3.7096814159292037E-2</v>
      </c>
      <c r="S13" s="157">
        <f>R13*O5</f>
        <v>37.727460000000001</v>
      </c>
      <c r="T13" s="157">
        <f>R13*P5</f>
        <v>46.111339999999998</v>
      </c>
      <c r="U13" s="157">
        <v>83.838800000000006</v>
      </c>
    </row>
    <row r="14" spans="1:22" x14ac:dyDescent="0.25">
      <c r="A14" s="273"/>
      <c r="B14" s="257" t="s">
        <v>49</v>
      </c>
      <c r="C14" s="257">
        <v>1.0009999999999999E-4</v>
      </c>
      <c r="D14" s="257"/>
      <c r="E14" s="258">
        <f t="shared" ref="E14" si="14">C14+D14</f>
        <v>1.0009999999999999E-4</v>
      </c>
      <c r="F14" s="258">
        <f t="shared" ref="F14" si="15">E14*$G$1</f>
        <v>9.8097999999999987E-3</v>
      </c>
      <c r="G14" s="257">
        <v>9.810000000000001E-3</v>
      </c>
      <c r="H14" s="319">
        <f t="shared" ref="H14" si="16">F14-G14</f>
        <v>-2.0000000000228169E-7</v>
      </c>
      <c r="K14" s="138" t="s">
        <v>143</v>
      </c>
      <c r="L14" s="140">
        <v>2.5799999999999998E-3</v>
      </c>
      <c r="N14" s="157">
        <v>2031</v>
      </c>
      <c r="O14" s="194">
        <v>44385</v>
      </c>
      <c r="P14" s="157" t="s">
        <v>179</v>
      </c>
      <c r="Q14" s="157" t="s">
        <v>180</v>
      </c>
      <c r="R14" s="157">
        <v>4.0000000000000002E-4</v>
      </c>
      <c r="S14" s="157">
        <f>R14*T5</f>
        <v>3.9199999999999999E-2</v>
      </c>
      <c r="T14" s="157">
        <f>R14*U5</f>
        <v>0.35360000000000003</v>
      </c>
      <c r="U14" s="157">
        <f>S14+T14</f>
        <v>0.39280000000000004</v>
      </c>
    </row>
    <row r="15" spans="1:22" ht="15.75" thickBot="1" x14ac:dyDescent="0.3">
      <c r="A15" s="273"/>
      <c r="B15" s="257"/>
      <c r="C15" s="257"/>
      <c r="D15" s="257"/>
      <c r="E15" s="257"/>
      <c r="F15" s="257"/>
      <c r="G15" s="257"/>
      <c r="H15" s="320"/>
      <c r="K15" s="138"/>
      <c r="L15" s="140"/>
      <c r="N15" s="157"/>
      <c r="O15" s="157"/>
      <c r="P15" s="157"/>
      <c r="Q15" s="157"/>
      <c r="R15" s="157"/>
      <c r="S15" s="157"/>
      <c r="T15" s="157"/>
      <c r="U15" s="157"/>
    </row>
    <row r="16" spans="1:22" x14ac:dyDescent="0.25">
      <c r="A16" s="273"/>
      <c r="B16" s="257" t="s">
        <v>34</v>
      </c>
      <c r="C16" s="257">
        <v>2.0100000000000001E-5</v>
      </c>
      <c r="D16" s="257"/>
      <c r="E16" s="258">
        <f t="shared" ref="E16" si="17">C16+D16</f>
        <v>2.0100000000000001E-5</v>
      </c>
      <c r="F16" s="258">
        <f t="shared" ref="F16" si="18">E16*$G$1</f>
        <v>1.9697999999999998E-3</v>
      </c>
      <c r="G16" s="257">
        <v>1.97E-3</v>
      </c>
      <c r="H16" s="319">
        <f t="shared" ref="H16" si="19">F16-G16</f>
        <v>-2.0000000000011328E-7</v>
      </c>
      <c r="K16" s="138"/>
      <c r="L16" s="139"/>
      <c r="N16" s="157"/>
      <c r="O16" s="157"/>
      <c r="P16" s="157"/>
      <c r="Q16" s="157"/>
      <c r="R16" s="157"/>
      <c r="S16" s="157"/>
      <c r="T16" s="157"/>
      <c r="U16" s="157"/>
    </row>
    <row r="17" spans="1:21" ht="15.75" thickBot="1" x14ac:dyDescent="0.3">
      <c r="A17" s="273"/>
      <c r="B17" s="257"/>
      <c r="C17" s="257"/>
      <c r="D17" s="257"/>
      <c r="E17" s="257"/>
      <c r="F17" s="257"/>
      <c r="G17" s="257"/>
      <c r="H17" s="320"/>
      <c r="K17" s="138"/>
      <c r="L17" s="139"/>
      <c r="N17" s="154"/>
      <c r="O17" s="154"/>
      <c r="P17" s="154"/>
      <c r="Q17" s="154"/>
      <c r="R17" s="154"/>
      <c r="S17" s="154"/>
      <c r="T17" s="154"/>
      <c r="U17" s="154"/>
    </row>
    <row r="18" spans="1:21" x14ac:dyDescent="0.25">
      <c r="A18" s="273"/>
      <c r="B18" s="257" t="s">
        <v>33</v>
      </c>
      <c r="C18" s="257">
        <v>6.0000000000000002E-5</v>
      </c>
      <c r="D18" s="257"/>
      <c r="E18" s="258">
        <f t="shared" ref="E18" si="20">C18+D18</f>
        <v>6.0000000000000002E-5</v>
      </c>
      <c r="F18" s="258">
        <f t="shared" ref="F18" si="21">E18*$G$1</f>
        <v>5.8799999999999998E-3</v>
      </c>
      <c r="G18" s="257">
        <v>5.8800000000000007E-3</v>
      </c>
      <c r="H18" s="319">
        <f t="shared" ref="H18" si="22">F18-G18</f>
        <v>0</v>
      </c>
      <c r="K18" s="136" t="s">
        <v>60</v>
      </c>
      <c r="L18" s="141">
        <v>80.000299899999973</v>
      </c>
    </row>
    <row r="19" spans="1:21" ht="15.75" thickBot="1" x14ac:dyDescent="0.3">
      <c r="A19" s="273"/>
      <c r="B19" s="257"/>
      <c r="C19" s="257"/>
      <c r="D19" s="257"/>
      <c r="E19" s="257"/>
      <c r="F19" s="257"/>
      <c r="G19" s="257"/>
      <c r="H19" s="320"/>
    </row>
    <row r="20" spans="1:21" x14ac:dyDescent="0.25">
      <c r="A20" s="273"/>
      <c r="B20" s="257" t="s">
        <v>38</v>
      </c>
      <c r="C20" s="257">
        <v>2.2440600000000002E-2</v>
      </c>
      <c r="D20" s="257">
        <f>0.00075+0.00375+0.00375+0.00525+0.00525+0.00675+0.00825+0.00405+0.00006+0.00069+0.01425</f>
        <v>5.28E-2</v>
      </c>
      <c r="E20" s="258">
        <f t="shared" ref="E20" si="23">C20+D20</f>
        <v>7.5240600000000005E-2</v>
      </c>
      <c r="F20" s="258">
        <f t="shared" ref="F20" si="24">E20*$G$1</f>
        <v>7.3735788000000007</v>
      </c>
      <c r="G20" s="257">
        <v>7.3735699999999991</v>
      </c>
      <c r="H20" s="319">
        <f t="shared" ref="H20" si="25">F20-G20</f>
        <v>8.8000000015853175E-6</v>
      </c>
    </row>
    <row r="21" spans="1:21" ht="15.75" thickBot="1" x14ac:dyDescent="0.3">
      <c r="A21" s="273"/>
      <c r="B21" s="257"/>
      <c r="C21" s="257"/>
      <c r="D21" s="257"/>
      <c r="E21" s="257"/>
      <c r="F21" s="257"/>
      <c r="G21" s="257"/>
      <c r="H21" s="320"/>
    </row>
    <row r="22" spans="1:21" x14ac:dyDescent="0.25">
      <c r="A22" s="273"/>
      <c r="B22" s="257" t="s">
        <v>37</v>
      </c>
      <c r="C22" s="257">
        <v>8.1010000000000001E-4</v>
      </c>
      <c r="D22" s="257"/>
      <c r="E22" s="258">
        <f t="shared" ref="E22" si="26">C22+D22</f>
        <v>8.1010000000000001E-4</v>
      </c>
      <c r="F22" s="258">
        <f t="shared" ref="F22" si="27">E22*$G$1</f>
        <v>7.9389799999999996E-2</v>
      </c>
      <c r="G22" s="257">
        <v>7.9390000000000002E-2</v>
      </c>
      <c r="H22" s="319">
        <f t="shared" ref="H22" si="28">F22-G22</f>
        <v>-2.0000000000575113E-7</v>
      </c>
    </row>
    <row r="23" spans="1:21" ht="15.75" thickBot="1" x14ac:dyDescent="0.3">
      <c r="A23" s="274"/>
      <c r="B23" s="267"/>
      <c r="C23" s="267"/>
      <c r="D23" s="267"/>
      <c r="E23" s="257"/>
      <c r="F23" s="257"/>
      <c r="G23" s="267"/>
      <c r="H23" s="320"/>
    </row>
    <row r="24" spans="1:21" ht="15.75" thickBot="1" x14ac:dyDescent="0.3">
      <c r="C24">
        <f>SUM(C2:C23)</f>
        <v>0.84999990000000003</v>
      </c>
      <c r="D24">
        <f t="shared" ref="D24:H24" si="29">SUM(D2:D23)</f>
        <v>0.14681</v>
      </c>
      <c r="E24">
        <f t="shared" si="29"/>
        <v>0.99680989999999992</v>
      </c>
      <c r="F24">
        <f t="shared" si="29"/>
        <v>97.687370200000004</v>
      </c>
      <c r="G24">
        <f t="shared" si="29"/>
        <v>97.687350000000009</v>
      </c>
      <c r="H24" s="135">
        <f t="shared" si="29"/>
        <v>2.0200000000593441E-5</v>
      </c>
      <c r="M24" s="124" t="s">
        <v>23</v>
      </c>
      <c r="N24" s="124" t="s">
        <v>63</v>
      </c>
      <c r="O24" s="124" t="s">
        <v>2</v>
      </c>
      <c r="P24" s="124" t="s">
        <v>3</v>
      </c>
      <c r="Q24" s="124" t="s">
        <v>4</v>
      </c>
      <c r="R24" s="124" t="s">
        <v>5</v>
      </c>
      <c r="S24" s="124" t="s">
        <v>6</v>
      </c>
      <c r="T24" s="126" t="s">
        <v>20</v>
      </c>
    </row>
    <row r="25" spans="1:21" x14ac:dyDescent="0.25">
      <c r="M25" s="292" t="s">
        <v>33</v>
      </c>
      <c r="N25" s="284">
        <v>2.5799999999999998E-3</v>
      </c>
      <c r="O25" s="250">
        <v>2.6238599999999994E-2</v>
      </c>
      <c r="P25" s="250">
        <v>0</v>
      </c>
      <c r="Q25" s="250">
        <v>2.6238599999999994E-2</v>
      </c>
      <c r="R25" s="250">
        <v>0.04</v>
      </c>
      <c r="S25" s="250">
        <v>-1.3761400000000007E-2</v>
      </c>
      <c r="T25" s="251">
        <v>1.5244715800385695</v>
      </c>
    </row>
    <row r="26" spans="1:21" x14ac:dyDescent="0.25">
      <c r="M26" s="292"/>
      <c r="N26" s="284"/>
      <c r="O26" s="280"/>
      <c r="P26" s="280"/>
      <c r="Q26" s="280"/>
      <c r="R26" s="280"/>
      <c r="S26" s="280"/>
      <c r="T26" s="251"/>
    </row>
    <row r="27" spans="1:21" ht="15.75" thickBot="1" x14ac:dyDescent="0.3">
      <c r="C27" t="s">
        <v>125</v>
      </c>
      <c r="D27" t="s">
        <v>126</v>
      </c>
      <c r="E27" t="s">
        <v>127</v>
      </c>
      <c r="F27" t="s">
        <v>128</v>
      </c>
      <c r="G27">
        <v>884</v>
      </c>
    </row>
    <row r="28" spans="1:21" x14ac:dyDescent="0.25">
      <c r="A28" s="272" t="s">
        <v>50</v>
      </c>
      <c r="B28" s="258" t="s">
        <v>24</v>
      </c>
      <c r="C28" s="258">
        <v>0.33248030000000001</v>
      </c>
      <c r="D28" s="258">
        <f>0.00975+0.00975+0.002+0.01425</f>
        <v>3.5749999999999997E-2</v>
      </c>
      <c r="E28" s="258">
        <f>C28+D28</f>
        <v>0.36823030000000001</v>
      </c>
      <c r="F28" s="258">
        <f>E28*$G$27</f>
        <v>325.51558520000003</v>
      </c>
      <c r="G28" s="258">
        <v>325.51559000000003</v>
      </c>
      <c r="H28" s="321">
        <f>F28-G28</f>
        <v>-4.7999999992498488E-6</v>
      </c>
    </row>
    <row r="29" spans="1:21" ht="15.75" thickBot="1" x14ac:dyDescent="0.3">
      <c r="A29" s="273"/>
      <c r="B29" s="257"/>
      <c r="C29" s="257"/>
      <c r="D29" s="257"/>
      <c r="E29" s="257"/>
      <c r="F29" s="257"/>
      <c r="G29" s="257"/>
      <c r="H29" s="322"/>
    </row>
    <row r="30" spans="1:21" x14ac:dyDescent="0.25">
      <c r="A30" s="273"/>
      <c r="B30" s="257" t="s">
        <v>25</v>
      </c>
      <c r="C30" s="257">
        <f>0.0239553+0.0058632+0.0026566+0.027652</f>
        <v>6.0127100000000003E-2</v>
      </c>
      <c r="D30" s="257">
        <f>0.00645</f>
        <v>6.45E-3</v>
      </c>
      <c r="E30" s="258">
        <f>C30+D30</f>
        <v>6.65771E-2</v>
      </c>
      <c r="F30" s="258">
        <f>E30*$G$27</f>
        <v>58.854156400000001</v>
      </c>
      <c r="G30" s="257">
        <v>58.85416</v>
      </c>
      <c r="H30" s="321">
        <f t="shared" ref="H30" si="30">F30-G30</f>
        <v>-3.5999999994373866E-6</v>
      </c>
    </row>
    <row r="31" spans="1:21" ht="15.75" thickBot="1" x14ac:dyDescent="0.3">
      <c r="A31" s="273"/>
      <c r="B31" s="257"/>
      <c r="C31" s="257"/>
      <c r="D31" s="257"/>
      <c r="E31" s="257"/>
      <c r="F31" s="257"/>
      <c r="G31" s="257"/>
      <c r="H31" s="322"/>
    </row>
    <row r="32" spans="1:21" x14ac:dyDescent="0.25">
      <c r="A32" s="273"/>
      <c r="B32" s="257" t="s">
        <v>26</v>
      </c>
      <c r="C32" s="257">
        <v>3.0000000000000001E-5</v>
      </c>
      <c r="D32" s="257"/>
      <c r="E32" s="258">
        <f t="shared" ref="E32" si="31">C32+D32</f>
        <v>3.0000000000000001E-5</v>
      </c>
      <c r="F32" s="258">
        <f>E32*$G$27</f>
        <v>2.6520000000000002E-2</v>
      </c>
      <c r="G32" s="257">
        <v>2.6519999999999998E-2</v>
      </c>
      <c r="H32" s="321">
        <f t="shared" ref="H32" si="32">F32-G32</f>
        <v>0</v>
      </c>
    </row>
    <row r="33" spans="1:8" ht="15.75" thickBot="1" x14ac:dyDescent="0.3">
      <c r="A33" s="273"/>
      <c r="B33" s="257"/>
      <c r="C33" s="257"/>
      <c r="D33" s="257"/>
      <c r="E33" s="257"/>
      <c r="F33" s="257"/>
      <c r="G33" s="257"/>
      <c r="H33" s="322"/>
    </row>
    <row r="34" spans="1:8" x14ac:dyDescent="0.25">
      <c r="A34" s="273"/>
      <c r="B34" s="257" t="s">
        <v>27</v>
      </c>
      <c r="C34" s="257">
        <v>0.34622619999999998</v>
      </c>
      <c r="D34" s="257">
        <f>0.00775+0.00026+0.01125+0.01425</f>
        <v>3.3509999999999998E-2</v>
      </c>
      <c r="E34" s="258">
        <f>C34+D34</f>
        <v>0.37973619999999997</v>
      </c>
      <c r="F34" s="258">
        <f>E34*$G$27</f>
        <v>335.68680079999996</v>
      </c>
      <c r="G34" s="257">
        <v>338.50676999999996</v>
      </c>
      <c r="H34" s="321">
        <f t="shared" ref="H34" si="33">F34-G34</f>
        <v>-2.8199692000000027</v>
      </c>
    </row>
    <row r="35" spans="1:8" ht="15.75" thickBot="1" x14ac:dyDescent="0.3">
      <c r="A35" s="273"/>
      <c r="B35" s="257"/>
      <c r="C35" s="257"/>
      <c r="D35" s="257"/>
      <c r="E35" s="257"/>
      <c r="F35" s="257"/>
      <c r="G35" s="257"/>
      <c r="H35" s="322"/>
    </row>
    <row r="36" spans="1:8" x14ac:dyDescent="0.25">
      <c r="A36" s="273"/>
      <c r="B36" s="257" t="s">
        <v>30</v>
      </c>
      <c r="C36" s="257">
        <v>1.7310000000000001E-4</v>
      </c>
      <c r="D36" s="257"/>
      <c r="E36" s="258">
        <f t="shared" ref="E36" si="34">C36+D36</f>
        <v>1.7310000000000001E-4</v>
      </c>
      <c r="F36" s="258">
        <f t="shared" ref="F36" si="35">E36*$G$27</f>
        <v>0.1530204</v>
      </c>
      <c r="G36" s="257">
        <v>0.15301999999999999</v>
      </c>
      <c r="H36" s="321">
        <f t="shared" ref="H36" si="36">F36-G36</f>
        <v>4.0000000001150227E-7</v>
      </c>
    </row>
    <row r="37" spans="1:8" ht="15.75" thickBot="1" x14ac:dyDescent="0.3">
      <c r="A37" s="273"/>
      <c r="B37" s="257"/>
      <c r="C37" s="257"/>
      <c r="D37" s="257"/>
      <c r="E37" s="257"/>
      <c r="F37" s="257"/>
      <c r="G37" s="257"/>
      <c r="H37" s="322"/>
    </row>
    <row r="38" spans="1:8" x14ac:dyDescent="0.25">
      <c r="A38" s="273"/>
      <c r="B38" s="257" t="s">
        <v>31</v>
      </c>
      <c r="C38" s="257">
        <f>0.0438706+0.022+0.0216617</f>
        <v>8.7532300000000007E-2</v>
      </c>
      <c r="D38" s="257">
        <f>0.00225+0.009+0.00705</f>
        <v>1.83E-2</v>
      </c>
      <c r="E38" s="258">
        <f t="shared" ref="E38" si="37">C38+D38</f>
        <v>0.1058323</v>
      </c>
      <c r="F38" s="258">
        <f t="shared" ref="F38" si="38">E38*$G$27</f>
        <v>93.555753199999998</v>
      </c>
      <c r="G38" s="257">
        <v>93.555749999999989</v>
      </c>
      <c r="H38" s="321">
        <f t="shared" ref="H38" si="39">F38-G38</f>
        <v>3.2000000089738023E-6</v>
      </c>
    </row>
    <row r="39" spans="1:8" ht="15.75" thickBot="1" x14ac:dyDescent="0.3">
      <c r="A39" s="273"/>
      <c r="B39" s="257"/>
      <c r="C39" s="257"/>
      <c r="D39" s="257"/>
      <c r="E39" s="257"/>
      <c r="F39" s="257"/>
      <c r="G39" s="257"/>
      <c r="H39" s="322"/>
    </row>
    <row r="40" spans="1:8" x14ac:dyDescent="0.25">
      <c r="A40" s="273"/>
      <c r="B40" s="257" t="s">
        <v>49</v>
      </c>
      <c r="C40" s="257">
        <v>1.0009999999999999E-4</v>
      </c>
      <c r="D40" s="257"/>
      <c r="E40" s="258">
        <f t="shared" ref="E40" si="40">C40+D40</f>
        <v>1.0009999999999999E-4</v>
      </c>
      <c r="F40" s="258">
        <f t="shared" ref="F40" si="41">E40*$G$27</f>
        <v>8.8488399999999995E-2</v>
      </c>
      <c r="G40" s="257">
        <v>8.8489999999999999E-2</v>
      </c>
      <c r="H40" s="321">
        <f t="shared" ref="H40" si="42">F40-G40</f>
        <v>-1.6000000000043757E-6</v>
      </c>
    </row>
    <row r="41" spans="1:8" ht="15.75" thickBot="1" x14ac:dyDescent="0.3">
      <c r="A41" s="273"/>
      <c r="B41" s="257"/>
      <c r="C41" s="257"/>
      <c r="D41" s="257"/>
      <c r="E41" s="257"/>
      <c r="F41" s="257"/>
      <c r="G41" s="257"/>
      <c r="H41" s="322"/>
    </row>
    <row r="42" spans="1:8" x14ac:dyDescent="0.25">
      <c r="A42" s="273"/>
      <c r="B42" s="257" t="s">
        <v>34</v>
      </c>
      <c r="C42" s="257">
        <v>2.0100000000000001E-5</v>
      </c>
      <c r="D42" s="257"/>
      <c r="E42" s="258">
        <f t="shared" ref="E42" si="43">C42+D42</f>
        <v>2.0100000000000001E-5</v>
      </c>
      <c r="F42" s="258">
        <f t="shared" ref="F42" si="44">E42*$G$27</f>
        <v>1.77684E-2</v>
      </c>
      <c r="G42" s="257">
        <v>1.7770000000000001E-2</v>
      </c>
      <c r="H42" s="321">
        <f t="shared" ref="H42" si="45">F42-G42</f>
        <v>-1.6000000000009063E-6</v>
      </c>
    </row>
    <row r="43" spans="1:8" ht="15.75" thickBot="1" x14ac:dyDescent="0.3">
      <c r="A43" s="273"/>
      <c r="B43" s="257"/>
      <c r="C43" s="257"/>
      <c r="D43" s="257"/>
      <c r="E43" s="257"/>
      <c r="F43" s="257"/>
      <c r="G43" s="257"/>
      <c r="H43" s="322"/>
    </row>
    <row r="44" spans="1:8" x14ac:dyDescent="0.25">
      <c r="A44" s="273"/>
      <c r="B44" s="257" t="s">
        <v>33</v>
      </c>
      <c r="C44" s="257">
        <v>6.0000000000000002E-5</v>
      </c>
      <c r="D44" s="257"/>
      <c r="E44" s="258">
        <f t="shared" ref="E44" si="46">C44+D44</f>
        <v>6.0000000000000002E-5</v>
      </c>
      <c r="F44" s="258">
        <f t="shared" ref="F44" si="47">E44*$G$27</f>
        <v>5.3040000000000004E-2</v>
      </c>
      <c r="G44" s="257">
        <v>5.3039999999999997E-2</v>
      </c>
      <c r="H44" s="321">
        <f t="shared" ref="H44" si="48">F44-G44</f>
        <v>0</v>
      </c>
    </row>
    <row r="45" spans="1:8" ht="15.75" thickBot="1" x14ac:dyDescent="0.3">
      <c r="A45" s="273"/>
      <c r="B45" s="257"/>
      <c r="C45" s="257"/>
      <c r="D45" s="257"/>
      <c r="E45" s="257"/>
      <c r="F45" s="257"/>
      <c r="G45" s="257"/>
      <c r="H45" s="322"/>
    </row>
    <row r="46" spans="1:8" x14ac:dyDescent="0.25">
      <c r="A46" s="273"/>
      <c r="B46" s="257" t="s">
        <v>38</v>
      </c>
      <c r="C46" s="257">
        <v>2.2440600000000002E-2</v>
      </c>
      <c r="D46" s="257">
        <f>0.00075+0.00375+0.00375+0.00525+0.00525+0.00675+0.00825+0.00405+0.00006+0.00069+0.01425</f>
        <v>5.28E-2</v>
      </c>
      <c r="E46" s="258">
        <f t="shared" ref="E46" si="49">C46+D46</f>
        <v>7.5240600000000005E-2</v>
      </c>
      <c r="F46" s="258">
        <f t="shared" ref="F46" si="50">E46*$G$27</f>
        <v>66.512690400000011</v>
      </c>
      <c r="G46" s="257">
        <v>66.511089999999982</v>
      </c>
      <c r="H46" s="321">
        <f t="shared" ref="H46" si="51">F46-G46</f>
        <v>1.6004000000293672E-3</v>
      </c>
    </row>
    <row r="47" spans="1:8" ht="15.75" thickBot="1" x14ac:dyDescent="0.3">
      <c r="A47" s="273"/>
      <c r="B47" s="257"/>
      <c r="C47" s="257"/>
      <c r="D47" s="257"/>
      <c r="E47" s="257"/>
      <c r="F47" s="257"/>
      <c r="G47" s="257"/>
      <c r="H47" s="322"/>
    </row>
    <row r="48" spans="1:8" x14ac:dyDescent="0.25">
      <c r="A48" s="273"/>
      <c r="B48" s="257" t="s">
        <v>37</v>
      </c>
      <c r="C48" s="257">
        <v>8.1010000000000001E-4</v>
      </c>
      <c r="D48" s="257"/>
      <c r="E48" s="258">
        <f t="shared" ref="E48" si="52">C48+D48</f>
        <v>8.1010000000000001E-4</v>
      </c>
      <c r="F48" s="258">
        <f t="shared" ref="F48" si="53">E48*$G$27</f>
        <v>0.7161284</v>
      </c>
      <c r="G48" s="257">
        <v>0.71612999999999993</v>
      </c>
      <c r="H48" s="321">
        <f t="shared" ref="H48" si="54">F48-G48</f>
        <v>-1.5999999999349868E-6</v>
      </c>
    </row>
    <row r="49" spans="1:8" ht="15.75" thickBot="1" x14ac:dyDescent="0.3">
      <c r="A49" s="274"/>
      <c r="B49" s="267"/>
      <c r="C49" s="267"/>
      <c r="D49" s="267"/>
      <c r="E49" s="257"/>
      <c r="F49" s="257"/>
      <c r="G49" s="267"/>
      <c r="H49" s="322"/>
    </row>
    <row r="50" spans="1:8" x14ac:dyDescent="0.25">
      <c r="C50">
        <f>SUM(C28:C49)</f>
        <v>0.84999990000000003</v>
      </c>
      <c r="D50">
        <f t="shared" ref="D50" si="55">SUM(D28:D49)</f>
        <v>0.14681</v>
      </c>
      <c r="E50">
        <f t="shared" ref="E50" si="56">SUM(E28:E49)</f>
        <v>0.99680989999999992</v>
      </c>
      <c r="F50">
        <f t="shared" ref="F50" si="57">SUM(F28:F49)</f>
        <v>881.17995159999998</v>
      </c>
      <c r="G50">
        <f t="shared" ref="G50:H50" si="58">SUM(G28:G49)</f>
        <v>883.9983299999999</v>
      </c>
      <c r="H50">
        <f t="shared" si="58"/>
        <v>-2.818378399999963</v>
      </c>
    </row>
  </sheetData>
  <mergeCells count="165">
    <mergeCell ref="M25:M26"/>
    <mergeCell ref="N25:N26"/>
    <mergeCell ref="O25:O26"/>
    <mergeCell ref="P25:P26"/>
    <mergeCell ref="Q25:Q26"/>
    <mergeCell ref="R25:R26"/>
    <mergeCell ref="S25:S26"/>
    <mergeCell ref="T25:T26"/>
    <mergeCell ref="H48:H49"/>
    <mergeCell ref="H30:H31"/>
    <mergeCell ref="H32:H33"/>
    <mergeCell ref="H34:H35"/>
    <mergeCell ref="H36:H37"/>
    <mergeCell ref="H38:H39"/>
    <mergeCell ref="H40:H41"/>
    <mergeCell ref="H2:H3"/>
    <mergeCell ref="H4:H5"/>
    <mergeCell ref="H6:H7"/>
    <mergeCell ref="H8:H9"/>
    <mergeCell ref="H10:H11"/>
    <mergeCell ref="H12:H13"/>
    <mergeCell ref="H42:H43"/>
    <mergeCell ref="H44:H45"/>
    <mergeCell ref="H46:H47"/>
    <mergeCell ref="B44:B45"/>
    <mergeCell ref="C44:C45"/>
    <mergeCell ref="D44:D45"/>
    <mergeCell ref="E44:E45"/>
    <mergeCell ref="F44:F45"/>
    <mergeCell ref="G44:G45"/>
    <mergeCell ref="B42:B43"/>
    <mergeCell ref="H14:H15"/>
    <mergeCell ref="H16:H17"/>
    <mergeCell ref="H18:H19"/>
    <mergeCell ref="H20:H21"/>
    <mergeCell ref="H22:H23"/>
    <mergeCell ref="H28:H29"/>
    <mergeCell ref="C42:C43"/>
    <mergeCell ref="D42:D43"/>
    <mergeCell ref="E42:E43"/>
    <mergeCell ref="F42:F43"/>
    <mergeCell ref="G42:G43"/>
    <mergeCell ref="D30:D31"/>
    <mergeCell ref="E18:E19"/>
    <mergeCell ref="E20:E21"/>
    <mergeCell ref="C22:C23"/>
    <mergeCell ref="E22:E23"/>
    <mergeCell ref="G22:G23"/>
    <mergeCell ref="B48:B49"/>
    <mergeCell ref="C48:C49"/>
    <mergeCell ref="D48:D49"/>
    <mergeCell ref="E48:E49"/>
    <mergeCell ref="F48:F49"/>
    <mergeCell ref="G48:G49"/>
    <mergeCell ref="B46:B47"/>
    <mergeCell ref="C46:C47"/>
    <mergeCell ref="D46:D47"/>
    <mergeCell ref="E46:E47"/>
    <mergeCell ref="F46:F47"/>
    <mergeCell ref="G46:G47"/>
    <mergeCell ref="G32:G33"/>
    <mergeCell ref="F18:F19"/>
    <mergeCell ref="F20:F21"/>
    <mergeCell ref="F22:F23"/>
    <mergeCell ref="D18:D19"/>
    <mergeCell ref="C40:C41"/>
    <mergeCell ref="D40:D41"/>
    <mergeCell ref="E40:E41"/>
    <mergeCell ref="F40:F41"/>
    <mergeCell ref="G40:G41"/>
    <mergeCell ref="G28:G29"/>
    <mergeCell ref="G30:G31"/>
    <mergeCell ref="B36:B37"/>
    <mergeCell ref="C36:C37"/>
    <mergeCell ref="D36:D37"/>
    <mergeCell ref="E36:E37"/>
    <mergeCell ref="F36:F37"/>
    <mergeCell ref="G36:G37"/>
    <mergeCell ref="B34:B35"/>
    <mergeCell ref="A28:A49"/>
    <mergeCell ref="B28:B29"/>
    <mergeCell ref="C28:C29"/>
    <mergeCell ref="D28:D29"/>
    <mergeCell ref="E28:E29"/>
    <mergeCell ref="B38:B39"/>
    <mergeCell ref="C38:C39"/>
    <mergeCell ref="D38:D39"/>
    <mergeCell ref="B40:B41"/>
    <mergeCell ref="E38:E39"/>
    <mergeCell ref="F38:F39"/>
    <mergeCell ref="G38:G39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F28:F29"/>
    <mergeCell ref="B30:B31"/>
    <mergeCell ref="C30:C31"/>
    <mergeCell ref="C20:C21"/>
    <mergeCell ref="D20:D21"/>
    <mergeCell ref="E30:E31"/>
    <mergeCell ref="F30:F31"/>
    <mergeCell ref="G16:G17"/>
    <mergeCell ref="D6:D7"/>
    <mergeCell ref="G18:G19"/>
    <mergeCell ref="G20:G21"/>
    <mergeCell ref="B20:B21"/>
    <mergeCell ref="B22:B23"/>
    <mergeCell ref="C14:C15"/>
    <mergeCell ref="D22:D23"/>
    <mergeCell ref="G12:G13"/>
    <mergeCell ref="F12:F13"/>
    <mergeCell ref="F14:F15"/>
    <mergeCell ref="F16:F17"/>
    <mergeCell ref="C18:C19"/>
    <mergeCell ref="C16:C17"/>
    <mergeCell ref="G6:G7"/>
    <mergeCell ref="G8:G9"/>
    <mergeCell ref="E14:E15"/>
    <mergeCell ref="E16:E17"/>
    <mergeCell ref="D10:D11"/>
    <mergeCell ref="D12:D13"/>
    <mergeCell ref="D14:D15"/>
    <mergeCell ref="N8:U8"/>
    <mergeCell ref="A2:A2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E2:E3"/>
    <mergeCell ref="E4:E5"/>
    <mergeCell ref="E6:E7"/>
    <mergeCell ref="E8:E9"/>
    <mergeCell ref="E10:E11"/>
    <mergeCell ref="E12:E13"/>
    <mergeCell ref="C6:C7"/>
    <mergeCell ref="C8:C9"/>
    <mergeCell ref="D16:D17"/>
    <mergeCell ref="F10:F11"/>
    <mergeCell ref="G14:G15"/>
    <mergeCell ref="C10:C11"/>
    <mergeCell ref="C12:C13"/>
    <mergeCell ref="G2:G3"/>
    <mergeCell ref="G4:G5"/>
    <mergeCell ref="C2:C3"/>
    <mergeCell ref="C4:C5"/>
    <mergeCell ref="G10:G11"/>
    <mergeCell ref="F2:F3"/>
    <mergeCell ref="F4:F5"/>
    <mergeCell ref="F6:F7"/>
    <mergeCell ref="F8:F9"/>
    <mergeCell ref="D8:D9"/>
    <mergeCell ref="D2:D3"/>
    <mergeCell ref="D4:D5"/>
  </mergeCells>
  <conditionalFormatting sqref="T25:T26">
    <cfRule type="cellIs" dxfId="0" priority="1" operator="greaterThan">
      <formula>1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REMANENTE </vt:lpstr>
      <vt:lpstr>CUOTA LTP</vt:lpstr>
      <vt:lpstr>CUOTA LICITADA</vt:lpstr>
      <vt:lpstr>PESCA DE INVESTIGACION</vt:lpstr>
      <vt:lpstr>PAG. WEB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ZULETA ESPINOZA, GERALDINE</cp:lastModifiedBy>
  <dcterms:created xsi:type="dcterms:W3CDTF">2020-01-22T15:25:15Z</dcterms:created>
  <dcterms:modified xsi:type="dcterms:W3CDTF">2022-02-08T13:04:37Z</dcterms:modified>
</cp:coreProperties>
</file>