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etus\Control_cuota\2022\5_Publicados\47_Semana_29_Diciembre_al_31_Diciembre_2022\"/>
    </mc:Choice>
  </mc:AlternateContent>
  <bookViews>
    <workbookView xWindow="-120" yWindow="-120" windowWidth="20730" windowHeight="11160" tabRatio="769"/>
  </bookViews>
  <sheets>
    <sheet name="RESUMEN " sheetId="1" r:id="rId1"/>
    <sheet name="CUOTA ARTESANAL" sheetId="2" r:id="rId2"/>
    <sheet name="CUOTA LTP" sheetId="3" r:id="rId3"/>
    <sheet name="CUOTA LICITADA" sheetId="5" r:id="rId4"/>
    <sheet name="PESCA DE INVESTIGACION" sheetId="7" r:id="rId5"/>
    <sheet name="PAG. WEB" sheetId="6" r:id="rId6"/>
    <sheet name="Hoja1" sheetId="8" r:id="rId7"/>
  </sheets>
  <definedNames>
    <definedName name="_xlnm._FilterDatabase" localSheetId="5" hidden="1">'PAG. WEB'!$A$1:$Q$176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9" i="5" l="1"/>
  <c r="I53" i="5"/>
  <c r="I25" i="5"/>
  <c r="I19" i="5"/>
  <c r="G54" i="5" l="1"/>
  <c r="G81" i="5"/>
  <c r="H27" i="1" l="1"/>
  <c r="H42" i="3" l="1"/>
  <c r="G20" i="5" l="1"/>
  <c r="G26" i="5"/>
  <c r="F50" i="3" l="1"/>
  <c r="F24" i="3"/>
  <c r="T27" i="8"/>
  <c r="S27" i="8"/>
  <c r="S26" i="8"/>
  <c r="T18" i="8"/>
  <c r="G24" i="7" l="1"/>
  <c r="F54" i="3" l="1"/>
  <c r="F28" i="3"/>
  <c r="S20" i="8"/>
  <c r="T20" i="8"/>
  <c r="S19" i="8"/>
  <c r="T19" i="8"/>
  <c r="S25" i="8"/>
  <c r="T25" i="8"/>
  <c r="S24" i="8"/>
  <c r="T24" i="8"/>
  <c r="S23" i="8"/>
  <c r="T23" i="8"/>
  <c r="S22" i="8"/>
  <c r="T22" i="8"/>
  <c r="S21" i="8"/>
  <c r="T21" i="8"/>
  <c r="S16" i="8"/>
  <c r="T16" i="8"/>
  <c r="S18" i="8"/>
  <c r="S17" i="8"/>
  <c r="T17" i="8"/>
  <c r="T26" i="8"/>
  <c r="G56" i="3" l="1"/>
  <c r="I56" i="3" s="1"/>
  <c r="G57" i="3" s="1"/>
  <c r="I57" i="3" s="1"/>
  <c r="K56" i="3"/>
  <c r="L56" i="3"/>
  <c r="N56" i="3"/>
  <c r="G28" i="3"/>
  <c r="I28" i="3" s="1"/>
  <c r="L28" i="3"/>
  <c r="N28" i="3"/>
  <c r="T15" i="8"/>
  <c r="S15" i="8"/>
  <c r="M56" i="3" l="1"/>
  <c r="O56" i="3" s="1"/>
  <c r="G29" i="3"/>
  <c r="I29" i="3" s="1"/>
  <c r="J28" i="3"/>
  <c r="K28" i="3"/>
  <c r="M28" i="3" s="1"/>
  <c r="P56" i="3" l="1"/>
  <c r="J29" i="3"/>
  <c r="O28" i="3"/>
  <c r="P28" i="3"/>
  <c r="G19" i="5"/>
  <c r="G25" i="5"/>
  <c r="F8" i="2" l="1"/>
  <c r="F32" i="3"/>
  <c r="F6" i="3"/>
  <c r="F38" i="3"/>
  <c r="H24" i="7" l="1"/>
  <c r="E24" i="7"/>
  <c r="D24" i="7"/>
  <c r="J20" i="7" s="1"/>
  <c r="F20" i="7"/>
  <c r="F24" i="7" s="1"/>
  <c r="F16" i="7"/>
  <c r="G16" i="7"/>
  <c r="F17" i="7"/>
  <c r="G17" i="7"/>
  <c r="K20" i="7" l="1"/>
  <c r="K24" i="7" s="1"/>
  <c r="I20" i="7"/>
  <c r="I24" i="7" s="1"/>
  <c r="J24" i="7"/>
  <c r="M20" i="7" l="1"/>
  <c r="M24" i="7" s="1"/>
  <c r="L20" i="7"/>
  <c r="L24" i="7" s="1"/>
  <c r="V5" i="8" l="1"/>
  <c r="U27" i="8" l="1"/>
  <c r="U26" i="8"/>
  <c r="U25" i="8"/>
  <c r="U21" i="8"/>
  <c r="U22" i="8"/>
  <c r="U23" i="8"/>
  <c r="U19" i="8"/>
  <c r="U20" i="8"/>
  <c r="U24" i="8"/>
  <c r="U17" i="8"/>
  <c r="U15" i="8"/>
  <c r="U18" i="8"/>
  <c r="U16" i="8"/>
  <c r="R14" i="8"/>
  <c r="R13" i="8"/>
  <c r="R12" i="8"/>
  <c r="G53" i="5"/>
  <c r="G65" i="5"/>
  <c r="G31" i="5"/>
  <c r="O5" i="8"/>
  <c r="Q5" i="8" s="1"/>
  <c r="R11" i="8" s="1"/>
  <c r="S11" i="8" s="1"/>
  <c r="T11" i="8" l="1"/>
  <c r="T14" i="8"/>
  <c r="S14" i="8"/>
  <c r="R10" i="8"/>
  <c r="T12" i="8"/>
  <c r="S12" i="8"/>
  <c r="T13" i="8"/>
  <c r="S13" i="8"/>
  <c r="S10" i="8" l="1"/>
  <c r="T10" i="8"/>
  <c r="F79" i="5"/>
  <c r="F80" i="5"/>
  <c r="E83" i="5"/>
  <c r="L81" i="5"/>
  <c r="M81" i="5"/>
  <c r="O81" i="5"/>
  <c r="H81" i="5"/>
  <c r="J81" i="5" s="1"/>
  <c r="H82" i="5" s="1"/>
  <c r="N81" i="5" l="1"/>
  <c r="Q81" i="5" s="1"/>
  <c r="J82" i="5"/>
  <c r="K82" i="5"/>
  <c r="K81" i="5"/>
  <c r="P81" i="5" l="1"/>
  <c r="F45" i="5"/>
  <c r="H45" i="5" s="1"/>
  <c r="M45" i="5"/>
  <c r="O45" i="5"/>
  <c r="F46" i="5"/>
  <c r="L45" i="5" l="1"/>
  <c r="N45" i="5" s="1"/>
  <c r="P45" i="5" s="1"/>
  <c r="J45" i="5"/>
  <c r="H46" i="5" s="1"/>
  <c r="K45" i="5"/>
  <c r="E14" i="2"/>
  <c r="E15" i="2"/>
  <c r="Q45" i="5" l="1"/>
  <c r="J46" i="5"/>
  <c r="K46" i="5"/>
  <c r="F27" i="5"/>
  <c r="F75" i="5" l="1"/>
  <c r="H75" i="5" s="1"/>
  <c r="M75" i="5"/>
  <c r="O75" i="5"/>
  <c r="F76" i="5"/>
  <c r="F41" i="5"/>
  <c r="H41" i="5" s="1"/>
  <c r="J41" i="5" s="1"/>
  <c r="M41" i="5"/>
  <c r="O41" i="5"/>
  <c r="F42" i="5"/>
  <c r="H42" i="5" l="1"/>
  <c r="J42" i="5" s="1"/>
  <c r="L41" i="5"/>
  <c r="N41" i="5" s="1"/>
  <c r="P41" i="5" s="1"/>
  <c r="J75" i="5"/>
  <c r="H76" i="5" s="1"/>
  <c r="K75" i="5"/>
  <c r="L75" i="5"/>
  <c r="N75" i="5" s="1"/>
  <c r="P75" i="5" s="1"/>
  <c r="K41" i="5"/>
  <c r="E51" i="3"/>
  <c r="K42" i="5" l="1"/>
  <c r="Q41" i="5"/>
  <c r="J76" i="5"/>
  <c r="K76" i="5"/>
  <c r="Q75" i="5"/>
  <c r="F14" i="2" l="1"/>
  <c r="E33" i="3" l="1"/>
  <c r="E32" i="3"/>
  <c r="E43" i="3"/>
  <c r="E42" i="3"/>
  <c r="E39" i="3"/>
  <c r="E38" i="3"/>
  <c r="E50" i="3"/>
  <c r="E35" i="3"/>
  <c r="E34" i="3"/>
  <c r="E53" i="3"/>
  <c r="E52" i="3"/>
  <c r="E59" i="3"/>
  <c r="E58" i="3"/>
  <c r="E49" i="3"/>
  <c r="E48" i="3"/>
  <c r="E7" i="3"/>
  <c r="E6" i="3"/>
  <c r="E13" i="3"/>
  <c r="E12" i="3"/>
  <c r="E25" i="3"/>
  <c r="E24" i="3"/>
  <c r="E14" i="3"/>
  <c r="E17" i="3"/>
  <c r="E16" i="3"/>
  <c r="E9" i="3"/>
  <c r="E8" i="3"/>
  <c r="E27" i="3"/>
  <c r="E26" i="3"/>
  <c r="E31" i="3"/>
  <c r="E30" i="3"/>
  <c r="E23" i="3"/>
  <c r="E22" i="3"/>
  <c r="E21" i="3"/>
  <c r="E20" i="3"/>
  <c r="E19" i="3"/>
  <c r="E18" i="3"/>
  <c r="E15" i="3"/>
  <c r="E11" i="3"/>
  <c r="E10" i="3"/>
  <c r="E60" i="3" l="1"/>
  <c r="G14" i="1"/>
  <c r="K86" i="6" l="1"/>
  <c r="K85" i="6"/>
  <c r="I86" i="6"/>
  <c r="H86" i="6"/>
  <c r="I85" i="6"/>
  <c r="H85" i="6"/>
  <c r="O85" i="6"/>
  <c r="O86" i="6"/>
  <c r="O87" i="6"/>
  <c r="E87" i="6"/>
  <c r="E86" i="6"/>
  <c r="E85" i="6"/>
  <c r="N54" i="3"/>
  <c r="K87" i="6" s="1"/>
  <c r="L54" i="3"/>
  <c r="I87" i="6" s="1"/>
  <c r="K54" i="3"/>
  <c r="H87" i="6" s="1"/>
  <c r="G54" i="3"/>
  <c r="M85" i="6" s="1"/>
  <c r="M54" i="3" l="1"/>
  <c r="I54" i="3"/>
  <c r="J85" i="6"/>
  <c r="G55" i="3" l="1"/>
  <c r="L85" i="6"/>
  <c r="O54" i="3"/>
  <c r="L87" i="6" s="1"/>
  <c r="J87" i="6"/>
  <c r="P54" i="3"/>
  <c r="M87" i="6" s="1"/>
  <c r="J86" i="6" l="1"/>
  <c r="I55" i="3"/>
  <c r="L86" i="6" s="1"/>
  <c r="M86" i="6"/>
  <c r="G52" i="3" l="1"/>
  <c r="L52" i="3"/>
  <c r="N52" i="3"/>
  <c r="G26" i="3"/>
  <c r="K26" i="3"/>
  <c r="L26" i="3"/>
  <c r="N26" i="3"/>
  <c r="M26" i="3" l="1"/>
  <c r="I52" i="3"/>
  <c r="G53" i="3" s="1"/>
  <c r="J52" i="3"/>
  <c r="K52" i="3"/>
  <c r="M52" i="3" s="1"/>
  <c r="O52" i="3" s="1"/>
  <c r="I26" i="3"/>
  <c r="G27" i="3" s="1"/>
  <c r="J26" i="3"/>
  <c r="H13" i="7"/>
  <c r="H28" i="1" s="1"/>
  <c r="F8" i="7"/>
  <c r="F13" i="7" s="1"/>
  <c r="O26" i="3" l="1"/>
  <c r="P26" i="3"/>
  <c r="P52" i="3"/>
  <c r="J53" i="3"/>
  <c r="I53" i="3"/>
  <c r="J27" i="3"/>
  <c r="I27" i="3"/>
  <c r="F73" i="5" l="1"/>
  <c r="H73" i="5" s="1"/>
  <c r="M73" i="5"/>
  <c r="O73" i="5"/>
  <c r="F74" i="5"/>
  <c r="F39" i="5"/>
  <c r="H39" i="5" s="1"/>
  <c r="M39" i="5"/>
  <c r="F40" i="5"/>
  <c r="L73" i="5" l="1"/>
  <c r="N73" i="5" s="1"/>
  <c r="P73" i="5" s="1"/>
  <c r="L39" i="5"/>
  <c r="N39" i="5" s="1"/>
  <c r="J73" i="5"/>
  <c r="H74" i="5" s="1"/>
  <c r="J74" i="5" s="1"/>
  <c r="K73" i="5"/>
  <c r="Q73" i="5" l="1"/>
  <c r="K74" i="5"/>
  <c r="I173" i="6" l="1"/>
  <c r="K173" i="6"/>
  <c r="I174" i="6"/>
  <c r="K174" i="6"/>
  <c r="E175" i="6"/>
  <c r="E174" i="6"/>
  <c r="E173" i="6"/>
  <c r="O173" i="6"/>
  <c r="O174" i="6"/>
  <c r="O175" i="6"/>
  <c r="I131" i="6"/>
  <c r="K131" i="6"/>
  <c r="I132" i="6"/>
  <c r="K132" i="6"/>
  <c r="E133" i="6"/>
  <c r="E132" i="6"/>
  <c r="E131" i="6"/>
  <c r="O131" i="6"/>
  <c r="O132" i="6"/>
  <c r="O133" i="6"/>
  <c r="F71" i="5"/>
  <c r="H173" i="6" s="1"/>
  <c r="M71" i="5"/>
  <c r="I175" i="6" s="1"/>
  <c r="O71" i="5"/>
  <c r="K175" i="6" s="1"/>
  <c r="F72" i="5"/>
  <c r="F37" i="5"/>
  <c r="H37" i="5" s="1"/>
  <c r="J131" i="6" s="1"/>
  <c r="M37" i="5"/>
  <c r="O37" i="5"/>
  <c r="F38" i="5"/>
  <c r="H132" i="6" s="1"/>
  <c r="L71" i="5" l="1"/>
  <c r="N71" i="5" s="1"/>
  <c r="P71" i="5" s="1"/>
  <c r="L175" i="6" s="1"/>
  <c r="H71" i="5"/>
  <c r="H131" i="6"/>
  <c r="H174" i="6"/>
  <c r="Q71" i="5"/>
  <c r="M175" i="6" s="1"/>
  <c r="L37" i="5"/>
  <c r="J37" i="5"/>
  <c r="K37" i="5"/>
  <c r="M131" i="6" s="1"/>
  <c r="J175" i="6" l="1"/>
  <c r="H175" i="6"/>
  <c r="J173" i="6"/>
  <c r="K71" i="5"/>
  <c r="M173" i="6" s="1"/>
  <c r="J71" i="5"/>
  <c r="H38" i="5"/>
  <c r="J132" i="6" s="1"/>
  <c r="L131" i="6"/>
  <c r="N37" i="5"/>
  <c r="H133" i="6"/>
  <c r="V4" i="8"/>
  <c r="V3" i="8"/>
  <c r="K38" i="5" l="1"/>
  <c r="M132" i="6" s="1"/>
  <c r="L173" i="6"/>
  <c r="H72" i="5"/>
  <c r="P37" i="5"/>
  <c r="Q37" i="5"/>
  <c r="J38" i="5"/>
  <c r="L132" i="6" s="1"/>
  <c r="G83" i="5" l="1"/>
  <c r="J72" i="5"/>
  <c r="L174" i="6" s="1"/>
  <c r="J174" i="6"/>
  <c r="K72" i="5"/>
  <c r="M174" i="6" s="1"/>
  <c r="F47" i="5"/>
  <c r="F13" i="5"/>
  <c r="G47" i="8"/>
  <c r="E45" i="8"/>
  <c r="F45" i="8" s="1"/>
  <c r="H45" i="8" s="1"/>
  <c r="D43" i="8"/>
  <c r="E43" i="8" s="1"/>
  <c r="F43" i="8" s="1"/>
  <c r="H43" i="8" s="1"/>
  <c r="E41" i="8"/>
  <c r="F41" i="8" s="1"/>
  <c r="H41" i="8" s="1"/>
  <c r="E39" i="8"/>
  <c r="F39" i="8" s="1"/>
  <c r="H39" i="8" s="1"/>
  <c r="E37" i="8"/>
  <c r="F37" i="8" s="1"/>
  <c r="H37" i="8" s="1"/>
  <c r="D35" i="8"/>
  <c r="C35" i="8"/>
  <c r="E33" i="8"/>
  <c r="F33" i="8" s="1"/>
  <c r="H33" i="8" s="1"/>
  <c r="D31" i="8"/>
  <c r="E31" i="8" s="1"/>
  <c r="F31" i="8" s="1"/>
  <c r="H31" i="8" s="1"/>
  <c r="E29" i="8"/>
  <c r="F29" i="8" s="1"/>
  <c r="H29" i="8" s="1"/>
  <c r="D27" i="8"/>
  <c r="C27" i="8"/>
  <c r="D25" i="8"/>
  <c r="E25" i="8" s="1"/>
  <c r="F25" i="8" s="1"/>
  <c r="H25" i="8" s="1"/>
  <c r="D12" i="8"/>
  <c r="D8" i="8"/>
  <c r="E8" i="8" s="1"/>
  <c r="F8" i="8" s="1"/>
  <c r="H8" i="8" s="1"/>
  <c r="D2" i="8"/>
  <c r="E2" i="8" s="1"/>
  <c r="F2" i="8" s="1"/>
  <c r="H2" i="8" s="1"/>
  <c r="D20" i="8"/>
  <c r="D4" i="8"/>
  <c r="C12" i="8"/>
  <c r="C4" i="8"/>
  <c r="E6" i="8"/>
  <c r="F6" i="8" s="1"/>
  <c r="H6" i="8" s="1"/>
  <c r="E10" i="8"/>
  <c r="F10" i="8" s="1"/>
  <c r="H10" i="8" s="1"/>
  <c r="E14" i="8"/>
  <c r="F14" i="8" s="1"/>
  <c r="H14" i="8" s="1"/>
  <c r="E16" i="8"/>
  <c r="F16" i="8" s="1"/>
  <c r="H16" i="8" s="1"/>
  <c r="E18" i="8"/>
  <c r="F18" i="8" s="1"/>
  <c r="H18" i="8" s="1"/>
  <c r="E22" i="8"/>
  <c r="F22" i="8" s="1"/>
  <c r="H22" i="8" s="1"/>
  <c r="C47" i="8" l="1"/>
  <c r="D47" i="8"/>
  <c r="E35" i="8"/>
  <c r="F35" i="8" s="1"/>
  <c r="H35" i="8" s="1"/>
  <c r="E27" i="8"/>
  <c r="F27" i="8" s="1"/>
  <c r="H27" i="8" s="1"/>
  <c r="E12" i="8"/>
  <c r="F12" i="8" s="1"/>
  <c r="H12" i="8" s="1"/>
  <c r="E20" i="8"/>
  <c r="F20" i="8" s="1"/>
  <c r="E4" i="8"/>
  <c r="F4" i="8" s="1"/>
  <c r="H4" i="8" s="1"/>
  <c r="B5" i="7"/>
  <c r="H47" i="8" l="1"/>
  <c r="H20" i="8"/>
  <c r="F47" i="8"/>
  <c r="E47" i="8"/>
  <c r="G13" i="7" l="1"/>
  <c r="H14" i="1" s="1"/>
  <c r="E13" i="7"/>
  <c r="K8" i="7" s="1"/>
  <c r="K13" i="7" s="1"/>
  <c r="D13" i="7"/>
  <c r="J14" i="1" l="1"/>
  <c r="I14" i="1"/>
  <c r="I8" i="7"/>
  <c r="I13" i="7" s="1"/>
  <c r="J8" i="7"/>
  <c r="J13" i="7" s="1"/>
  <c r="M8" i="7" l="1"/>
  <c r="M13" i="7" s="1"/>
  <c r="L8" i="7"/>
  <c r="L13" i="7" s="1"/>
  <c r="L79" i="5" l="1"/>
  <c r="O79" i="5"/>
  <c r="H79" i="5"/>
  <c r="K79" i="5" s="1"/>
  <c r="M79" i="5" l="1"/>
  <c r="N79" i="5" s="1"/>
  <c r="Q79" i="5" s="1"/>
  <c r="J79" i="5"/>
  <c r="H80" i="5" s="1"/>
  <c r="K80" i="5" s="1"/>
  <c r="P79" i="5" l="1"/>
  <c r="J80" i="5"/>
  <c r="F14" i="5" l="1"/>
  <c r="F19" i="5" l="1"/>
  <c r="H19" i="5" s="1"/>
  <c r="O91" i="6" l="1"/>
  <c r="O3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8" i="6"/>
  <c r="O89" i="6"/>
  <c r="O90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6" i="6"/>
  <c r="O2" i="6"/>
  <c r="B10" i="5"/>
  <c r="B3" i="3"/>
  <c r="B3" i="2"/>
  <c r="B22" i="1"/>
  <c r="I176" i="6"/>
  <c r="E172" i="6"/>
  <c r="E171" i="6"/>
  <c r="E169" i="6"/>
  <c r="E168" i="6"/>
  <c r="E166" i="6"/>
  <c r="E165" i="6"/>
  <c r="E163" i="6"/>
  <c r="E162" i="6"/>
  <c r="E160" i="6"/>
  <c r="E159" i="6"/>
  <c r="E157" i="6"/>
  <c r="E156" i="6"/>
  <c r="E154" i="6"/>
  <c r="E153" i="6"/>
  <c r="E151" i="6"/>
  <c r="E150" i="6"/>
  <c r="E148" i="6"/>
  <c r="E147" i="6"/>
  <c r="E145" i="6"/>
  <c r="E144" i="6"/>
  <c r="E142" i="6"/>
  <c r="E141" i="6"/>
  <c r="E139" i="6"/>
  <c r="E138" i="6"/>
  <c r="E136" i="6"/>
  <c r="E135" i="6"/>
  <c r="I134" i="6"/>
  <c r="K134" i="6"/>
  <c r="I135" i="6"/>
  <c r="K135" i="6"/>
  <c r="I137" i="6"/>
  <c r="K137" i="6"/>
  <c r="I138" i="6"/>
  <c r="K138" i="6"/>
  <c r="I140" i="6"/>
  <c r="K140" i="6"/>
  <c r="I141" i="6"/>
  <c r="K141" i="6"/>
  <c r="I143" i="6"/>
  <c r="K143" i="6"/>
  <c r="I144" i="6"/>
  <c r="K144" i="6"/>
  <c r="I146" i="6"/>
  <c r="K146" i="6"/>
  <c r="I147" i="6"/>
  <c r="K147" i="6"/>
  <c r="I149" i="6"/>
  <c r="K149" i="6"/>
  <c r="I150" i="6"/>
  <c r="K150" i="6"/>
  <c r="I152" i="6"/>
  <c r="K152" i="6"/>
  <c r="I153" i="6"/>
  <c r="K153" i="6"/>
  <c r="I155" i="6"/>
  <c r="K155" i="6"/>
  <c r="I156" i="6"/>
  <c r="K156" i="6"/>
  <c r="I158" i="6"/>
  <c r="K158" i="6"/>
  <c r="I159" i="6"/>
  <c r="K159" i="6"/>
  <c r="I161" i="6"/>
  <c r="K161" i="6"/>
  <c r="I162" i="6"/>
  <c r="K162" i="6"/>
  <c r="I164" i="6"/>
  <c r="K164" i="6"/>
  <c r="I165" i="6"/>
  <c r="K165" i="6"/>
  <c r="I167" i="6"/>
  <c r="K167" i="6"/>
  <c r="I168" i="6"/>
  <c r="K168" i="6"/>
  <c r="I170" i="6"/>
  <c r="K170" i="6"/>
  <c r="I171" i="6"/>
  <c r="K171" i="6"/>
  <c r="E137" i="6"/>
  <c r="E140" i="6"/>
  <c r="E143" i="6"/>
  <c r="E146" i="6"/>
  <c r="E149" i="6"/>
  <c r="E152" i="6"/>
  <c r="E155" i="6"/>
  <c r="E158" i="6"/>
  <c r="E161" i="6"/>
  <c r="E164" i="6"/>
  <c r="E167" i="6"/>
  <c r="E170" i="6"/>
  <c r="E134" i="6"/>
  <c r="E130" i="6"/>
  <c r="E129" i="6"/>
  <c r="E127" i="6"/>
  <c r="E126" i="6"/>
  <c r="E124" i="6"/>
  <c r="E123" i="6"/>
  <c r="E121" i="6"/>
  <c r="E120" i="6"/>
  <c r="E118" i="6"/>
  <c r="E117" i="6"/>
  <c r="E115" i="6"/>
  <c r="E114" i="6"/>
  <c r="E112" i="6"/>
  <c r="E111" i="6"/>
  <c r="E109" i="6"/>
  <c r="E108" i="6"/>
  <c r="E106" i="6"/>
  <c r="E105" i="6"/>
  <c r="E103" i="6"/>
  <c r="E102" i="6"/>
  <c r="E100" i="6"/>
  <c r="E99" i="6"/>
  <c r="E97" i="6"/>
  <c r="E96" i="6"/>
  <c r="E94" i="6"/>
  <c r="E93" i="6"/>
  <c r="I92" i="6"/>
  <c r="K92" i="6"/>
  <c r="I93" i="6"/>
  <c r="K93" i="6"/>
  <c r="I95" i="6"/>
  <c r="K95" i="6"/>
  <c r="I96" i="6"/>
  <c r="K96" i="6"/>
  <c r="I98" i="6"/>
  <c r="K98" i="6"/>
  <c r="I99" i="6"/>
  <c r="K99" i="6"/>
  <c r="I101" i="6"/>
  <c r="K101" i="6"/>
  <c r="I102" i="6"/>
  <c r="K102" i="6"/>
  <c r="I104" i="6"/>
  <c r="K104" i="6"/>
  <c r="I105" i="6"/>
  <c r="K105" i="6"/>
  <c r="I107" i="6"/>
  <c r="K107" i="6"/>
  <c r="I108" i="6"/>
  <c r="K108" i="6"/>
  <c r="I110" i="6"/>
  <c r="K110" i="6"/>
  <c r="I111" i="6"/>
  <c r="K111" i="6"/>
  <c r="I113" i="6"/>
  <c r="K113" i="6"/>
  <c r="I114" i="6"/>
  <c r="K114" i="6"/>
  <c r="I116" i="6"/>
  <c r="K116" i="6"/>
  <c r="I117" i="6"/>
  <c r="K117" i="6"/>
  <c r="I119" i="6"/>
  <c r="K119" i="6"/>
  <c r="I120" i="6"/>
  <c r="K120" i="6"/>
  <c r="I122" i="6"/>
  <c r="K122" i="6"/>
  <c r="I123" i="6"/>
  <c r="K123" i="6"/>
  <c r="I125" i="6"/>
  <c r="K125" i="6"/>
  <c r="I126" i="6"/>
  <c r="K126" i="6"/>
  <c r="I128" i="6"/>
  <c r="K128" i="6"/>
  <c r="I129" i="6"/>
  <c r="K129" i="6"/>
  <c r="E128" i="6"/>
  <c r="E95" i="6"/>
  <c r="E98" i="6"/>
  <c r="E101" i="6"/>
  <c r="E104" i="6"/>
  <c r="E107" i="6"/>
  <c r="E110" i="6"/>
  <c r="E113" i="6"/>
  <c r="E116" i="6"/>
  <c r="E119" i="6"/>
  <c r="E122" i="6"/>
  <c r="E125" i="6"/>
  <c r="E92" i="6"/>
  <c r="E90" i="6"/>
  <c r="E89" i="6"/>
  <c r="E84" i="6"/>
  <c r="E83" i="6"/>
  <c r="E81" i="6"/>
  <c r="E80" i="6"/>
  <c r="E78" i="6"/>
  <c r="E77" i="6"/>
  <c r="E75" i="6"/>
  <c r="E74" i="6"/>
  <c r="E72" i="6"/>
  <c r="E71" i="6"/>
  <c r="E69" i="6"/>
  <c r="E68" i="6"/>
  <c r="E67" i="6"/>
  <c r="E66" i="6"/>
  <c r="E65" i="6"/>
  <c r="E63" i="6"/>
  <c r="E62" i="6"/>
  <c r="E60" i="6"/>
  <c r="E59" i="6"/>
  <c r="E57" i="6"/>
  <c r="E56" i="6"/>
  <c r="I55" i="6"/>
  <c r="K55" i="6"/>
  <c r="I56" i="6"/>
  <c r="K56" i="6"/>
  <c r="I58" i="6"/>
  <c r="K58" i="6"/>
  <c r="I59" i="6"/>
  <c r="K59" i="6"/>
  <c r="I61" i="6"/>
  <c r="K61" i="6"/>
  <c r="I62" i="6"/>
  <c r="K62" i="6"/>
  <c r="I64" i="6"/>
  <c r="K64" i="6"/>
  <c r="I65" i="6"/>
  <c r="K65" i="6"/>
  <c r="I67" i="6"/>
  <c r="K67" i="6"/>
  <c r="I68" i="6"/>
  <c r="K68" i="6"/>
  <c r="I70" i="6"/>
  <c r="K70" i="6"/>
  <c r="I71" i="6"/>
  <c r="K71" i="6"/>
  <c r="I73" i="6"/>
  <c r="K73" i="6"/>
  <c r="I74" i="6"/>
  <c r="K74" i="6"/>
  <c r="I76" i="6"/>
  <c r="K76" i="6"/>
  <c r="I77" i="6"/>
  <c r="K77" i="6"/>
  <c r="I79" i="6"/>
  <c r="K79" i="6"/>
  <c r="I80" i="6"/>
  <c r="K80" i="6"/>
  <c r="I82" i="6"/>
  <c r="K82" i="6"/>
  <c r="I83" i="6"/>
  <c r="K83" i="6"/>
  <c r="I88" i="6"/>
  <c r="K88" i="6"/>
  <c r="I89" i="6"/>
  <c r="K89" i="6"/>
  <c r="E58" i="6"/>
  <c r="E61" i="6"/>
  <c r="E64" i="6"/>
  <c r="E70" i="6"/>
  <c r="E73" i="6"/>
  <c r="E76" i="6"/>
  <c r="E79" i="6"/>
  <c r="E82" i="6"/>
  <c r="E88" i="6"/>
  <c r="E55" i="6"/>
  <c r="E54" i="6"/>
  <c r="E53" i="6"/>
  <c r="E51" i="6"/>
  <c r="E50" i="6"/>
  <c r="E48" i="6"/>
  <c r="E47" i="6"/>
  <c r="E45" i="6"/>
  <c r="E44" i="6"/>
  <c r="E42" i="6"/>
  <c r="E41" i="6"/>
  <c r="E39" i="6"/>
  <c r="E38" i="6"/>
  <c r="E36" i="6"/>
  <c r="E35" i="6"/>
  <c r="E33" i="6"/>
  <c r="E32" i="6"/>
  <c r="E30" i="6"/>
  <c r="E29" i="6"/>
  <c r="E27" i="6"/>
  <c r="E26" i="6"/>
  <c r="E24" i="6"/>
  <c r="E23" i="6"/>
  <c r="I22" i="6"/>
  <c r="K22" i="6"/>
  <c r="I23" i="6"/>
  <c r="K23" i="6"/>
  <c r="I25" i="6"/>
  <c r="K25" i="6"/>
  <c r="I26" i="6"/>
  <c r="K26" i="6"/>
  <c r="I28" i="6"/>
  <c r="K28" i="6"/>
  <c r="I29" i="6"/>
  <c r="K29" i="6"/>
  <c r="I31" i="6"/>
  <c r="K31" i="6"/>
  <c r="I32" i="6"/>
  <c r="K32" i="6"/>
  <c r="I34" i="6"/>
  <c r="K34" i="6"/>
  <c r="I35" i="6"/>
  <c r="K35" i="6"/>
  <c r="I37" i="6"/>
  <c r="K37" i="6"/>
  <c r="I38" i="6"/>
  <c r="K38" i="6"/>
  <c r="I40" i="6"/>
  <c r="K40" i="6"/>
  <c r="I41" i="6"/>
  <c r="K41" i="6"/>
  <c r="I43" i="6"/>
  <c r="K43" i="6"/>
  <c r="I44" i="6"/>
  <c r="K44" i="6"/>
  <c r="I46" i="6"/>
  <c r="K46" i="6"/>
  <c r="I47" i="6"/>
  <c r="K47" i="6"/>
  <c r="I49" i="6"/>
  <c r="K49" i="6"/>
  <c r="I50" i="6"/>
  <c r="K50" i="6"/>
  <c r="I52" i="6"/>
  <c r="K52" i="6"/>
  <c r="I53" i="6"/>
  <c r="K53" i="6"/>
  <c r="E25" i="6"/>
  <c r="E28" i="6"/>
  <c r="E31" i="6"/>
  <c r="E34" i="6"/>
  <c r="E37" i="6"/>
  <c r="E40" i="6"/>
  <c r="E43" i="6"/>
  <c r="E46" i="6"/>
  <c r="E49" i="6"/>
  <c r="E52" i="6"/>
  <c r="E22" i="6"/>
  <c r="N21" i="6"/>
  <c r="I20" i="6"/>
  <c r="K20" i="6"/>
  <c r="N20" i="6"/>
  <c r="H20" i="6"/>
  <c r="I18" i="6"/>
  <c r="K18" i="6"/>
  <c r="N18" i="6"/>
  <c r="H18" i="6"/>
  <c r="I17" i="6"/>
  <c r="K17" i="6"/>
  <c r="N17" i="6"/>
  <c r="H17" i="6"/>
  <c r="E19" i="6"/>
  <c r="E18" i="6"/>
  <c r="E17" i="6"/>
  <c r="I15" i="6"/>
  <c r="K15" i="6"/>
  <c r="N15" i="6"/>
  <c r="H15" i="6"/>
  <c r="N14" i="6"/>
  <c r="I14" i="6"/>
  <c r="K14" i="6"/>
  <c r="H14" i="6"/>
  <c r="E16" i="6"/>
  <c r="E15" i="6"/>
  <c r="E14" i="6"/>
  <c r="I12" i="6"/>
  <c r="K12" i="6"/>
  <c r="N12" i="6"/>
  <c r="H12" i="6"/>
  <c r="I11" i="6"/>
  <c r="K11" i="6"/>
  <c r="N11" i="6"/>
  <c r="H11" i="6"/>
  <c r="E13" i="6"/>
  <c r="E12" i="6"/>
  <c r="E11" i="6"/>
  <c r="I9" i="6"/>
  <c r="K9" i="6"/>
  <c r="N9" i="6"/>
  <c r="H9" i="6"/>
  <c r="I8" i="6"/>
  <c r="K8" i="6"/>
  <c r="N8" i="6"/>
  <c r="H8" i="6"/>
  <c r="E10" i="6"/>
  <c r="E9" i="6"/>
  <c r="E8" i="6"/>
  <c r="E7" i="6"/>
  <c r="E6" i="6"/>
  <c r="I6" i="6"/>
  <c r="K6" i="6"/>
  <c r="N6" i="6"/>
  <c r="H6" i="6"/>
  <c r="I5" i="6"/>
  <c r="K5" i="6"/>
  <c r="N5" i="6"/>
  <c r="H5" i="6"/>
  <c r="E5" i="6"/>
  <c r="I3" i="6"/>
  <c r="K3" i="6"/>
  <c r="N3" i="6"/>
  <c r="H3" i="6"/>
  <c r="I2" i="6"/>
  <c r="K2" i="6"/>
  <c r="N2" i="6"/>
  <c r="H2" i="6"/>
  <c r="G28" i="1" l="1"/>
  <c r="I28" i="1" s="1"/>
  <c r="G27" i="1"/>
  <c r="J27" i="1" s="1"/>
  <c r="I27" i="1" l="1"/>
  <c r="J28" i="1"/>
  <c r="M47" i="5"/>
  <c r="M15" i="5"/>
  <c r="I97" i="6" s="1"/>
  <c r="O15" i="5"/>
  <c r="M17" i="5"/>
  <c r="I100" i="6" s="1"/>
  <c r="O17" i="5"/>
  <c r="K100" i="6" s="1"/>
  <c r="M19" i="5"/>
  <c r="O19" i="5"/>
  <c r="M21" i="5"/>
  <c r="I106" i="6" s="1"/>
  <c r="O21" i="5"/>
  <c r="K106" i="6" s="1"/>
  <c r="M23" i="5"/>
  <c r="I109" i="6" s="1"/>
  <c r="O23" i="5"/>
  <c r="M25" i="5"/>
  <c r="I112" i="6" s="1"/>
  <c r="O25" i="5"/>
  <c r="K112" i="6" s="1"/>
  <c r="M27" i="5"/>
  <c r="I115" i="6" s="1"/>
  <c r="O27" i="5"/>
  <c r="M29" i="5"/>
  <c r="I118" i="6" s="1"/>
  <c r="O29" i="5"/>
  <c r="K118" i="6" s="1"/>
  <c r="M31" i="5"/>
  <c r="I121" i="6" s="1"/>
  <c r="O31" i="5"/>
  <c r="M33" i="5"/>
  <c r="I124" i="6" s="1"/>
  <c r="O33" i="5"/>
  <c r="K124" i="6" s="1"/>
  <c r="M35" i="5"/>
  <c r="I127" i="6" s="1"/>
  <c r="O35" i="5"/>
  <c r="M43" i="5"/>
  <c r="O43" i="5"/>
  <c r="O47" i="5"/>
  <c r="M49" i="5"/>
  <c r="I139" i="6" s="1"/>
  <c r="O49" i="5"/>
  <c r="K139" i="6" s="1"/>
  <c r="M51" i="5"/>
  <c r="I142" i="6" s="1"/>
  <c r="O51" i="5"/>
  <c r="M53" i="5"/>
  <c r="I145" i="6" s="1"/>
  <c r="O53" i="5"/>
  <c r="M55" i="5"/>
  <c r="I148" i="6" s="1"/>
  <c r="O55" i="5"/>
  <c r="M57" i="5"/>
  <c r="I151" i="6" s="1"/>
  <c r="O57" i="5"/>
  <c r="K151" i="6" s="1"/>
  <c r="M59" i="5"/>
  <c r="I154" i="6" s="1"/>
  <c r="O59" i="5"/>
  <c r="M61" i="5"/>
  <c r="I157" i="6" s="1"/>
  <c r="O61" i="5"/>
  <c r="K157" i="6" s="1"/>
  <c r="M63" i="5"/>
  <c r="I160" i="6" s="1"/>
  <c r="O63" i="5"/>
  <c r="M65" i="5"/>
  <c r="I163" i="6" s="1"/>
  <c r="O65" i="5"/>
  <c r="K163" i="6" s="1"/>
  <c r="M67" i="5"/>
  <c r="I166" i="6" s="1"/>
  <c r="O67" i="5"/>
  <c r="M69" i="5"/>
  <c r="I169" i="6" s="1"/>
  <c r="O69" i="5"/>
  <c r="K169" i="6" s="1"/>
  <c r="M77" i="5"/>
  <c r="I172" i="6" s="1"/>
  <c r="O77" i="5"/>
  <c r="O13" i="5"/>
  <c r="M13" i="5"/>
  <c r="H13" i="5"/>
  <c r="J92" i="6" s="1"/>
  <c r="K130" i="6" l="1"/>
  <c r="K133" i="6"/>
  <c r="I130" i="6"/>
  <c r="I133" i="6"/>
  <c r="I136" i="6"/>
  <c r="F26" i="1"/>
  <c r="K145" i="6"/>
  <c r="H26" i="1"/>
  <c r="I103" i="6"/>
  <c r="M83" i="5"/>
  <c r="K154" i="6"/>
  <c r="K97" i="6"/>
  <c r="J13" i="5"/>
  <c r="L92" i="6" s="1"/>
  <c r="K136" i="6"/>
  <c r="K103" i="6"/>
  <c r="K13" i="5"/>
  <c r="M92" i="6" s="1"/>
  <c r="I94" i="6"/>
  <c r="K166" i="6"/>
  <c r="K142" i="6"/>
  <c r="K109" i="6"/>
  <c r="K94" i="6"/>
  <c r="K121" i="6"/>
  <c r="K160" i="6"/>
  <c r="K127" i="6"/>
  <c r="F25" i="1"/>
  <c r="H92" i="6"/>
  <c r="K172" i="6"/>
  <c r="K148" i="6"/>
  <c r="K115" i="6"/>
  <c r="F49" i="5"/>
  <c r="F50" i="5"/>
  <c r="H138" i="6" s="1"/>
  <c r="F51" i="5"/>
  <c r="F52" i="5"/>
  <c r="H141" i="6" s="1"/>
  <c r="F53" i="5"/>
  <c r="F54" i="5"/>
  <c r="H144" i="6" s="1"/>
  <c r="F55" i="5"/>
  <c r="F56" i="5"/>
  <c r="H147" i="6" s="1"/>
  <c r="F57" i="5"/>
  <c r="F58" i="5"/>
  <c r="H150" i="6" s="1"/>
  <c r="F59" i="5"/>
  <c r="F60" i="5"/>
  <c r="H153" i="6" s="1"/>
  <c r="F61" i="5"/>
  <c r="F62" i="5"/>
  <c r="H156" i="6" s="1"/>
  <c r="F63" i="5"/>
  <c r="F64" i="5"/>
  <c r="H159" i="6" s="1"/>
  <c r="F65" i="5"/>
  <c r="F66" i="5"/>
  <c r="H162" i="6" s="1"/>
  <c r="F67" i="5"/>
  <c r="F68" i="5"/>
  <c r="H165" i="6" s="1"/>
  <c r="F69" i="5"/>
  <c r="F70" i="5"/>
  <c r="H168" i="6" s="1"/>
  <c r="F77" i="5"/>
  <c r="F78" i="5"/>
  <c r="H171" i="6" s="1"/>
  <c r="F48" i="5"/>
  <c r="H135" i="6" s="1"/>
  <c r="H164" i="6" l="1"/>
  <c r="H67" i="5"/>
  <c r="L67" i="5"/>
  <c r="H152" i="6"/>
  <c r="L59" i="5"/>
  <c r="H59" i="5"/>
  <c r="H146" i="6"/>
  <c r="L55" i="5"/>
  <c r="H55" i="5"/>
  <c r="H140" i="6"/>
  <c r="L51" i="5"/>
  <c r="H51" i="5"/>
  <c r="H170" i="6"/>
  <c r="L77" i="5"/>
  <c r="H77" i="5"/>
  <c r="H158" i="6"/>
  <c r="H63" i="5"/>
  <c r="L63" i="5"/>
  <c r="H134" i="6"/>
  <c r="L47" i="5"/>
  <c r="H47" i="5"/>
  <c r="F29" i="1"/>
  <c r="H167" i="6"/>
  <c r="L69" i="5"/>
  <c r="H69" i="5"/>
  <c r="H161" i="6"/>
  <c r="H65" i="5"/>
  <c r="L65" i="5"/>
  <c r="H155" i="6"/>
  <c r="L61" i="5"/>
  <c r="H61" i="5"/>
  <c r="H149" i="6"/>
  <c r="L57" i="5"/>
  <c r="H57" i="5"/>
  <c r="H143" i="6"/>
  <c r="L53" i="5"/>
  <c r="H53" i="5"/>
  <c r="H137" i="6"/>
  <c r="L49" i="5"/>
  <c r="H49" i="5"/>
  <c r="F44" i="5"/>
  <c r="H129" i="6" s="1"/>
  <c r="F43" i="5"/>
  <c r="F15" i="5"/>
  <c r="F16" i="5"/>
  <c r="H96" i="6" s="1"/>
  <c r="F17" i="5"/>
  <c r="F18" i="5"/>
  <c r="H99" i="6" s="1"/>
  <c r="F20" i="5"/>
  <c r="F21" i="5"/>
  <c r="F22" i="5"/>
  <c r="H105" i="6" s="1"/>
  <c r="F23" i="5"/>
  <c r="F24" i="5"/>
  <c r="H108" i="6" s="1"/>
  <c r="F25" i="5"/>
  <c r="H25" i="5" s="1"/>
  <c r="F26" i="5"/>
  <c r="H111" i="6" s="1"/>
  <c r="F28" i="5"/>
  <c r="H114" i="6" s="1"/>
  <c r="F29" i="5"/>
  <c r="F30" i="5"/>
  <c r="H117" i="6" s="1"/>
  <c r="F31" i="5"/>
  <c r="H31" i="5" s="1"/>
  <c r="F32" i="5"/>
  <c r="H120" i="6" s="1"/>
  <c r="F33" i="5"/>
  <c r="F34" i="5"/>
  <c r="H123" i="6" s="1"/>
  <c r="F35" i="5"/>
  <c r="F36" i="5"/>
  <c r="H126" i="6" s="1"/>
  <c r="E5" i="5"/>
  <c r="E4" i="5"/>
  <c r="D6" i="5"/>
  <c r="C6" i="5"/>
  <c r="E6" i="5" l="1"/>
  <c r="E26" i="1"/>
  <c r="G26" i="1" s="1"/>
  <c r="J26" i="1" s="1"/>
  <c r="F83" i="5"/>
  <c r="H83" i="5" s="1"/>
  <c r="H102" i="6"/>
  <c r="L19" i="5"/>
  <c r="H93" i="6"/>
  <c r="H14" i="5"/>
  <c r="L13" i="5"/>
  <c r="H116" i="6"/>
  <c r="H29" i="5"/>
  <c r="L29" i="5"/>
  <c r="H98" i="6"/>
  <c r="L17" i="5"/>
  <c r="H17" i="5"/>
  <c r="J51" i="5"/>
  <c r="J140" i="6"/>
  <c r="K51" i="5"/>
  <c r="M140" i="6" s="1"/>
  <c r="H148" i="6"/>
  <c r="N55" i="5"/>
  <c r="J143" i="6"/>
  <c r="K53" i="5"/>
  <c r="M143" i="6" s="1"/>
  <c r="J53" i="5"/>
  <c r="N57" i="5"/>
  <c r="H151" i="6"/>
  <c r="J167" i="6"/>
  <c r="K69" i="5"/>
  <c r="M167" i="6" s="1"/>
  <c r="J69" i="5"/>
  <c r="J77" i="5"/>
  <c r="J170" i="6"/>
  <c r="K77" i="5"/>
  <c r="M170" i="6" s="1"/>
  <c r="H142" i="6"/>
  <c r="N51" i="5"/>
  <c r="H166" i="6"/>
  <c r="N67" i="5"/>
  <c r="H122" i="6"/>
  <c r="L33" i="5"/>
  <c r="H33" i="5"/>
  <c r="H104" i="6"/>
  <c r="L21" i="5"/>
  <c r="H21" i="5"/>
  <c r="J149" i="6"/>
  <c r="K57" i="5"/>
  <c r="M149" i="6" s="1"/>
  <c r="J57" i="5"/>
  <c r="H125" i="6"/>
  <c r="L35" i="5"/>
  <c r="H35" i="5"/>
  <c r="H113" i="6"/>
  <c r="L27" i="5"/>
  <c r="H27" i="5"/>
  <c r="H101" i="6"/>
  <c r="H95" i="6"/>
  <c r="L15" i="5"/>
  <c r="H15" i="5"/>
  <c r="J137" i="6"/>
  <c r="K49" i="5"/>
  <c r="M137" i="6" s="1"/>
  <c r="J49" i="5"/>
  <c r="N53" i="5"/>
  <c r="H145" i="6"/>
  <c r="N65" i="5"/>
  <c r="H163" i="6"/>
  <c r="N69" i="5"/>
  <c r="H169" i="6"/>
  <c r="J47" i="5"/>
  <c r="J134" i="6"/>
  <c r="K47" i="5"/>
  <c r="M134" i="6" s="1"/>
  <c r="H160" i="6"/>
  <c r="N63" i="5"/>
  <c r="H172" i="6"/>
  <c r="N77" i="5"/>
  <c r="J59" i="5"/>
  <c r="J152" i="6"/>
  <c r="K59" i="5"/>
  <c r="M152" i="6" s="1"/>
  <c r="J67" i="5"/>
  <c r="J164" i="6"/>
  <c r="K67" i="5"/>
  <c r="M164" i="6" s="1"/>
  <c r="H110" i="6"/>
  <c r="L25" i="5"/>
  <c r="N61" i="5"/>
  <c r="H157" i="6"/>
  <c r="H119" i="6"/>
  <c r="L31" i="5"/>
  <c r="H107" i="6"/>
  <c r="H23" i="5"/>
  <c r="L23" i="5"/>
  <c r="H128" i="6"/>
  <c r="H43" i="5"/>
  <c r="K43" i="5" s="1"/>
  <c r="L43" i="5"/>
  <c r="N49" i="5"/>
  <c r="H139" i="6"/>
  <c r="J155" i="6"/>
  <c r="K61" i="5"/>
  <c r="M155" i="6" s="1"/>
  <c r="J61" i="5"/>
  <c r="J161" i="6"/>
  <c r="K65" i="5"/>
  <c r="M161" i="6" s="1"/>
  <c r="J65" i="5"/>
  <c r="H136" i="6"/>
  <c r="N47" i="5"/>
  <c r="J63" i="5"/>
  <c r="J158" i="6"/>
  <c r="K63" i="5"/>
  <c r="M158" i="6" s="1"/>
  <c r="J55" i="5"/>
  <c r="J146" i="6"/>
  <c r="K55" i="5"/>
  <c r="M146" i="6" s="1"/>
  <c r="H154" i="6"/>
  <c r="N59" i="5"/>
  <c r="E25" i="1" l="1"/>
  <c r="L83" i="5"/>
  <c r="N83" i="5" s="1"/>
  <c r="J139" i="6"/>
  <c r="P49" i="5"/>
  <c r="L139" i="6" s="1"/>
  <c r="Q49" i="5"/>
  <c r="M139" i="6" s="1"/>
  <c r="J110" i="6"/>
  <c r="K25" i="5"/>
  <c r="M110" i="6" s="1"/>
  <c r="J25" i="5"/>
  <c r="J19" i="5"/>
  <c r="J101" i="6"/>
  <c r="K19" i="5"/>
  <c r="M101" i="6" s="1"/>
  <c r="J104" i="6"/>
  <c r="K21" i="5"/>
  <c r="M104" i="6" s="1"/>
  <c r="J21" i="5"/>
  <c r="P51" i="5"/>
  <c r="L142" i="6" s="1"/>
  <c r="J142" i="6"/>
  <c r="Q51" i="5"/>
  <c r="M142" i="6" s="1"/>
  <c r="H176" i="6"/>
  <c r="H64" i="5"/>
  <c r="L158" i="6"/>
  <c r="H66" i="5"/>
  <c r="L161" i="6"/>
  <c r="N43" i="5"/>
  <c r="J133" i="6" s="1"/>
  <c r="H130" i="6"/>
  <c r="J23" i="5"/>
  <c r="J107" i="6"/>
  <c r="K23" i="5"/>
  <c r="M107" i="6" s="1"/>
  <c r="N25" i="5"/>
  <c r="H112" i="6"/>
  <c r="H68" i="5"/>
  <c r="L164" i="6"/>
  <c r="P77" i="5"/>
  <c r="L172" i="6" s="1"/>
  <c r="J172" i="6"/>
  <c r="Q77" i="5"/>
  <c r="M172" i="6" s="1"/>
  <c r="J169" i="6"/>
  <c r="Q69" i="5"/>
  <c r="M169" i="6" s="1"/>
  <c r="P69" i="5"/>
  <c r="L169" i="6" s="1"/>
  <c r="J145" i="6"/>
  <c r="P53" i="5"/>
  <c r="L145" i="6" s="1"/>
  <c r="Q53" i="5"/>
  <c r="M145" i="6" s="1"/>
  <c r="J15" i="5"/>
  <c r="J95" i="6"/>
  <c r="K15" i="5"/>
  <c r="M95" i="6" s="1"/>
  <c r="H103" i="6"/>
  <c r="N19" i="5"/>
  <c r="H58" i="5"/>
  <c r="L149" i="6"/>
  <c r="N21" i="5"/>
  <c r="H106" i="6"/>
  <c r="H70" i="5"/>
  <c r="L167" i="6"/>
  <c r="J151" i="6"/>
  <c r="Q57" i="5"/>
  <c r="M151" i="6" s="1"/>
  <c r="P57" i="5"/>
  <c r="L151" i="6" s="1"/>
  <c r="P55" i="5"/>
  <c r="L148" i="6" s="1"/>
  <c r="J148" i="6"/>
  <c r="Q55" i="5"/>
  <c r="M148" i="6" s="1"/>
  <c r="H52" i="5"/>
  <c r="L140" i="6"/>
  <c r="N29" i="5"/>
  <c r="H118" i="6"/>
  <c r="H94" i="6"/>
  <c r="N13" i="5"/>
  <c r="H62" i="5"/>
  <c r="L155" i="6"/>
  <c r="H121" i="6"/>
  <c r="N31" i="5"/>
  <c r="H78" i="5"/>
  <c r="L170" i="6"/>
  <c r="H50" i="5"/>
  <c r="L137" i="6"/>
  <c r="H97" i="6"/>
  <c r="N15" i="5"/>
  <c r="J35" i="5"/>
  <c r="J125" i="6"/>
  <c r="K35" i="5"/>
  <c r="M125" i="6" s="1"/>
  <c r="P67" i="5"/>
  <c r="L166" i="6" s="1"/>
  <c r="J166" i="6"/>
  <c r="Q67" i="5"/>
  <c r="M166" i="6" s="1"/>
  <c r="H54" i="5"/>
  <c r="L143" i="6"/>
  <c r="J98" i="6"/>
  <c r="K17" i="5"/>
  <c r="M98" i="6" s="1"/>
  <c r="J17" i="5"/>
  <c r="J116" i="6"/>
  <c r="K29" i="5"/>
  <c r="M116" i="6" s="1"/>
  <c r="J29" i="5"/>
  <c r="J93" i="6"/>
  <c r="K14" i="5"/>
  <c r="M93" i="6" s="1"/>
  <c r="J14" i="5"/>
  <c r="L93" i="6" s="1"/>
  <c r="H109" i="6"/>
  <c r="N23" i="5"/>
  <c r="H60" i="5"/>
  <c r="L152" i="6"/>
  <c r="H115" i="6"/>
  <c r="N27" i="5"/>
  <c r="N33" i="5"/>
  <c r="H124" i="6"/>
  <c r="P59" i="5"/>
  <c r="L154" i="6" s="1"/>
  <c r="J154" i="6"/>
  <c r="Q59" i="5"/>
  <c r="M154" i="6" s="1"/>
  <c r="H56" i="5"/>
  <c r="L146" i="6"/>
  <c r="J136" i="6"/>
  <c r="P47" i="5"/>
  <c r="L136" i="6" s="1"/>
  <c r="Q47" i="5"/>
  <c r="M136" i="6" s="1"/>
  <c r="J128" i="6"/>
  <c r="M128" i="6"/>
  <c r="J43" i="5"/>
  <c r="I26" i="1"/>
  <c r="J31" i="5"/>
  <c r="J119" i="6"/>
  <c r="K31" i="5"/>
  <c r="M119" i="6" s="1"/>
  <c r="J157" i="6"/>
  <c r="Q61" i="5"/>
  <c r="M157" i="6" s="1"/>
  <c r="P61" i="5"/>
  <c r="L157" i="6" s="1"/>
  <c r="P63" i="5"/>
  <c r="L160" i="6" s="1"/>
  <c r="J160" i="6"/>
  <c r="Q63" i="5"/>
  <c r="M160" i="6" s="1"/>
  <c r="H48" i="5"/>
  <c r="L134" i="6"/>
  <c r="J163" i="6"/>
  <c r="Q65" i="5"/>
  <c r="M163" i="6" s="1"/>
  <c r="P65" i="5"/>
  <c r="L163" i="6" s="1"/>
  <c r="J27" i="5"/>
  <c r="J113" i="6"/>
  <c r="K27" i="5"/>
  <c r="M113" i="6" s="1"/>
  <c r="H127" i="6"/>
  <c r="N35" i="5"/>
  <c r="J122" i="6"/>
  <c r="K33" i="5"/>
  <c r="M122" i="6" s="1"/>
  <c r="J33" i="5"/>
  <c r="N17" i="5"/>
  <c r="H100" i="6"/>
  <c r="E29" i="1" l="1"/>
  <c r="G29" i="1" s="1"/>
  <c r="G25" i="1"/>
  <c r="H24" i="5"/>
  <c r="L107" i="6"/>
  <c r="J162" i="6"/>
  <c r="K66" i="5"/>
  <c r="M162" i="6" s="1"/>
  <c r="J66" i="5"/>
  <c r="L162" i="6" s="1"/>
  <c r="H22" i="5"/>
  <c r="L104" i="6"/>
  <c r="J100" i="6"/>
  <c r="P17" i="5"/>
  <c r="L100" i="6" s="1"/>
  <c r="Q17" i="5"/>
  <c r="M100" i="6" s="1"/>
  <c r="P35" i="5"/>
  <c r="L127" i="6" s="1"/>
  <c r="J127" i="6"/>
  <c r="Q35" i="5"/>
  <c r="M127" i="6" s="1"/>
  <c r="H28" i="5"/>
  <c r="L113" i="6"/>
  <c r="J147" i="6"/>
  <c r="K56" i="5"/>
  <c r="M147" i="6" s="1"/>
  <c r="J56" i="5"/>
  <c r="L147" i="6" s="1"/>
  <c r="H36" i="5"/>
  <c r="L125" i="6"/>
  <c r="J138" i="6"/>
  <c r="K50" i="5"/>
  <c r="M138" i="6" s="1"/>
  <c r="J50" i="5"/>
  <c r="L138" i="6" s="1"/>
  <c r="J94" i="6"/>
  <c r="P13" i="5"/>
  <c r="L94" i="6" s="1"/>
  <c r="Q13" i="5"/>
  <c r="M94" i="6" s="1"/>
  <c r="J118" i="6"/>
  <c r="P29" i="5"/>
  <c r="L118" i="6" s="1"/>
  <c r="Q29" i="5"/>
  <c r="M118" i="6" s="1"/>
  <c r="J106" i="6"/>
  <c r="P21" i="5"/>
  <c r="L106" i="6" s="1"/>
  <c r="Q21" i="5"/>
  <c r="M106" i="6" s="1"/>
  <c r="J112" i="6"/>
  <c r="Q25" i="5"/>
  <c r="M112" i="6" s="1"/>
  <c r="P25" i="5"/>
  <c r="L112" i="6" s="1"/>
  <c r="H20" i="5"/>
  <c r="L101" i="6"/>
  <c r="P19" i="5"/>
  <c r="L103" i="6" s="1"/>
  <c r="J103" i="6"/>
  <c r="Q19" i="5"/>
  <c r="M103" i="6" s="1"/>
  <c r="J135" i="6"/>
  <c r="K48" i="5"/>
  <c r="M135" i="6" s="1"/>
  <c r="J48" i="5"/>
  <c r="L135" i="6" s="1"/>
  <c r="J124" i="6"/>
  <c r="Q33" i="5"/>
  <c r="M124" i="6" s="1"/>
  <c r="P33" i="5"/>
  <c r="L124" i="6" s="1"/>
  <c r="J153" i="6"/>
  <c r="J60" i="5"/>
  <c r="L153" i="6" s="1"/>
  <c r="K60" i="5"/>
  <c r="M153" i="6" s="1"/>
  <c r="P15" i="5"/>
  <c r="L97" i="6" s="1"/>
  <c r="J97" i="6"/>
  <c r="Q15" i="5"/>
  <c r="M97" i="6" s="1"/>
  <c r="J130" i="6"/>
  <c r="P43" i="5"/>
  <c r="Q43" i="5"/>
  <c r="J159" i="6"/>
  <c r="K64" i="5"/>
  <c r="M159" i="6" s="1"/>
  <c r="J64" i="5"/>
  <c r="L159" i="6" s="1"/>
  <c r="H26" i="5"/>
  <c r="L110" i="6"/>
  <c r="H30" i="5"/>
  <c r="L116" i="6"/>
  <c r="P31" i="5"/>
  <c r="L121" i="6" s="1"/>
  <c r="J121" i="6"/>
  <c r="Q31" i="5"/>
  <c r="M121" i="6" s="1"/>
  <c r="H16" i="5"/>
  <c r="L95" i="6"/>
  <c r="H34" i="5"/>
  <c r="L122" i="6"/>
  <c r="H44" i="5"/>
  <c r="K44" i="5" s="1"/>
  <c r="L128" i="6"/>
  <c r="H32" i="5"/>
  <c r="L119" i="6"/>
  <c r="P27" i="5"/>
  <c r="L115" i="6" s="1"/>
  <c r="J115" i="6"/>
  <c r="Q27" i="5"/>
  <c r="M115" i="6" s="1"/>
  <c r="P23" i="5"/>
  <c r="L109" i="6" s="1"/>
  <c r="J109" i="6"/>
  <c r="Q23" i="5"/>
  <c r="M109" i="6" s="1"/>
  <c r="H18" i="5"/>
  <c r="L98" i="6"/>
  <c r="J144" i="6"/>
  <c r="K54" i="5"/>
  <c r="M144" i="6" s="1"/>
  <c r="J54" i="5"/>
  <c r="L144" i="6" s="1"/>
  <c r="J171" i="6"/>
  <c r="J78" i="5"/>
  <c r="L171" i="6" s="1"/>
  <c r="K78" i="5"/>
  <c r="M171" i="6" s="1"/>
  <c r="J156" i="6"/>
  <c r="J62" i="5"/>
  <c r="L156" i="6" s="1"/>
  <c r="K62" i="5"/>
  <c r="M156" i="6" s="1"/>
  <c r="J141" i="6"/>
  <c r="J52" i="5"/>
  <c r="L141" i="6" s="1"/>
  <c r="K52" i="5"/>
  <c r="M141" i="6" s="1"/>
  <c r="J168" i="6"/>
  <c r="K70" i="5"/>
  <c r="M168" i="6" s="1"/>
  <c r="J70" i="5"/>
  <c r="L168" i="6" s="1"/>
  <c r="J150" i="6"/>
  <c r="K58" i="5"/>
  <c r="M150" i="6" s="1"/>
  <c r="J58" i="5"/>
  <c r="L150" i="6" s="1"/>
  <c r="J165" i="6"/>
  <c r="J68" i="5"/>
  <c r="L165" i="6" s="1"/>
  <c r="K68" i="5"/>
  <c r="M165" i="6" s="1"/>
  <c r="J176" i="6"/>
  <c r="H60" i="3"/>
  <c r="K91" i="6" s="1"/>
  <c r="F60" i="3"/>
  <c r="I91" i="6" s="1"/>
  <c r="H19" i="2"/>
  <c r="K21" i="6" s="1"/>
  <c r="F19" i="2"/>
  <c r="I21" i="6" s="1"/>
  <c r="M18" i="2"/>
  <c r="F9" i="1" s="1"/>
  <c r="G9" i="1" s="1"/>
  <c r="O18" i="2"/>
  <c r="H9" i="1" s="1"/>
  <c r="L18" i="2"/>
  <c r="G18" i="2"/>
  <c r="J20" i="6" s="1"/>
  <c r="J9" i="1" l="1"/>
  <c r="I9" i="1"/>
  <c r="M130" i="6"/>
  <c r="M133" i="6"/>
  <c r="L130" i="6"/>
  <c r="L133" i="6"/>
  <c r="I18" i="2"/>
  <c r="L20" i="6" s="1"/>
  <c r="J18" i="2"/>
  <c r="N18" i="2"/>
  <c r="J129" i="6"/>
  <c r="M129" i="6"/>
  <c r="J44" i="5"/>
  <c r="L129" i="6" s="1"/>
  <c r="J114" i="6"/>
  <c r="J28" i="5"/>
  <c r="L114" i="6" s="1"/>
  <c r="K28" i="5"/>
  <c r="M114" i="6" s="1"/>
  <c r="J105" i="6"/>
  <c r="K22" i="5"/>
  <c r="M105" i="6" s="1"/>
  <c r="J22" i="5"/>
  <c r="L105" i="6" s="1"/>
  <c r="J117" i="6"/>
  <c r="K30" i="5"/>
  <c r="M117" i="6" s="1"/>
  <c r="J30" i="5"/>
  <c r="L117" i="6" s="1"/>
  <c r="J108" i="6"/>
  <c r="K24" i="5"/>
  <c r="M108" i="6" s="1"/>
  <c r="J24" i="5"/>
  <c r="L108" i="6" s="1"/>
  <c r="J99" i="6"/>
  <c r="K18" i="5"/>
  <c r="M99" i="6" s="1"/>
  <c r="J18" i="5"/>
  <c r="L99" i="6" s="1"/>
  <c r="J120" i="6"/>
  <c r="K32" i="5"/>
  <c r="M120" i="6" s="1"/>
  <c r="J32" i="5"/>
  <c r="L120" i="6" s="1"/>
  <c r="J123" i="6"/>
  <c r="K34" i="5"/>
  <c r="M123" i="6" s="1"/>
  <c r="J34" i="5"/>
  <c r="L123" i="6" s="1"/>
  <c r="J102" i="6"/>
  <c r="J20" i="5"/>
  <c r="L102" i="6" s="1"/>
  <c r="K20" i="5"/>
  <c r="M102" i="6" s="1"/>
  <c r="J96" i="6"/>
  <c r="J16" i="5"/>
  <c r="L96" i="6" s="1"/>
  <c r="K16" i="5"/>
  <c r="M96" i="6" s="1"/>
  <c r="J111" i="6"/>
  <c r="J26" i="5"/>
  <c r="L111" i="6" s="1"/>
  <c r="K26" i="5"/>
  <c r="M111" i="6" s="1"/>
  <c r="J126" i="6"/>
  <c r="J36" i="5"/>
  <c r="L126" i="6" s="1"/>
  <c r="K36" i="5"/>
  <c r="M126" i="6" s="1"/>
  <c r="L8" i="2"/>
  <c r="M8" i="2"/>
  <c r="O8" i="2"/>
  <c r="L10" i="2"/>
  <c r="H10" i="6" s="1"/>
  <c r="M10" i="2"/>
  <c r="O10" i="2"/>
  <c r="K10" i="6" s="1"/>
  <c r="L12" i="2"/>
  <c r="H13" i="6" s="1"/>
  <c r="M12" i="2"/>
  <c r="O12" i="2"/>
  <c r="L14" i="2"/>
  <c r="M14" i="2"/>
  <c r="I16" i="6" s="1"/>
  <c r="O14" i="2"/>
  <c r="K16" i="6" s="1"/>
  <c r="L16" i="2"/>
  <c r="H19" i="6" s="1"/>
  <c r="M16" i="2"/>
  <c r="O16" i="2"/>
  <c r="O6" i="2"/>
  <c r="M6" i="2"/>
  <c r="L6" i="2"/>
  <c r="G8" i="2"/>
  <c r="I8" i="2" s="1"/>
  <c r="G10" i="2"/>
  <c r="G12" i="2"/>
  <c r="I12" i="2" s="1"/>
  <c r="L11" i="6" s="1"/>
  <c r="G14" i="2"/>
  <c r="J14" i="6" s="1"/>
  <c r="G16" i="2"/>
  <c r="G6" i="2"/>
  <c r="J2" i="6" s="1"/>
  <c r="L8" i="3"/>
  <c r="I27" i="6" s="1"/>
  <c r="N8" i="3"/>
  <c r="K27" i="6" s="1"/>
  <c r="L10" i="3"/>
  <c r="I30" i="6" s="1"/>
  <c r="N10" i="3"/>
  <c r="K30" i="6" s="1"/>
  <c r="L12" i="3"/>
  <c r="I33" i="6" s="1"/>
  <c r="N12" i="3"/>
  <c r="K33" i="6" s="1"/>
  <c r="L14" i="3"/>
  <c r="I36" i="6" s="1"/>
  <c r="N14" i="3"/>
  <c r="K36" i="6" s="1"/>
  <c r="L16" i="3"/>
  <c r="I39" i="6" s="1"/>
  <c r="N16" i="3"/>
  <c r="K39" i="6" s="1"/>
  <c r="L18" i="3"/>
  <c r="I42" i="6" s="1"/>
  <c r="N18" i="3"/>
  <c r="K42" i="6" s="1"/>
  <c r="L20" i="3"/>
  <c r="I45" i="6" s="1"/>
  <c r="N20" i="3"/>
  <c r="K45" i="6" s="1"/>
  <c r="L22" i="3"/>
  <c r="I48" i="6" s="1"/>
  <c r="N22" i="3"/>
  <c r="K48" i="6" s="1"/>
  <c r="L24" i="3"/>
  <c r="N24" i="3"/>
  <c r="K51" i="6" s="1"/>
  <c r="L30" i="3"/>
  <c r="I54" i="6" s="1"/>
  <c r="N30" i="3"/>
  <c r="K54" i="6" s="1"/>
  <c r="L32" i="3"/>
  <c r="N32" i="3"/>
  <c r="K57" i="6" s="1"/>
  <c r="L34" i="3"/>
  <c r="I60" i="6" s="1"/>
  <c r="N34" i="3"/>
  <c r="K60" i="6" s="1"/>
  <c r="L36" i="3"/>
  <c r="N36" i="3"/>
  <c r="K63" i="6" s="1"/>
  <c r="L38" i="3"/>
  <c r="I66" i="6" s="1"/>
  <c r="N38" i="3"/>
  <c r="L40" i="3"/>
  <c r="N40" i="3"/>
  <c r="K69" i="6" s="1"/>
  <c r="L42" i="3"/>
  <c r="I72" i="6" s="1"/>
  <c r="N42" i="3"/>
  <c r="K72" i="6" s="1"/>
  <c r="L44" i="3"/>
  <c r="I75" i="6" s="1"/>
  <c r="N44" i="3"/>
  <c r="K75" i="6" s="1"/>
  <c r="L46" i="3"/>
  <c r="I78" i="6" s="1"/>
  <c r="N46" i="3"/>
  <c r="K78" i="6" s="1"/>
  <c r="L48" i="3"/>
  <c r="N48" i="3"/>
  <c r="K81" i="6" s="1"/>
  <c r="L50" i="3"/>
  <c r="I84" i="6" s="1"/>
  <c r="N50" i="3"/>
  <c r="K84" i="6" s="1"/>
  <c r="L58" i="3"/>
  <c r="I90" i="6" s="1"/>
  <c r="N58" i="3"/>
  <c r="K90" i="6" s="1"/>
  <c r="N6" i="3"/>
  <c r="L6" i="3"/>
  <c r="P18" i="2" l="1"/>
  <c r="J14" i="2"/>
  <c r="M14" i="6" s="1"/>
  <c r="I6" i="2"/>
  <c r="L2" i="6" s="1"/>
  <c r="L5" i="6"/>
  <c r="G9" i="2"/>
  <c r="J9" i="2" s="1"/>
  <c r="M6" i="6" s="1"/>
  <c r="K24" i="6"/>
  <c r="H11" i="1"/>
  <c r="I57" i="6"/>
  <c r="F12" i="1"/>
  <c r="J16" i="2"/>
  <c r="M17" i="6" s="1"/>
  <c r="J17" i="6"/>
  <c r="G13" i="2"/>
  <c r="J13" i="2" s="1"/>
  <c r="M12" i="6" s="1"/>
  <c r="J10" i="2"/>
  <c r="M8" i="6" s="1"/>
  <c r="J8" i="6"/>
  <c r="H4" i="6"/>
  <c r="E7" i="1"/>
  <c r="L19" i="2"/>
  <c r="K13" i="6"/>
  <c r="N10" i="2"/>
  <c r="J10" i="6" s="1"/>
  <c r="I10" i="6"/>
  <c r="I7" i="6"/>
  <c r="F8" i="1"/>
  <c r="I4" i="6"/>
  <c r="F7" i="1"/>
  <c r="M19" i="2"/>
  <c r="N12" i="2"/>
  <c r="Q12" i="2" s="1"/>
  <c r="M13" i="6" s="1"/>
  <c r="I13" i="6"/>
  <c r="H7" i="6"/>
  <c r="E8" i="1"/>
  <c r="I24" i="6"/>
  <c r="F11" i="1"/>
  <c r="L60" i="3"/>
  <c r="I81" i="6"/>
  <c r="I63" i="6"/>
  <c r="J6" i="2"/>
  <c r="M2" i="6" s="1"/>
  <c r="I14" i="2"/>
  <c r="J12" i="2"/>
  <c r="M11" i="6" s="1"/>
  <c r="J11" i="6"/>
  <c r="N6" i="2"/>
  <c r="Q6" i="2" s="1"/>
  <c r="K7" i="6"/>
  <c r="M20" i="6"/>
  <c r="Q18" i="2"/>
  <c r="I69" i="6"/>
  <c r="I51" i="6"/>
  <c r="I16" i="2"/>
  <c r="I10" i="2"/>
  <c r="L8" i="6" s="1"/>
  <c r="J8" i="2"/>
  <c r="M5" i="6" s="1"/>
  <c r="J5" i="6"/>
  <c r="K4" i="6"/>
  <c r="H7" i="1"/>
  <c r="N16" i="2"/>
  <c r="J19" i="6" s="1"/>
  <c r="I19" i="6"/>
  <c r="N14" i="2"/>
  <c r="J16" i="6" s="1"/>
  <c r="H16" i="6"/>
  <c r="N8" i="2"/>
  <c r="K66" i="6"/>
  <c r="H12" i="1"/>
  <c r="N60" i="3"/>
  <c r="K19" i="6"/>
  <c r="H8" i="1"/>
  <c r="O19" i="2"/>
  <c r="E19" i="2"/>
  <c r="G7" i="1" l="1"/>
  <c r="J7" i="1" s="1"/>
  <c r="G8" i="1"/>
  <c r="I8" i="1" s="1"/>
  <c r="I7" i="1"/>
  <c r="G7" i="2"/>
  <c r="J3" i="6" s="1"/>
  <c r="H10" i="1"/>
  <c r="Q10" i="2"/>
  <c r="M10" i="6" s="1"/>
  <c r="Q16" i="2"/>
  <c r="M19" i="6" s="1"/>
  <c r="P16" i="2"/>
  <c r="L19" i="6" s="1"/>
  <c r="P10" i="2"/>
  <c r="L10" i="6" s="1"/>
  <c r="F10" i="1"/>
  <c r="N19" i="2"/>
  <c r="Q19" i="2" s="1"/>
  <c r="F13" i="1"/>
  <c r="P14" i="2"/>
  <c r="L16" i="6" s="1"/>
  <c r="Q14" i="2"/>
  <c r="M16" i="6" s="1"/>
  <c r="G11" i="2"/>
  <c r="H13" i="1"/>
  <c r="E10" i="1"/>
  <c r="P8" i="2"/>
  <c r="L7" i="6" s="1"/>
  <c r="J7" i="6"/>
  <c r="Q8" i="2"/>
  <c r="M7" i="6" s="1"/>
  <c r="G15" i="2"/>
  <c r="L14" i="6"/>
  <c r="H21" i="6"/>
  <c r="G19" i="2"/>
  <c r="J4" i="6"/>
  <c r="P6" i="2"/>
  <c r="L17" i="6"/>
  <c r="G17" i="2"/>
  <c r="P12" i="2"/>
  <c r="L13" i="6" s="1"/>
  <c r="J13" i="6"/>
  <c r="I13" i="2"/>
  <c r="L12" i="6" s="1"/>
  <c r="J12" i="6"/>
  <c r="I9" i="2"/>
  <c r="L6" i="6" s="1"/>
  <c r="J6" i="6"/>
  <c r="H83" i="6"/>
  <c r="H71" i="6"/>
  <c r="H59" i="6"/>
  <c r="H77" i="6"/>
  <c r="H26" i="6"/>
  <c r="H53" i="6"/>
  <c r="H47" i="6"/>
  <c r="H41" i="6"/>
  <c r="H35" i="6"/>
  <c r="H29" i="6"/>
  <c r="J7" i="2" l="1"/>
  <c r="M3" i="6" s="1"/>
  <c r="J8" i="1"/>
  <c r="G10" i="1"/>
  <c r="J10" i="1" s="1"/>
  <c r="I7" i="2"/>
  <c r="L3" i="6" s="1"/>
  <c r="H15" i="1"/>
  <c r="F15" i="1"/>
  <c r="J9" i="6"/>
  <c r="J11" i="2"/>
  <c r="M9" i="6" s="1"/>
  <c r="I11" i="2"/>
  <c r="L9" i="6" s="1"/>
  <c r="P19" i="2"/>
  <c r="H50" i="6"/>
  <c r="H23" i="6"/>
  <c r="H68" i="6"/>
  <c r="H89" i="6"/>
  <c r="H65" i="6"/>
  <c r="I17" i="2"/>
  <c r="L18" i="6" s="1"/>
  <c r="J17" i="2"/>
  <c r="M18" i="6" s="1"/>
  <c r="J18" i="6"/>
  <c r="H34" i="6"/>
  <c r="K14" i="3"/>
  <c r="G14" i="3"/>
  <c r="H52" i="6"/>
  <c r="G30" i="3"/>
  <c r="K30" i="3"/>
  <c r="H37" i="6"/>
  <c r="G16" i="3"/>
  <c r="K16" i="3"/>
  <c r="H31" i="6"/>
  <c r="K12" i="3"/>
  <c r="G12" i="3"/>
  <c r="H61" i="6"/>
  <c r="K36" i="3"/>
  <c r="G36" i="3"/>
  <c r="H73" i="6"/>
  <c r="K44" i="3"/>
  <c r="G44" i="3"/>
  <c r="H79" i="6"/>
  <c r="K48" i="3"/>
  <c r="G48" i="3"/>
  <c r="H58" i="6"/>
  <c r="K34" i="3"/>
  <c r="G34" i="3"/>
  <c r="H82" i="6"/>
  <c r="K50" i="3"/>
  <c r="G50" i="3"/>
  <c r="H55" i="6"/>
  <c r="K32" i="3"/>
  <c r="G32" i="3"/>
  <c r="H38" i="6"/>
  <c r="H74" i="6"/>
  <c r="H56" i="6"/>
  <c r="L4" i="6"/>
  <c r="H43" i="6"/>
  <c r="K20" i="3"/>
  <c r="G20" i="3"/>
  <c r="H44" i="6"/>
  <c r="H32" i="6"/>
  <c r="H62" i="6"/>
  <c r="H80" i="6"/>
  <c r="H28" i="6"/>
  <c r="K10" i="3"/>
  <c r="G10" i="3"/>
  <c r="H40" i="6"/>
  <c r="K18" i="3"/>
  <c r="G18" i="3"/>
  <c r="H46" i="6"/>
  <c r="K22" i="3"/>
  <c r="G22" i="3"/>
  <c r="H25" i="6"/>
  <c r="K8" i="3"/>
  <c r="G8" i="3"/>
  <c r="H49" i="6"/>
  <c r="G24" i="3"/>
  <c r="K24" i="3"/>
  <c r="H22" i="6"/>
  <c r="K6" i="3"/>
  <c r="G6" i="3"/>
  <c r="H67" i="6"/>
  <c r="K40" i="3"/>
  <c r="G40" i="3"/>
  <c r="H76" i="6"/>
  <c r="K46" i="3"/>
  <c r="G46" i="3"/>
  <c r="H88" i="6"/>
  <c r="K58" i="3"/>
  <c r="G58" i="3"/>
  <c r="H70" i="6"/>
  <c r="K42" i="3"/>
  <c r="G42" i="3"/>
  <c r="H64" i="6"/>
  <c r="G38" i="3"/>
  <c r="K38" i="3"/>
  <c r="M4" i="6"/>
  <c r="J21" i="6"/>
  <c r="J19" i="2"/>
  <c r="M21" i="6" s="1"/>
  <c r="I19" i="2"/>
  <c r="L21" i="6" s="1"/>
  <c r="J15" i="6"/>
  <c r="J15" i="2"/>
  <c r="M15" i="6" s="1"/>
  <c r="I15" i="2"/>
  <c r="L15" i="6" s="1"/>
  <c r="I10" i="1" l="1"/>
  <c r="H66" i="6"/>
  <c r="M38" i="3"/>
  <c r="M42" i="3"/>
  <c r="H72" i="6"/>
  <c r="J67" i="6"/>
  <c r="I40" i="3"/>
  <c r="J40" i="3"/>
  <c r="M67" i="6" s="1"/>
  <c r="J22" i="6"/>
  <c r="J6" i="3"/>
  <c r="M22" i="6" s="1"/>
  <c r="I6" i="3"/>
  <c r="J49" i="6"/>
  <c r="I24" i="3"/>
  <c r="J24" i="3"/>
  <c r="M49" i="6" s="1"/>
  <c r="J18" i="3"/>
  <c r="M40" i="6" s="1"/>
  <c r="J40" i="6"/>
  <c r="I18" i="3"/>
  <c r="H30" i="6"/>
  <c r="M10" i="3"/>
  <c r="J50" i="3"/>
  <c r="M82" i="6" s="1"/>
  <c r="J82" i="6"/>
  <c r="I50" i="3"/>
  <c r="M34" i="3"/>
  <c r="H60" i="6"/>
  <c r="J61" i="6"/>
  <c r="I36" i="3"/>
  <c r="J36" i="3"/>
  <c r="M61" i="6" s="1"/>
  <c r="M12" i="3"/>
  <c r="H33" i="6"/>
  <c r="J14" i="3"/>
  <c r="M34" i="6" s="1"/>
  <c r="J34" i="6"/>
  <c r="I14" i="3"/>
  <c r="J46" i="3"/>
  <c r="M76" i="6" s="1"/>
  <c r="J76" i="6"/>
  <c r="I46" i="3"/>
  <c r="H69" i="6"/>
  <c r="M40" i="3"/>
  <c r="H24" i="6"/>
  <c r="E11" i="1"/>
  <c r="G11" i="1" s="1"/>
  <c r="J11" i="1" s="1"/>
  <c r="K60" i="3"/>
  <c r="M60" i="3" s="1"/>
  <c r="M6" i="3"/>
  <c r="J22" i="3"/>
  <c r="M46" i="6" s="1"/>
  <c r="J46" i="6"/>
  <c r="I22" i="3"/>
  <c r="H42" i="6"/>
  <c r="M18" i="3"/>
  <c r="J55" i="6"/>
  <c r="I32" i="3"/>
  <c r="J32" i="3"/>
  <c r="M55" i="6" s="1"/>
  <c r="M50" i="3"/>
  <c r="H84" i="6"/>
  <c r="J73" i="6"/>
  <c r="I44" i="3"/>
  <c r="J44" i="3"/>
  <c r="M73" i="6" s="1"/>
  <c r="H63" i="6"/>
  <c r="M36" i="3"/>
  <c r="H54" i="6"/>
  <c r="M30" i="3"/>
  <c r="M14" i="3"/>
  <c r="H36" i="6"/>
  <c r="J38" i="3"/>
  <c r="M64" i="6" s="1"/>
  <c r="J64" i="6"/>
  <c r="I38" i="3"/>
  <c r="J88" i="6"/>
  <c r="I58" i="3"/>
  <c r="J58" i="3"/>
  <c r="M88" i="6" s="1"/>
  <c r="H78" i="6"/>
  <c r="M46" i="3"/>
  <c r="I8" i="3"/>
  <c r="J25" i="6"/>
  <c r="J8" i="3"/>
  <c r="M25" i="6" s="1"/>
  <c r="M22" i="3"/>
  <c r="H48" i="6"/>
  <c r="J43" i="6"/>
  <c r="I20" i="3"/>
  <c r="J20" i="3"/>
  <c r="M43" i="6" s="1"/>
  <c r="M32" i="3"/>
  <c r="H57" i="6"/>
  <c r="E12" i="1"/>
  <c r="G12" i="1" s="1"/>
  <c r="J79" i="6"/>
  <c r="I48" i="3"/>
  <c r="J48" i="3"/>
  <c r="M79" i="6" s="1"/>
  <c r="M44" i="3"/>
  <c r="H75" i="6"/>
  <c r="M16" i="3"/>
  <c r="H39" i="6"/>
  <c r="J30" i="3"/>
  <c r="M52" i="6" s="1"/>
  <c r="J52" i="6"/>
  <c r="I30" i="3"/>
  <c r="J42" i="3"/>
  <c r="M70" i="6" s="1"/>
  <c r="J70" i="6"/>
  <c r="I42" i="3"/>
  <c r="H90" i="6"/>
  <c r="M58" i="3"/>
  <c r="H91" i="6"/>
  <c r="G60" i="3"/>
  <c r="H51" i="6"/>
  <c r="M24" i="3"/>
  <c r="M8" i="3"/>
  <c r="H27" i="6"/>
  <c r="J10" i="3"/>
  <c r="M28" i="6" s="1"/>
  <c r="J28" i="6"/>
  <c r="I10" i="3"/>
  <c r="M20" i="3"/>
  <c r="H45" i="6"/>
  <c r="J34" i="3"/>
  <c r="M58" i="6" s="1"/>
  <c r="J58" i="6"/>
  <c r="I34" i="3"/>
  <c r="H81" i="6"/>
  <c r="M48" i="3"/>
  <c r="J31" i="6"/>
  <c r="I12" i="3"/>
  <c r="J12" i="3"/>
  <c r="M31" i="6" s="1"/>
  <c r="J37" i="6"/>
  <c r="I16" i="3"/>
  <c r="J16" i="3"/>
  <c r="M37" i="6" s="1"/>
  <c r="J12" i="1" l="1"/>
  <c r="I12" i="1"/>
  <c r="I11" i="1"/>
  <c r="L31" i="6"/>
  <c r="G13" i="3"/>
  <c r="G31" i="3"/>
  <c r="L52" i="6"/>
  <c r="O16" i="3"/>
  <c r="L39" i="6" s="1"/>
  <c r="J39" i="6"/>
  <c r="P16" i="3"/>
  <c r="M39" i="6" s="1"/>
  <c r="L79" i="6"/>
  <c r="G49" i="3"/>
  <c r="O32" i="3"/>
  <c r="J57" i="6"/>
  <c r="P32" i="3"/>
  <c r="G9" i="3"/>
  <c r="L25" i="6"/>
  <c r="L88" i="6"/>
  <c r="G59" i="3"/>
  <c r="L73" i="6"/>
  <c r="G45" i="3"/>
  <c r="J24" i="6"/>
  <c r="O6" i="3"/>
  <c r="P6" i="3"/>
  <c r="O40" i="3"/>
  <c r="L69" i="6" s="1"/>
  <c r="J69" i="6"/>
  <c r="P40" i="3"/>
  <c r="M69" i="6" s="1"/>
  <c r="G19" i="3"/>
  <c r="L40" i="6"/>
  <c r="L49" i="6"/>
  <c r="G25" i="3"/>
  <c r="G35" i="3"/>
  <c r="L58" i="6"/>
  <c r="O20" i="3"/>
  <c r="L45" i="6" s="1"/>
  <c r="J45" i="6"/>
  <c r="P20" i="3"/>
  <c r="M45" i="6" s="1"/>
  <c r="J91" i="6"/>
  <c r="I60" i="3"/>
  <c r="L91" i="6" s="1"/>
  <c r="J60" i="3"/>
  <c r="M91" i="6" s="1"/>
  <c r="G43" i="3"/>
  <c r="L70" i="6"/>
  <c r="O22" i="3"/>
  <c r="L48" i="6" s="1"/>
  <c r="J48" i="6"/>
  <c r="P22" i="3"/>
  <c r="M48" i="6" s="1"/>
  <c r="O46" i="3"/>
  <c r="L78" i="6" s="1"/>
  <c r="J78" i="6"/>
  <c r="P46" i="3"/>
  <c r="M78" i="6" s="1"/>
  <c r="O36" i="3"/>
  <c r="L63" i="6" s="1"/>
  <c r="J63" i="6"/>
  <c r="P36" i="3"/>
  <c r="M63" i="6" s="1"/>
  <c r="L55" i="6"/>
  <c r="G33" i="3"/>
  <c r="G23" i="3"/>
  <c r="L46" i="6"/>
  <c r="O60" i="3"/>
  <c r="P60" i="3"/>
  <c r="G15" i="3"/>
  <c r="L34" i="6"/>
  <c r="O12" i="3"/>
  <c r="L33" i="6" s="1"/>
  <c r="J33" i="6"/>
  <c r="P12" i="3"/>
  <c r="M33" i="6" s="1"/>
  <c r="O42" i="3"/>
  <c r="L72" i="6" s="1"/>
  <c r="J72" i="6"/>
  <c r="P42" i="3"/>
  <c r="M72" i="6" s="1"/>
  <c r="O8" i="3"/>
  <c r="L27" i="6" s="1"/>
  <c r="J27" i="6"/>
  <c r="P8" i="3"/>
  <c r="M27" i="6" s="1"/>
  <c r="O44" i="3"/>
  <c r="L75" i="6" s="1"/>
  <c r="J75" i="6"/>
  <c r="P44" i="3"/>
  <c r="M75" i="6" s="1"/>
  <c r="L43" i="6"/>
  <c r="G21" i="3"/>
  <c r="L64" i="6"/>
  <c r="G39" i="3"/>
  <c r="O14" i="3"/>
  <c r="L36" i="6" s="1"/>
  <c r="J36" i="6"/>
  <c r="P14" i="3"/>
  <c r="M36" i="6" s="1"/>
  <c r="E13" i="1"/>
  <c r="G13" i="1" s="1"/>
  <c r="G47" i="3"/>
  <c r="L76" i="6"/>
  <c r="O34" i="3"/>
  <c r="L60" i="6" s="1"/>
  <c r="J60" i="6"/>
  <c r="P34" i="3"/>
  <c r="M60" i="6" s="1"/>
  <c r="O10" i="3"/>
  <c r="L30" i="6" s="1"/>
  <c r="J30" i="6"/>
  <c r="P10" i="3"/>
  <c r="M30" i="6" s="1"/>
  <c r="L22" i="6"/>
  <c r="G7" i="3"/>
  <c r="L67" i="6"/>
  <c r="G41" i="3"/>
  <c r="J66" i="6"/>
  <c r="O38" i="3"/>
  <c r="L66" i="6" s="1"/>
  <c r="P38" i="3"/>
  <c r="M66" i="6" s="1"/>
  <c r="L37" i="6"/>
  <c r="G17" i="3"/>
  <c r="G11" i="3"/>
  <c r="L28" i="6"/>
  <c r="O48" i="3"/>
  <c r="L81" i="6" s="1"/>
  <c r="J81" i="6"/>
  <c r="P48" i="3"/>
  <c r="M81" i="6" s="1"/>
  <c r="O24" i="3"/>
  <c r="L51" i="6" s="1"/>
  <c r="J51" i="6"/>
  <c r="P24" i="3"/>
  <c r="M51" i="6" s="1"/>
  <c r="O58" i="3"/>
  <c r="L90" i="6" s="1"/>
  <c r="J90" i="6"/>
  <c r="P58" i="3"/>
  <c r="M90" i="6" s="1"/>
  <c r="O30" i="3"/>
  <c r="L54" i="6" s="1"/>
  <c r="J54" i="6"/>
  <c r="P30" i="3"/>
  <c r="M54" i="6" s="1"/>
  <c r="O50" i="3"/>
  <c r="L84" i="6" s="1"/>
  <c r="J84" i="6"/>
  <c r="P50" i="3"/>
  <c r="M84" i="6" s="1"/>
  <c r="O18" i="3"/>
  <c r="L42" i="6" s="1"/>
  <c r="J42" i="6"/>
  <c r="P18" i="3"/>
  <c r="M42" i="6" s="1"/>
  <c r="L61" i="6"/>
  <c r="G37" i="3"/>
  <c r="G51" i="3"/>
  <c r="L82" i="6"/>
  <c r="I13" i="1" l="1"/>
  <c r="J13" i="1"/>
  <c r="I37" i="3"/>
  <c r="L62" i="6" s="1"/>
  <c r="J62" i="6"/>
  <c r="J37" i="3"/>
  <c r="M62" i="6" s="1"/>
  <c r="J35" i="6"/>
  <c r="I15" i="3"/>
  <c r="L35" i="6" s="1"/>
  <c r="J15" i="3"/>
  <c r="M35" i="6" s="1"/>
  <c r="J47" i="6"/>
  <c r="I23" i="3"/>
  <c r="L47" i="6" s="1"/>
  <c r="J23" i="3"/>
  <c r="M47" i="6" s="1"/>
  <c r="J29" i="6"/>
  <c r="I11" i="3"/>
  <c r="L29" i="6" s="1"/>
  <c r="J11" i="3"/>
  <c r="M29" i="6" s="1"/>
  <c r="J23" i="6"/>
  <c r="I7" i="3"/>
  <c r="L23" i="6" s="1"/>
  <c r="J7" i="3"/>
  <c r="M23" i="6" s="1"/>
  <c r="I21" i="3"/>
  <c r="L44" i="6" s="1"/>
  <c r="J44" i="6"/>
  <c r="J21" i="3"/>
  <c r="M44" i="6" s="1"/>
  <c r="I33" i="3"/>
  <c r="L56" i="6" s="1"/>
  <c r="J56" i="6"/>
  <c r="J33" i="3"/>
  <c r="M56" i="6" s="1"/>
  <c r="J71" i="6"/>
  <c r="J43" i="3"/>
  <c r="M71" i="6" s="1"/>
  <c r="I43" i="3"/>
  <c r="L71" i="6" s="1"/>
  <c r="J59" i="6"/>
  <c r="I35" i="3"/>
  <c r="L59" i="6" s="1"/>
  <c r="J35" i="3"/>
  <c r="M59" i="6" s="1"/>
  <c r="J41" i="6"/>
  <c r="I19" i="3"/>
  <c r="L41" i="6" s="1"/>
  <c r="J19" i="3"/>
  <c r="M41" i="6" s="1"/>
  <c r="M24" i="6"/>
  <c r="I45" i="3"/>
  <c r="L74" i="6" s="1"/>
  <c r="J74" i="6"/>
  <c r="J45" i="3"/>
  <c r="M74" i="6" s="1"/>
  <c r="J53" i="6"/>
  <c r="I31" i="3"/>
  <c r="L53" i="6" s="1"/>
  <c r="J31" i="3"/>
  <c r="M53" i="6" s="1"/>
  <c r="I17" i="3"/>
  <c r="L38" i="6" s="1"/>
  <c r="J38" i="6"/>
  <c r="J17" i="3"/>
  <c r="M38" i="6" s="1"/>
  <c r="J77" i="6"/>
  <c r="I47" i="3"/>
  <c r="L77" i="6" s="1"/>
  <c r="J47" i="3"/>
  <c r="M77" i="6" s="1"/>
  <c r="I25" i="3"/>
  <c r="L50" i="6" s="1"/>
  <c r="J50" i="6"/>
  <c r="J25" i="3"/>
  <c r="M50" i="6" s="1"/>
  <c r="L24" i="6"/>
  <c r="J26" i="6"/>
  <c r="I9" i="3"/>
  <c r="L26" i="6" s="1"/>
  <c r="J9" i="3"/>
  <c r="M26" i="6" s="1"/>
  <c r="L57" i="6"/>
  <c r="I13" i="3"/>
  <c r="L32" i="6" s="1"/>
  <c r="J32" i="6"/>
  <c r="J13" i="3"/>
  <c r="M32" i="6" s="1"/>
  <c r="J83" i="6"/>
  <c r="I51" i="3"/>
  <c r="L83" i="6" s="1"/>
  <c r="J51" i="3"/>
  <c r="M83" i="6" s="1"/>
  <c r="I41" i="3"/>
  <c r="L68" i="6" s="1"/>
  <c r="J68" i="6"/>
  <c r="J41" i="3"/>
  <c r="M68" i="6" s="1"/>
  <c r="E15" i="1"/>
  <c r="G15" i="1" s="1"/>
  <c r="J15" i="1" s="1"/>
  <c r="J65" i="6"/>
  <c r="I39" i="3"/>
  <c r="L65" i="6" s="1"/>
  <c r="J39" i="3"/>
  <c r="M65" i="6" s="1"/>
  <c r="I59" i="3"/>
  <c r="L89" i="6" s="1"/>
  <c r="J89" i="6"/>
  <c r="J59" i="3"/>
  <c r="M89" i="6" s="1"/>
  <c r="M57" i="6"/>
  <c r="I49" i="3"/>
  <c r="L80" i="6" s="1"/>
  <c r="J80" i="6"/>
  <c r="J49" i="3"/>
  <c r="M80" i="6" s="1"/>
  <c r="I15" i="1" l="1"/>
  <c r="I83" i="5"/>
  <c r="K83" i="5" s="1"/>
  <c r="M176" i="6" s="1"/>
  <c r="J39" i="5"/>
  <c r="H40" i="5" s="1"/>
  <c r="J40" i="5" s="1"/>
  <c r="O39" i="5"/>
  <c r="H25" i="1" s="1"/>
  <c r="J25" i="1" s="1"/>
  <c r="K39" i="5"/>
  <c r="Q39" i="5" l="1"/>
  <c r="I25" i="1"/>
  <c r="H29" i="1"/>
  <c r="J29" i="1" s="1"/>
  <c r="O83" i="5"/>
  <c r="J83" i="5"/>
  <c r="L176" i="6" s="1"/>
  <c r="P39" i="5"/>
  <c r="K40" i="5"/>
  <c r="K176" i="6"/>
  <c r="P83" i="5" l="1"/>
  <c r="Q83" i="5"/>
  <c r="I29" i="1"/>
</calcChain>
</file>

<file path=xl/comments1.xml><?xml version="1.0" encoding="utf-8"?>
<comments xmlns="http://schemas.openxmlformats.org/spreadsheetml/2006/main">
  <authors>
    <author>CARLOS FELIPE VALDIVIA PINO</author>
    <author>CEA TELLO, MARIO ANDRES</author>
    <author>ZULETA ESPINOZA, GERALDINE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3262-21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3416-21
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 01-2022 Cesión de 74,59 Ton a favor de BRACPESCA S.A. 
Res. Ex. N°936-22 Cesion de 113 Ton desde Antartic Seafood S.A. III-IV 
Res. Ex. 1221 14/06/2022 Antartic Seafood a Punta Talca, + 50 ton
Res. Ex. 1551 29/07/2022 Antartic Seafood a Punta Talca, + 70 ton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Nave arrendada a Patricio Vial Chabrillard (06-05-2022)</t>
        </r>
      </text>
    </comment>
    <comment ref="K8" authorId="2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N°132-22</t>
        </r>
      </text>
    </comment>
    <comment ref="F12" authorId="2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N°1550-22 cesión de 140,5 ton desde BRACPESCA S.A.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 02-2022 Cesión de 60 Ton a favor de ANTARTIC SEAFOOD S.A. 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Nave arrendada a Gonzalo Zuñiga Romero.</t>
        </r>
      </text>
    </comment>
    <comment ref="K14" authorId="1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Cierre Cuota Res. Ex. N°138-22
Apertura Res. Ex. 172</t>
        </r>
      </text>
    </comment>
    <comment ref="E15" authorId="1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Res. Ex. 6 02/06/2022 Adelantamiento cuota 2° periodo (9,984 toneladas)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3262-21</t>
        </r>
      </text>
    </comment>
  </commentList>
</comments>
</file>

<file path=xl/comments2.xml><?xml version="1.0" encoding="utf-8"?>
<comments xmlns="http://schemas.openxmlformats.org/spreadsheetml/2006/main">
  <authors>
    <author>CARLOS FELIPE VALDIVIA PINO</author>
    <author>CEA TELLO, MARIO ANDRES</author>
    <author>ZULETA ESPINOZA, GERALDINE</author>
    <author>geraldine zuleta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3413-21
Res. 3415-21</t>
        </r>
      </text>
    </comment>
    <comment ref="F6" authorId="1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Res. Ex. N°936-22 Cesion de 5,62 Ton a Embarcacion Punta Talca IV Región.
Res. Ex. N°121-22 Cesion de 2,487 Ton a Embarcacion Punta Talca IV Región.
Res. Ex. N°1551-22 Cesion de 3,481 Ton a Embarcacion Punta Talca IV Región.</t>
        </r>
      </text>
    </comment>
    <comment ref="F12" authorId="2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N°1550-22 cesión de 140,5 ton enfavor de CHAFIC I</t>
        </r>
      </text>
    </comment>
    <comment ref="F16" authorId="2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1958 cesion en favor de RUBIO Y MAUAD LTDA.</t>
        </r>
      </text>
    </comment>
    <comment ref="F24" authorId="2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N°1679-22 cesion de 0,294 en favor de Inversiones NAKAL
Res N°1669-22 cesion de 1,257 en favor de Inversiones NAKAL
Res N°1670-22 cesion de 0,227 en favor de Inversiones NAKAL
Res N°1671-22 cesion de 0,003 en favor de Inversiones NAKAL
Res N°1672-22 cesion de 0,03864 en favor de Inversiones NAKAL
Res N°1673-22 cesion de 0,042 en favor de Inversiones NAKAL
Res N°1674-22 cesion de 0,798 en favor de Inversiones NAKAL
Res N°1675-22 cesion de 0,462 en favor de Inversiones NAKAL
Res N°1676-22 cesion de 0,21 en favor de Inversiones NAKAL
Res N°1677-22 cesion de 0,21 en favor de Inversiones NAKAL
Res N°1678-22 cesion de 0,378 en favor de Inversiones NAKAL
Res N°1680-22 cesion de 0,294 en favor de Inversiones NAKAL
Res N°1958-22 cesion desde Isladamas S.A. PESQ.</t>
        </r>
      </text>
    </comment>
    <comment ref="F28" authorId="2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N°1679-22 cesion de 0,294 desde Rubio y Mauad LTDA
Res N°1669-22 cesion de 1,257 desde Rubio y Mauad LTDA
Res N°1670-22 cesion de 0,227 desde Rubio y Mauad LTDA
Res N°1671-22 cesion de 0,003 desde Rubio y Mauad LTDA
Res N°1672-22 cesion de 0,03864 desde Rubio y Mauad LTDA
Res N°1673-22 cesion de 0,042 desde Rubio y Mauad LTDA
Res N°1674-22 cesion de 0,798 desde Rubio y Mauad LTDA
Res N°1675-22 cesion de 0,462 desde Rubio y Mauad LTDA
Res N°1676-22 cesion de 0,21 desde Rubio y Mauad LTDA
Res N°1677-22 cesion de 0,21 desde Rubio y Mauad LTDA
Res N°1678-22 cesion de 0,378 desde Rubio y Mauad LTDA
Res N°1680-22 cesion de 0,294 desde Rubio y Mauad LTDA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3413-21
Res. 3415-21</t>
        </r>
      </text>
    </comment>
    <comment ref="F32" authorId="3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Res 02-2022 Cesión a favor de ANTARTIC SEAFOOD S.A. de 60 ton por Emb. Artesanal ISLA TABON
Res. Ex. N°936-22 Cesion de 107,38 Ton a Embarcacion Punta Talca IV Región.
Res. Ex. N°121-22 Cesion de 47,513 Ton a Embarcacion Punta Talca IV Región.
Res. Ex. N°1551-22 Cesion de 6,6519 Ton a Embarcacion Punta Talca IV Región.</t>
        </r>
      </text>
    </comment>
    <comment ref="F38" authorId="3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Res 01-2022 Cesión a favor de BRACPESCA S.A. de 74,59 ton por Emb. Artesanal PUNTA TALCA
Res N°1550-22 cesión de 140,5 ton enfavor de CHAFIC I</t>
        </r>
      </text>
    </comment>
    <comment ref="F42" authorId="2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N°1958-22 cesion en favor de Rubio y Mauad LTDA</t>
        </r>
      </text>
    </comment>
    <comment ref="F50" authorId="2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N°1679-22 cesion de 5,618 en favor de Inversiones NAKAL
Res N°1669-22 cesion de 24,011 en favor de Inversiones NAKAL
Res N°1670-22 cesion de 4,334 en favor de Inversiones NAKAL
Res N°1671-22 cesion de 0,064 en favor de Inversiones NAKAL
Res N°1672-22 cesion de 0,7383 en favor de Inversiones NAKAL
Res N°1673-22 cesion de 0,8025 en favor de Inversiones NAKAL
Res N°1674-22 cesion de 15,2475 en favor de Inversiones NAKAL
Res N°1675-22 cesion de 8,8275 en favor de Inversiones NAKAL
Res N°1676-22 cesion de 4,0125 en favor de Inversiones NAKAL
Res N°1677-22 cesion de 4,0125 en favor de Inversiones NAKAL
Res N°1678-22 cesion de 7,222 en favor de Inversiones NAKAL
Res N°1680-22 cesion de 5,618 en favor de Inversiones NAKAL
Res  N° 1958-22 cesion desde Pesquera Isladamas S.A.</t>
        </r>
      </text>
    </comment>
    <comment ref="F54" authorId="2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N°1679-22 cesion de 5,6 desde Rubio y Mauad LTDA
Res N°1669-22 cesion de 24,011 desde Rubio y Mauad LTDA
Res N°1670-22 cesion de 4,334 desde Rubio y Mauad LTDA
Res N°1671-22 cesion de 0,064 desde Rubio y Mauad LTDA
Res N°1672-22 cesion de 0,7383 desde Rubio y Mauad LTDA
Res N°1673-22 cesion de 0,8025 desde Rubio y Mauad LTDA
Res N°1674-22 cesion de 15,2475 desde Rubio y Mauad LTDA
Res N°1675-22 cesion de 8,8275 desde Rubio y Mauad LTDA
Res N°1676-22 cesion de 4,0125 desde Rubio y Mauad LTDA
Res N°1677-22 cesion de 4,0125 desde Rubio y Mauad LTDA
Res N°1678-22 cesion de 7,222 desde Rubio y Mauad LTDA
Res N°1680-22 cesion de 5,618 desde Rubio y Mauad LTDA</t>
        </r>
      </text>
    </comment>
  </commentList>
</comments>
</file>

<file path=xl/comments3.xml><?xml version="1.0" encoding="utf-8"?>
<comments xmlns="http://schemas.openxmlformats.org/spreadsheetml/2006/main">
  <authors>
    <author>ZULETA ESPINOZA, GERALDINE</author>
    <author>nperez</author>
    <author>CEA TELLO, MARIO ANDRES</author>
  </authors>
  <commentList>
    <comment ref="G18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N°886
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N°77
Certificado N°24
Certificado N°682
Certificado N°796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N°886
Certificado N° 948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N°77
Certificado N°796</t>
        </r>
      </text>
    </comment>
    <comment ref="G26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Certificado N° 948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N°24
Certificado N°682</t>
        </r>
      </text>
    </comment>
    <comment ref="I45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Chafic I Emb arrendada.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N°774
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N°885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N°24
Certificado N°197
Certificado N°682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N°885
Certificado N°1126</t>
        </r>
      </text>
    </comment>
    <comment ref="G65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N°24
Certificado N°682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N°774</t>
        </r>
      </text>
    </comment>
    <comment ref="G81" authorId="2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Certificado N°197
Certificado N°1126</t>
        </r>
      </text>
    </comment>
    <comment ref="I81" authorId="2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Capturas embarcacion Tome arrendada.</t>
        </r>
      </text>
    </comment>
  </commentList>
</comments>
</file>

<file path=xl/sharedStrings.xml><?xml version="1.0" encoding="utf-8"?>
<sst xmlns="http://schemas.openxmlformats.org/spreadsheetml/2006/main" count="1716" uniqueCount="180">
  <si>
    <t>UNIDAD DE PESQUERIA</t>
  </si>
  <si>
    <t>FRACCIONAMIENTO</t>
  </si>
  <si>
    <t>CUOTA ASIGNADA (TON)</t>
  </si>
  <si>
    <t>MOVIMIENTO (TON)</t>
  </si>
  <si>
    <t>CUOTA EFECTIVA (TON)</t>
  </si>
  <si>
    <t>CAPTURA (TON)</t>
  </si>
  <si>
    <t>SALDO (TON)</t>
  </si>
  <si>
    <t>% CONSUMIDO</t>
  </si>
  <si>
    <t>SECTOR</t>
  </si>
  <si>
    <t>ARTESANAL III</t>
  </si>
  <si>
    <t>FAUNA ACOMPAÑANTE</t>
  </si>
  <si>
    <t>FRACCION ARTESANAL</t>
  </si>
  <si>
    <t>FRACCIÓN INDUSTRIAL</t>
  </si>
  <si>
    <t>TOTALES</t>
  </si>
  <si>
    <t>ARTESANAL</t>
  </si>
  <si>
    <t>INDUSTRIAL</t>
  </si>
  <si>
    <t>REGIÓN</t>
  </si>
  <si>
    <t>ASIGNATARIO</t>
  </si>
  <si>
    <t>PERIODO</t>
  </si>
  <si>
    <t>FECHA CIERRE</t>
  </si>
  <si>
    <t>% CONSUMO</t>
  </si>
  <si>
    <t>III REGION DE ATACAMA</t>
  </si>
  <si>
    <t>IV REGION DE COQUIMBO</t>
  </si>
  <si>
    <t>TITULAR DE CUOTA LTP</t>
  </si>
  <si>
    <t>ANTARTIC SEAFOOD S.A.</t>
  </si>
  <si>
    <t>QUINTERO S.A. PESQ.</t>
  </si>
  <si>
    <t>BAYCIC BAYCIC MARIA</t>
  </si>
  <si>
    <t>BRACPESCA S.A.</t>
  </si>
  <si>
    <t>CAMANCHACA PESCA SUR S.A.</t>
  </si>
  <si>
    <t>ANTONIO CRUZ CORDOVA NAKOUZI E.I.R.L.</t>
  </si>
  <si>
    <t>GRIMAR S.A. PESQ.</t>
  </si>
  <si>
    <t>ISLADAMAS S.A. PESQ.</t>
  </si>
  <si>
    <t>LANDES S.A. PESQ.</t>
  </si>
  <si>
    <t>ZUÑIGA ROMERO GONZALO</t>
  </si>
  <si>
    <t>MOROZIN YURECIC MARIO</t>
  </si>
  <si>
    <t>PACIFICBLU SPA.</t>
  </si>
  <si>
    <t>DA VENEZIA RETAMALES ANTONIO</t>
  </si>
  <si>
    <t>ENFERMAR LTDA. SOC. PESQ.</t>
  </si>
  <si>
    <t>RUBIO Y MAUAD LTDA.</t>
  </si>
  <si>
    <t>ARTESANAL IV</t>
  </si>
  <si>
    <t>INDUSTRIAL LTP III</t>
  </si>
  <si>
    <t>INDUSTRIAL LTP IV</t>
  </si>
  <si>
    <t>INVESTIGACIÓN III-IV</t>
  </si>
  <si>
    <t>LICITADA PEP V-VI</t>
  </si>
  <si>
    <t>LICITADA PEP VII-VIII</t>
  </si>
  <si>
    <t>FAUNA ACOMPAÑANTE V-VIII</t>
  </si>
  <si>
    <t>INVESTIGACIÓN V-VIII</t>
  </si>
  <si>
    <t>LANGOSTINO AMARILLO III-IV</t>
  </si>
  <si>
    <t>LANGOSTINO AMARILLO V-VIII</t>
  </si>
  <si>
    <t>MOROZIN BAYCIC MARIA ANA</t>
  </si>
  <si>
    <t>LANGOSTINO AMARILLO III</t>
  </si>
  <si>
    <t>LANGOSTINO AMARILLO IV</t>
  </si>
  <si>
    <t>MAR-AGO</t>
  </si>
  <si>
    <t>OCT-DIC</t>
  </si>
  <si>
    <t>ENE-DIC</t>
  </si>
  <si>
    <t>PUNTA TALCA</t>
  </si>
  <si>
    <t>TRAUWUN I</t>
  </si>
  <si>
    <t>CHAFIC I</t>
  </si>
  <si>
    <t>ISLA TABON</t>
  </si>
  <si>
    <t>RESIDUAL</t>
  </si>
  <si>
    <t>TOTAL</t>
  </si>
  <si>
    <t>V-VI</t>
  </si>
  <si>
    <t>VII-VIII</t>
  </si>
  <si>
    <t>% LICITADO</t>
  </si>
  <si>
    <t>ARTESANAL-INDUSTRIAL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</si>
  <si>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</si>
  <si>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</si>
  <si>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</si>
  <si>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</si>
  <si>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</si>
  <si>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</si>
  <si>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</si>
  <si>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</si>
  <si>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</si>
  <si>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</si>
  <si>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</si>
  <si>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</si>
  <si>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consumo_porcentaje</t>
  </si>
  <si>
    <t>cierre</t>
  </si>
  <si>
    <t>preliminar</t>
  </si>
  <si>
    <t>año</t>
  </si>
  <si>
    <t>mensaje</t>
  </si>
  <si>
    <t>LANGOSTINO AMARILLO</t>
  </si>
  <si>
    <t>III</t>
  </si>
  <si>
    <t>REGION</t>
  </si>
  <si>
    <t xml:space="preserve">MARZO </t>
  </si>
  <si>
    <t>AGOSTO</t>
  </si>
  <si>
    <t>OCTUBRE</t>
  </si>
  <si>
    <t>DICIEMBRE</t>
  </si>
  <si>
    <t>ENERO</t>
  </si>
  <si>
    <t>IV</t>
  </si>
  <si>
    <t>EMBARCACIÓN</t>
  </si>
  <si>
    <t>-</t>
  </si>
  <si>
    <t>III-IV</t>
  </si>
  <si>
    <t>TOTAL ARTESANAL</t>
  </si>
  <si>
    <t>TOTAL ASIGNATARIO ARTESANAL</t>
  </si>
  <si>
    <t>TITULAR LTP</t>
  </si>
  <si>
    <t>TITULAR PEP</t>
  </si>
  <si>
    <t>V-VIII</t>
  </si>
  <si>
    <t>TOTAL PEP</t>
  </si>
  <si>
    <t>TOTAL ASIGNATARIO PEP</t>
  </si>
  <si>
    <t>TOTAL LTP</t>
  </si>
  <si>
    <t>TOTAL ASIGNATARIOS LTP</t>
  </si>
  <si>
    <t xml:space="preserve"> LANGOSTINO AMARILLO PEP V-VI</t>
  </si>
  <si>
    <t>LANGOSTINO AMARILLO PEP VII-VIII</t>
  </si>
  <si>
    <t>LANGOSTINO AMARILLO PEP  V-VIII</t>
  </si>
  <si>
    <t>REGIONES III-IV</t>
  </si>
  <si>
    <t>JORGE ANDRES COFRE TOLEDO</t>
  </si>
  <si>
    <t>CONTROL PESCA DE INVESTIGACION</t>
  </si>
  <si>
    <t>N° RESOLUCION</t>
  </si>
  <si>
    <t>EMBARCACION TITULAR</t>
  </si>
  <si>
    <t>CAPTURA TOTAL</t>
  </si>
  <si>
    <t>CONSUMO</t>
  </si>
  <si>
    <t>CUOTA II-IV</t>
  </si>
  <si>
    <t>CUOTA V-VIII</t>
  </si>
  <si>
    <t>CUOTA TOTAL</t>
  </si>
  <si>
    <t>CAPTURA II-IV</t>
  </si>
  <si>
    <t>CAPTURA V-VIII</t>
  </si>
  <si>
    <t>SALDO II-IV</t>
  </si>
  <si>
    <t>SALDO V-VIII</t>
  </si>
  <si>
    <t>SALDO TOTAL</t>
  </si>
  <si>
    <t>LTPA</t>
  </si>
  <si>
    <t>LTPB</t>
  </si>
  <si>
    <t>A+B</t>
  </si>
  <si>
    <t>TON</t>
  </si>
  <si>
    <t>EMPRESAS</t>
  </si>
  <si>
    <t>CAMANCHACA PESCA SUR</t>
  </si>
  <si>
    <t>QUINTERO</t>
  </si>
  <si>
    <t>BRACPESCA</t>
  </si>
  <si>
    <t>ISLADAMAS</t>
  </si>
  <si>
    <t>ANTARTIC SEAFOOD</t>
  </si>
  <si>
    <t>GRIMAR S.A.</t>
  </si>
  <si>
    <t>PESQ. ANTONIO CRUZ CORDOVA</t>
  </si>
  <si>
    <t>SOC. PESQ. ENFEMAR LTDA.</t>
  </si>
  <si>
    <t>PACIFICBLUE SpA.</t>
  </si>
  <si>
    <t>ANTONIO DA VENEZIA RETAMALES</t>
  </si>
  <si>
    <t>SOC. PESQ. LANDES S.A.</t>
  </si>
  <si>
    <t>GONZALO ZUÑIGA ROMERO</t>
  </si>
  <si>
    <t>Detalle Negocios Langostino Amarillo PEP (V-VIII) (Periodo Mar-Ago.)</t>
  </si>
  <si>
    <t>N° doc</t>
  </si>
  <si>
    <t>Fecha</t>
  </si>
  <si>
    <t>DE -</t>
  </si>
  <si>
    <t>A+</t>
  </si>
  <si>
    <t>Coeficiente</t>
  </si>
  <si>
    <t>Total</t>
  </si>
  <si>
    <t>COMERCIALIZADORA SIMON SEAFOOD LTDA.</t>
  </si>
  <si>
    <t xml:space="preserve"> </t>
  </si>
  <si>
    <t>SOC. PESQ. NORDIOMAR SPA.</t>
  </si>
  <si>
    <t xml:space="preserve">EMBARCACION </t>
  </si>
  <si>
    <t>POLUX</t>
  </si>
  <si>
    <t xml:space="preserve">ALTAIR </t>
  </si>
  <si>
    <t>ISLA ORCA</t>
  </si>
  <si>
    <t>MAORI</t>
  </si>
  <si>
    <t>RES N°318</t>
  </si>
  <si>
    <t xml:space="preserve">SOCIEDAD PESQUERA NORDIOMAR </t>
  </si>
  <si>
    <t>PATRICIO GENARO VIAL CHABRILLARD</t>
  </si>
  <si>
    <t>Folio DEXE 202200232</t>
  </si>
  <si>
    <t>1708  Ton</t>
  </si>
  <si>
    <t>CONTROL CUOTA GLOBAL LANGOSTINO AMARILLO PEP V-VIII AÑO 2022</t>
  </si>
  <si>
    <t>CONTROL CUOTA LANGOSTINO AMARILLO FRACCION ARTESANAL AÑO 2022</t>
  </si>
  <si>
    <t>CONTROL CUOTA LANGOSTINO AMARILLO FRACCION INDUSTRIAL AÑO 2022</t>
  </si>
  <si>
    <t>CONTROL CUOTA LANGOSTINO AMARILLO PEP AÑO 2022</t>
  </si>
  <si>
    <t>Camanchaca Pesca Sur S.A.</t>
  </si>
  <si>
    <t>Pacificblu Spa</t>
  </si>
  <si>
    <t>PESQUERA MJF LTDA</t>
  </si>
  <si>
    <t>INV. NAKAL SPA</t>
  </si>
  <si>
    <t>Antartic Seafood S.A.</t>
  </si>
  <si>
    <t>Punta Talca</t>
  </si>
  <si>
    <t xml:space="preserve">CONTROL CUOTA GLOBAL LANGOSTINO AMARILLO III-IV AÑO 2022 </t>
  </si>
  <si>
    <t xml:space="preserve">Información  Preliminares,  la actualización es parcial debido a problemas de servidor informático </t>
  </si>
  <si>
    <t>RES N°334</t>
  </si>
  <si>
    <t>ALTAIR  I</t>
  </si>
  <si>
    <t>CUOTA XVI-VIII</t>
  </si>
  <si>
    <t>Bracpesca S.A</t>
  </si>
  <si>
    <t>Chafic I</t>
  </si>
  <si>
    <t>Rubio y Mauad Limitada</t>
  </si>
  <si>
    <t>Inversiones NAKAL SpA</t>
  </si>
  <si>
    <t>INVERSIONES NAKAL SpA</t>
  </si>
  <si>
    <t>Pesquera Isla Dama S.A.</t>
  </si>
  <si>
    <t>ENFEMAR LTDA. SOC. PESQ.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</si>
</sst>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"/>
    <numFmt numFmtId="165" formatCode="0.000%"/>
    <numFmt numFmtId="166" formatCode="yyyy/mm/dd;@"/>
    <numFmt numFmtId="167" formatCode="0.00000"/>
    <numFmt numFmtId="168" formatCode="[$-F800]dddd\,\ mmmm\ dd\,\ yyyy"/>
    <numFmt numFmtId="169" formatCode="0.0%"/>
    <numFmt numFmtId="170" formatCode="0.0000000"/>
    <numFmt numFmtId="171" formatCode="0.000000"/>
    <numFmt numFmtId="172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8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AFECEB"/>
        <bgColor indexed="64"/>
      </patternFill>
    </fill>
    <fill>
      <patternFill patternType="solid">
        <fgColor rgb="FF339966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165" fontId="6" fillId="0" borderId="0" xfId="1" applyNumberFormat="1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9" fontId="3" fillId="0" borderId="1" xfId="1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5" fontId="3" fillId="0" borderId="28" xfId="1" applyNumberFormat="1" applyFont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43" xfId="0" applyNumberFormat="1" applyFont="1" applyFill="1" applyBorder="1" applyAlignment="1">
      <alignment horizontal="center" vertical="center"/>
    </xf>
    <xf numFmtId="164" fontId="3" fillId="5" borderId="25" xfId="0" applyNumberFormat="1" applyFont="1" applyFill="1" applyBorder="1" applyAlignment="1">
      <alignment horizontal="center" vertical="center"/>
    </xf>
    <xf numFmtId="164" fontId="3" fillId="5" borderId="26" xfId="0" applyNumberFormat="1" applyFont="1" applyFill="1" applyBorder="1" applyAlignment="1">
      <alignment horizontal="center" vertical="center"/>
    </xf>
    <xf numFmtId="164" fontId="3" fillId="0" borderId="33" xfId="0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3" fillId="9" borderId="40" xfId="0" applyFont="1" applyFill="1" applyBorder="1" applyAlignment="1">
      <alignment horizontal="left" vertical="center"/>
    </xf>
    <xf numFmtId="0" fontId="3" fillId="9" borderId="41" xfId="0" applyFont="1" applyFill="1" applyBorder="1" applyAlignment="1">
      <alignment horizontal="left" vertical="center"/>
    </xf>
    <xf numFmtId="0" fontId="3" fillId="9" borderId="44" xfId="0" applyFont="1" applyFill="1" applyBorder="1" applyAlignment="1">
      <alignment horizontal="left" vertical="center"/>
    </xf>
    <xf numFmtId="0" fontId="3" fillId="10" borderId="41" xfId="0" applyFont="1" applyFill="1" applyBorder="1" applyAlignment="1">
      <alignment horizontal="left" vertical="center"/>
    </xf>
    <xf numFmtId="0" fontId="3" fillId="10" borderId="42" xfId="0" applyFont="1" applyFill="1" applyBorder="1" applyAlignment="1">
      <alignment horizontal="left" vertical="center"/>
    </xf>
    <xf numFmtId="164" fontId="2" fillId="10" borderId="30" xfId="0" applyNumberFormat="1" applyFont="1" applyFill="1" applyBorder="1" applyAlignment="1">
      <alignment horizontal="center" vertical="center"/>
    </xf>
    <xf numFmtId="164" fontId="2" fillId="10" borderId="31" xfId="0" applyNumberFormat="1" applyFont="1" applyFill="1" applyBorder="1" applyAlignment="1">
      <alignment horizontal="center" vertical="center"/>
    </xf>
    <xf numFmtId="165" fontId="2" fillId="10" borderId="32" xfId="1" applyNumberFormat="1" applyFont="1" applyFill="1" applyBorder="1" applyAlignment="1">
      <alignment horizontal="center" vertical="center"/>
    </xf>
    <xf numFmtId="164" fontId="2" fillId="9" borderId="3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9" borderId="39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9" fontId="2" fillId="9" borderId="31" xfId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14" fontId="2" fillId="11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2" fillId="13" borderId="39" xfId="0" applyFont="1" applyFill="1" applyBorder="1" applyAlignment="1">
      <alignment horizontal="center" vertical="center"/>
    </xf>
    <xf numFmtId="0" fontId="2" fillId="13" borderId="31" xfId="0" applyFont="1" applyFill="1" applyBorder="1" applyAlignment="1">
      <alignment horizontal="center" vertical="center"/>
    </xf>
    <xf numFmtId="9" fontId="2" fillId="13" borderId="31" xfId="1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0" fontId="3" fillId="14" borderId="47" xfId="0" applyFont="1" applyFill="1" applyBorder="1" applyAlignment="1">
      <alignment horizontal="center" vertical="center"/>
    </xf>
    <xf numFmtId="0" fontId="3" fillId="14" borderId="48" xfId="0" applyFont="1" applyFill="1" applyBorder="1" applyAlignment="1">
      <alignment horizontal="center" vertical="center"/>
    </xf>
    <xf numFmtId="0" fontId="3" fillId="14" borderId="4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65" fontId="3" fillId="0" borderId="22" xfId="1" applyNumberFormat="1" applyFont="1" applyBorder="1" applyAlignment="1">
      <alignment horizontal="center" vertical="center"/>
    </xf>
    <xf numFmtId="164" fontId="3" fillId="0" borderId="25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165" fontId="3" fillId="0" borderId="26" xfId="1" applyNumberFormat="1" applyFont="1" applyBorder="1" applyAlignment="1">
      <alignment horizontal="center" vertical="center"/>
    </xf>
    <xf numFmtId="0" fontId="3" fillId="10" borderId="47" xfId="0" applyFont="1" applyFill="1" applyBorder="1" applyAlignment="1">
      <alignment horizontal="center" vertical="center"/>
    </xf>
    <xf numFmtId="0" fontId="3" fillId="10" borderId="48" xfId="0" applyFont="1" applyFill="1" applyBorder="1" applyAlignment="1">
      <alignment horizontal="center" vertical="center"/>
    </xf>
    <xf numFmtId="0" fontId="3" fillId="10" borderId="49" xfId="0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164" fontId="3" fillId="0" borderId="46" xfId="0" applyNumberFormat="1" applyFont="1" applyFill="1" applyBorder="1" applyAlignment="1">
      <alignment horizontal="center" vertical="center"/>
    </xf>
    <xf numFmtId="164" fontId="3" fillId="0" borderId="50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4" fontId="2" fillId="13" borderId="31" xfId="0" applyNumberFormat="1" applyFont="1" applyFill="1" applyBorder="1" applyAlignment="1">
      <alignment horizontal="center" vertical="center"/>
    </xf>
    <xf numFmtId="165" fontId="2" fillId="13" borderId="31" xfId="1" applyNumberFormat="1" applyFont="1" applyFill="1" applyBorder="1" applyAlignment="1">
      <alignment horizontal="center" vertical="center"/>
    </xf>
    <xf numFmtId="165" fontId="2" fillId="13" borderId="32" xfId="1" applyNumberFormat="1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7" borderId="48" xfId="0" applyFont="1" applyFill="1" applyBorder="1" applyAlignment="1">
      <alignment horizontal="center" vertical="center"/>
    </xf>
    <xf numFmtId="0" fontId="2" fillId="15" borderId="39" xfId="0" applyFont="1" applyFill="1" applyBorder="1" applyAlignment="1">
      <alignment horizontal="center" vertical="center"/>
    </xf>
    <xf numFmtId="0" fontId="2" fillId="15" borderId="31" xfId="0" applyFont="1" applyFill="1" applyBorder="1" applyAlignment="1">
      <alignment horizontal="center" vertical="center"/>
    </xf>
    <xf numFmtId="9" fontId="2" fillId="15" borderId="31" xfId="1" applyFont="1" applyFill="1" applyBorder="1" applyAlignment="1">
      <alignment horizontal="center" vertical="center"/>
    </xf>
    <xf numFmtId="0" fontId="2" fillId="15" borderId="32" xfId="0" applyFont="1" applyFill="1" applyBorder="1" applyAlignment="1">
      <alignment horizontal="center" vertical="center"/>
    </xf>
    <xf numFmtId="0" fontId="3" fillId="17" borderId="52" xfId="0" applyFont="1" applyFill="1" applyBorder="1" applyAlignment="1">
      <alignment horizontal="center" vertical="center"/>
    </xf>
    <xf numFmtId="164" fontId="3" fillId="11" borderId="26" xfId="0" applyNumberFormat="1" applyFont="1" applyFill="1" applyBorder="1" applyAlignment="1">
      <alignment horizontal="center" vertical="center"/>
    </xf>
    <xf numFmtId="0" fontId="7" fillId="18" borderId="1" xfId="0" applyFont="1" applyFill="1" applyBorder="1"/>
    <xf numFmtId="0" fontId="7" fillId="19" borderId="1" xfId="0" applyFont="1" applyFill="1" applyBorder="1"/>
    <xf numFmtId="0" fontId="8" fillId="18" borderId="1" xfId="0" applyFont="1" applyFill="1" applyBorder="1"/>
    <xf numFmtId="2" fontId="8" fillId="19" borderId="1" xfId="0" applyNumberFormat="1" applyFont="1" applyFill="1" applyBorder="1"/>
    <xf numFmtId="167" fontId="8" fillId="19" borderId="1" xfId="0" applyNumberFormat="1" applyFont="1" applyFill="1" applyBorder="1"/>
    <xf numFmtId="2" fontId="9" fillId="19" borderId="1" xfId="0" applyNumberFormat="1" applyFont="1" applyFill="1" applyBorder="1" applyAlignment="1">
      <alignment horizontal="center"/>
    </xf>
    <xf numFmtId="0" fontId="10" fillId="14" borderId="21" xfId="0" applyFont="1" applyFill="1" applyBorder="1"/>
    <xf numFmtId="0" fontId="10" fillId="14" borderId="22" xfId="0" applyFont="1" applyFill="1" applyBorder="1"/>
    <xf numFmtId="0" fontId="10" fillId="14" borderId="23" xfId="0" applyFont="1" applyFill="1" applyBorder="1"/>
    <xf numFmtId="0" fontId="10" fillId="14" borderId="46" xfId="0" applyFont="1" applyFill="1" applyBorder="1"/>
    <xf numFmtId="0" fontId="10" fillId="14" borderId="1" xfId="0" applyFont="1" applyFill="1" applyBorder="1"/>
    <xf numFmtId="0" fontId="10" fillId="14" borderId="24" xfId="0" applyFont="1" applyFill="1" applyBorder="1"/>
    <xf numFmtId="0" fontId="10" fillId="14" borderId="50" xfId="0" applyFont="1" applyFill="1" applyBorder="1"/>
    <xf numFmtId="0" fontId="10" fillId="14" borderId="26" xfId="0" applyFont="1" applyFill="1" applyBorder="1"/>
    <xf numFmtId="0" fontId="10" fillId="14" borderId="27" xfId="0" applyFont="1" applyFill="1" applyBorder="1"/>
    <xf numFmtId="164" fontId="3" fillId="0" borderId="1" xfId="0" applyNumberFormat="1" applyFont="1" applyBorder="1" applyAlignment="1">
      <alignment horizontal="center" vertical="center"/>
    </xf>
    <xf numFmtId="0" fontId="3" fillId="17" borderId="48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7" borderId="4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4" borderId="48" xfId="0" applyFont="1" applyFill="1" applyBorder="1" applyAlignment="1">
      <alignment horizontal="center" vertical="center"/>
    </xf>
    <xf numFmtId="0" fontId="3" fillId="10" borderId="48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0" borderId="48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7" borderId="48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164" fontId="3" fillId="12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38" xfId="1" applyNumberFormat="1" applyFont="1" applyBorder="1" applyAlignment="1">
      <alignment horizontal="center" vertical="center"/>
    </xf>
    <xf numFmtId="164" fontId="0" fillId="0" borderId="0" xfId="0" applyNumberFormat="1"/>
    <xf numFmtId="0" fontId="3" fillId="0" borderId="11" xfId="0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64" fontId="3" fillId="12" borderId="28" xfId="0" applyNumberFormat="1" applyFont="1" applyFill="1" applyBorder="1" applyAlignment="1">
      <alignment horizontal="center" vertical="center"/>
    </xf>
    <xf numFmtId="165" fontId="2" fillId="9" borderId="31" xfId="1" applyNumberFormat="1" applyFont="1" applyFill="1" applyBorder="1" applyAlignment="1">
      <alignment horizontal="center" vertical="center"/>
    </xf>
    <xf numFmtId="14" fontId="2" fillId="9" borderId="31" xfId="0" applyNumberFormat="1" applyFont="1" applyFill="1" applyBorder="1" applyAlignment="1">
      <alignment horizontal="center" vertical="center"/>
    </xf>
    <xf numFmtId="165" fontId="2" fillId="9" borderId="32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9" borderId="56" xfId="0" applyFont="1" applyFill="1" applyBorder="1" applyAlignment="1">
      <alignment horizontal="left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" fillId="10" borderId="56" xfId="0" applyFont="1" applyFill="1" applyBorder="1" applyAlignment="1">
      <alignment horizontal="left" vertical="center"/>
    </xf>
    <xf numFmtId="165" fontId="3" fillId="0" borderId="38" xfId="1" applyNumberFormat="1" applyFont="1" applyFill="1" applyBorder="1" applyAlignment="1">
      <alignment horizontal="center" vertical="center"/>
    </xf>
    <xf numFmtId="165" fontId="3" fillId="0" borderId="24" xfId="1" applyNumberFormat="1" applyFont="1" applyFill="1" applyBorder="1" applyAlignment="1">
      <alignment horizontal="center" vertical="center"/>
    </xf>
    <xf numFmtId="10" fontId="3" fillId="5" borderId="27" xfId="1" applyNumberFormat="1" applyFont="1" applyFill="1" applyBorder="1" applyAlignment="1">
      <alignment horizontal="center" vertical="center"/>
    </xf>
    <xf numFmtId="10" fontId="2" fillId="9" borderId="32" xfId="1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3" fillId="2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3" fillId="17" borderId="51" xfId="0" applyFont="1" applyFill="1" applyBorder="1" applyAlignment="1">
      <alignment horizontal="center" vertical="center"/>
    </xf>
    <xf numFmtId="164" fontId="3" fillId="11" borderId="2" xfId="0" applyNumberFormat="1" applyFont="1" applyFill="1" applyBorder="1" applyAlignment="1">
      <alignment horizontal="center" vertical="center"/>
    </xf>
    <xf numFmtId="0" fontId="2" fillId="15" borderId="58" xfId="0" applyFont="1" applyFill="1" applyBorder="1" applyAlignment="1">
      <alignment horizontal="center" vertical="center"/>
    </xf>
    <xf numFmtId="0" fontId="3" fillId="16" borderId="23" xfId="0" applyFont="1" applyFill="1" applyBorder="1" applyAlignment="1">
      <alignment horizontal="center" vertical="center"/>
    </xf>
    <xf numFmtId="0" fontId="3" fillId="16" borderId="24" xfId="0" applyFont="1" applyFill="1" applyBorder="1" applyAlignment="1">
      <alignment horizontal="center" vertical="center"/>
    </xf>
    <xf numFmtId="0" fontId="3" fillId="16" borderId="27" xfId="0" applyFont="1" applyFill="1" applyBorder="1" applyAlignment="1">
      <alignment horizontal="center" vertical="center"/>
    </xf>
    <xf numFmtId="165" fontId="2" fillId="15" borderId="44" xfId="1" applyNumberFormat="1" applyFont="1" applyFill="1" applyBorder="1" applyAlignment="1">
      <alignment horizontal="center" vertical="center"/>
    </xf>
    <xf numFmtId="164" fontId="2" fillId="15" borderId="31" xfId="0" applyNumberFormat="1" applyFont="1" applyFill="1" applyBorder="1" applyAlignment="1">
      <alignment horizontal="center" vertical="center"/>
    </xf>
    <xf numFmtId="165" fontId="2" fillId="15" borderId="31" xfId="1" applyNumberFormat="1" applyFont="1" applyFill="1" applyBorder="1" applyAlignment="1">
      <alignment horizontal="center" vertical="center"/>
    </xf>
    <xf numFmtId="164" fontId="2" fillId="15" borderId="32" xfId="0" applyNumberFormat="1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3" fillId="23" borderId="22" xfId="0" applyFont="1" applyFill="1" applyBorder="1" applyAlignment="1">
      <alignment horizontal="center" vertical="center"/>
    </xf>
    <xf numFmtId="164" fontId="3" fillId="23" borderId="22" xfId="0" applyNumberFormat="1" applyFont="1" applyFill="1" applyBorder="1" applyAlignment="1">
      <alignment horizontal="center" vertical="center"/>
    </xf>
    <xf numFmtId="164" fontId="3" fillId="23" borderId="1" xfId="0" applyNumberFormat="1" applyFont="1" applyFill="1" applyBorder="1" applyAlignment="1">
      <alignment horizontal="center" vertical="center"/>
    </xf>
    <xf numFmtId="164" fontId="3" fillId="24" borderId="1" xfId="0" applyNumberFormat="1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3" fillId="10" borderId="48" xfId="0" applyFont="1" applyFill="1" applyBorder="1" applyAlignment="1">
      <alignment horizontal="center" vertical="center"/>
    </xf>
    <xf numFmtId="0" fontId="3" fillId="14" borderId="48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0" fillId="21" borderId="59" xfId="0" applyFont="1" applyFill="1" applyBorder="1"/>
    <xf numFmtId="0" fontId="10" fillId="21" borderId="2" xfId="0" applyFont="1" applyFill="1" applyBorder="1"/>
    <xf numFmtId="0" fontId="10" fillId="21" borderId="28" xfId="0" applyFont="1" applyFill="1" applyBorder="1"/>
    <xf numFmtId="0" fontId="0" fillId="0" borderId="1" xfId="0" applyBorder="1" applyAlignment="1">
      <alignment horizontal="center" vertical="center"/>
    </xf>
    <xf numFmtId="0" fontId="0" fillId="25" borderId="1" xfId="0" applyFill="1" applyBorder="1" applyAlignment="1">
      <alignment horizontal="center" vertical="center"/>
    </xf>
    <xf numFmtId="14" fontId="0" fillId="25" borderId="1" xfId="0" applyNumberFormat="1" applyFill="1" applyBorder="1" applyAlignment="1">
      <alignment horizontal="center" vertical="center"/>
    </xf>
    <xf numFmtId="164" fontId="0" fillId="25" borderId="1" xfId="0" applyNumberFormat="1" applyFill="1" applyBorder="1" applyAlignment="1">
      <alignment horizontal="center" vertical="center"/>
    </xf>
    <xf numFmtId="170" fontId="0" fillId="25" borderId="1" xfId="0" applyNumberFormat="1" applyFill="1" applyBorder="1" applyAlignment="1">
      <alignment horizontal="center" vertical="center"/>
    </xf>
    <xf numFmtId="0" fontId="0" fillId="26" borderId="1" xfId="0" applyFill="1" applyBorder="1" applyAlignment="1">
      <alignment horizontal="center" vertical="center"/>
    </xf>
    <xf numFmtId="14" fontId="0" fillId="26" borderId="1" xfId="0" applyNumberFormat="1" applyFill="1" applyBorder="1" applyAlignment="1">
      <alignment horizontal="center" vertical="center"/>
    </xf>
    <xf numFmtId="164" fontId="0" fillId="26" borderId="1" xfId="0" applyNumberFormat="1" applyFill="1" applyBorder="1" applyAlignment="1">
      <alignment horizontal="center" vertical="center"/>
    </xf>
    <xf numFmtId="170" fontId="0" fillId="26" borderId="1" xfId="0" applyNumberForma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8" fontId="2" fillId="2" borderId="18" xfId="0" applyNumberFormat="1" applyFont="1" applyFill="1" applyBorder="1" applyAlignment="1">
      <alignment horizontal="center" vertical="center"/>
    </xf>
    <xf numFmtId="168" fontId="2" fillId="2" borderId="19" xfId="0" applyNumberFormat="1" applyFont="1" applyFill="1" applyBorder="1" applyAlignment="1">
      <alignment horizontal="center" vertical="center"/>
    </xf>
    <xf numFmtId="168" fontId="2" fillId="2" borderId="20" xfId="0" applyNumberFormat="1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2" fillId="10" borderId="29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3" fillId="9" borderId="54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3" fillId="10" borderId="36" xfId="0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55" xfId="0" applyFont="1" applyFill="1" applyBorder="1" applyAlignment="1">
      <alignment horizontal="center" vertical="center"/>
    </xf>
    <xf numFmtId="0" fontId="3" fillId="9" borderId="45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14" fontId="2" fillId="9" borderId="7" xfId="0" applyNumberFormat="1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165" fontId="3" fillId="12" borderId="53" xfId="1" applyNumberFormat="1" applyFont="1" applyFill="1" applyBorder="1" applyAlignment="1">
      <alignment horizontal="center" vertical="center"/>
    </xf>
    <xf numFmtId="165" fontId="3" fillId="12" borderId="38" xfId="1" applyNumberFormat="1" applyFont="1" applyFill="1" applyBorder="1" applyAlignment="1">
      <alignment horizontal="center" vertical="center"/>
    </xf>
    <xf numFmtId="164" fontId="3" fillId="12" borderId="2" xfId="0" applyNumberFormat="1" applyFont="1" applyFill="1" applyBorder="1" applyAlignment="1">
      <alignment horizontal="center" vertical="center"/>
    </xf>
    <xf numFmtId="164" fontId="3" fillId="12" borderId="4" xfId="0" applyNumberFormat="1" applyFont="1" applyFill="1" applyBorder="1" applyAlignment="1">
      <alignment horizontal="center" vertical="center"/>
    </xf>
    <xf numFmtId="165" fontId="3" fillId="12" borderId="28" xfId="1" applyNumberFormat="1" applyFont="1" applyFill="1" applyBorder="1" applyAlignment="1">
      <alignment horizontal="center" vertical="center"/>
    </xf>
    <xf numFmtId="164" fontId="3" fillId="12" borderId="3" xfId="0" applyNumberFormat="1" applyFont="1" applyFill="1" applyBorder="1" applyAlignment="1">
      <alignment horizontal="center" vertical="center"/>
    </xf>
    <xf numFmtId="0" fontId="3" fillId="14" borderId="48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0" fontId="3" fillId="10" borderId="51" xfId="0" applyFont="1" applyFill="1" applyBorder="1" applyAlignment="1">
      <alignment horizontal="center" vertical="center"/>
    </xf>
    <xf numFmtId="0" fontId="3" fillId="10" borderId="52" xfId="0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5" fontId="3" fillId="0" borderId="23" xfId="1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165" fontId="3" fillId="0" borderId="27" xfId="1" applyNumberFormat="1" applyFont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2" fillId="13" borderId="17" xfId="0" applyFont="1" applyFill="1" applyBorder="1" applyAlignment="1">
      <alignment horizontal="center" vertical="center"/>
    </xf>
    <xf numFmtId="14" fontId="2" fillId="13" borderId="18" xfId="0" applyNumberFormat="1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0" fontId="3" fillId="10" borderId="48" xfId="0" applyFont="1" applyFill="1" applyBorder="1" applyAlignment="1">
      <alignment horizontal="center" vertical="center"/>
    </xf>
    <xf numFmtId="0" fontId="2" fillId="13" borderId="39" xfId="0" applyFont="1" applyFill="1" applyBorder="1" applyAlignment="1">
      <alignment horizontal="center" vertical="center"/>
    </xf>
    <xf numFmtId="0" fontId="2" fillId="13" borderId="31" xfId="0" applyFont="1" applyFill="1" applyBorder="1" applyAlignment="1">
      <alignment horizontal="center" vertical="center"/>
    </xf>
    <xf numFmtId="0" fontId="3" fillId="14" borderId="49" xfId="0" applyFont="1" applyFill="1" applyBorder="1" applyAlignment="1">
      <alignment horizontal="center" vertical="center"/>
    </xf>
    <xf numFmtId="0" fontId="3" fillId="10" borderId="47" xfId="0" applyFont="1" applyFill="1" applyBorder="1" applyAlignment="1">
      <alignment horizontal="center" vertical="center"/>
    </xf>
    <xf numFmtId="0" fontId="3" fillId="10" borderId="47" xfId="0" applyFont="1" applyFill="1" applyBorder="1" applyAlignment="1">
      <alignment horizontal="center" vertical="center" textRotation="90"/>
    </xf>
    <xf numFmtId="0" fontId="3" fillId="10" borderId="48" xfId="0" applyFont="1" applyFill="1" applyBorder="1" applyAlignment="1">
      <alignment horizontal="center" vertical="center" textRotation="90"/>
    </xf>
    <xf numFmtId="0" fontId="3" fillId="10" borderId="49" xfId="0" applyFont="1" applyFill="1" applyBorder="1" applyAlignment="1">
      <alignment horizontal="center" vertical="center" textRotation="90"/>
    </xf>
    <xf numFmtId="0" fontId="3" fillId="14" borderId="47" xfId="0" applyFont="1" applyFill="1" applyBorder="1" applyAlignment="1">
      <alignment horizontal="center" vertical="center" textRotation="90"/>
    </xf>
    <xf numFmtId="0" fontId="3" fillId="14" borderId="48" xfId="0" applyFont="1" applyFill="1" applyBorder="1" applyAlignment="1">
      <alignment horizontal="center" vertical="center" textRotation="90"/>
    </xf>
    <xf numFmtId="0" fontId="3" fillId="14" borderId="49" xfId="0" applyFont="1" applyFill="1" applyBorder="1" applyAlignment="1">
      <alignment horizontal="center" vertical="center" textRotation="90"/>
    </xf>
    <xf numFmtId="0" fontId="3" fillId="10" borderId="49" xfId="0" applyFont="1" applyFill="1" applyBorder="1" applyAlignment="1">
      <alignment horizontal="center" vertical="center"/>
    </xf>
    <xf numFmtId="0" fontId="3" fillId="14" borderId="47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17" borderId="41" xfId="0" applyFont="1" applyFill="1" applyBorder="1" applyAlignment="1">
      <alignment horizontal="center" vertical="center"/>
    </xf>
    <xf numFmtId="172" fontId="3" fillId="23" borderId="6" xfId="0" applyNumberFormat="1" applyFont="1" applyFill="1" applyBorder="1" applyAlignment="1">
      <alignment horizontal="center" vertical="center"/>
    </xf>
    <xf numFmtId="0" fontId="3" fillId="17" borderId="56" xfId="0" applyFont="1" applyFill="1" applyBorder="1" applyAlignment="1">
      <alignment horizontal="center" vertical="center"/>
    </xf>
    <xf numFmtId="0" fontId="3" fillId="16" borderId="46" xfId="0" applyFont="1" applyFill="1" applyBorder="1" applyAlignment="1">
      <alignment horizontal="center" vertical="center"/>
    </xf>
    <xf numFmtId="0" fontId="2" fillId="15" borderId="39" xfId="0" applyFont="1" applyFill="1" applyBorder="1" applyAlignment="1">
      <alignment horizontal="center"/>
    </xf>
    <xf numFmtId="0" fontId="2" fillId="15" borderId="3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15" borderId="9" xfId="0" applyFont="1" applyFill="1" applyBorder="1" applyAlignment="1">
      <alignment horizontal="center"/>
    </xf>
    <xf numFmtId="0" fontId="2" fillId="15" borderId="10" xfId="0" applyFont="1" applyFill="1" applyBorder="1" applyAlignment="1">
      <alignment horizontal="center"/>
    </xf>
    <xf numFmtId="0" fontId="2" fillId="15" borderId="11" xfId="0" applyFont="1" applyFill="1" applyBorder="1" applyAlignment="1">
      <alignment horizontal="center"/>
    </xf>
    <xf numFmtId="14" fontId="2" fillId="15" borderId="7" xfId="0" applyNumberFormat="1" applyFont="1" applyFill="1" applyBorder="1" applyAlignment="1">
      <alignment horizontal="center"/>
    </xf>
    <xf numFmtId="0" fontId="2" fillId="15" borderId="12" xfId="0" applyFont="1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3" fillId="17" borderId="42" xfId="0" applyFont="1" applyFill="1" applyBorder="1" applyAlignment="1">
      <alignment horizontal="center" vertical="center"/>
    </xf>
    <xf numFmtId="0" fontId="3" fillId="17" borderId="54" xfId="0" applyFont="1" applyFill="1" applyBorder="1" applyAlignment="1">
      <alignment horizontal="center" vertical="center"/>
    </xf>
    <xf numFmtId="172" fontId="3" fillId="23" borderId="46" xfId="0" applyNumberFormat="1" applyFont="1" applyFill="1" applyBorder="1" applyAlignment="1">
      <alignment horizontal="center" vertical="center"/>
    </xf>
    <xf numFmtId="172" fontId="3" fillId="23" borderId="50" xfId="0" applyNumberFormat="1" applyFont="1" applyFill="1" applyBorder="1" applyAlignment="1">
      <alignment horizontal="center" vertical="center"/>
    </xf>
    <xf numFmtId="172" fontId="3" fillId="14" borderId="11" xfId="0" applyNumberFormat="1" applyFont="1" applyFill="1" applyBorder="1" applyAlignment="1">
      <alignment horizontal="center" vertical="center"/>
    </xf>
    <xf numFmtId="172" fontId="3" fillId="14" borderId="33" xfId="0" applyNumberFormat="1" applyFont="1" applyFill="1" applyBorder="1" applyAlignment="1">
      <alignment horizontal="center" vertical="center"/>
    </xf>
    <xf numFmtId="172" fontId="3" fillId="23" borderId="11" xfId="0" applyNumberFormat="1" applyFont="1" applyFill="1" applyBorder="1" applyAlignment="1">
      <alignment horizontal="center" vertical="center"/>
    </xf>
    <xf numFmtId="172" fontId="3" fillId="23" borderId="43" xfId="0" applyNumberFormat="1" applyFont="1" applyFill="1" applyBorder="1" applyAlignment="1">
      <alignment horizontal="center" vertical="center"/>
    </xf>
    <xf numFmtId="172" fontId="3" fillId="27" borderId="43" xfId="0" applyNumberFormat="1" applyFont="1" applyFill="1" applyBorder="1" applyAlignment="1">
      <alignment horizontal="center" vertical="center"/>
    </xf>
    <xf numFmtId="172" fontId="3" fillId="27" borderId="6" xfId="0" applyNumberFormat="1" applyFont="1" applyFill="1" applyBorder="1" applyAlignment="1">
      <alignment horizontal="center" vertical="center"/>
    </xf>
    <xf numFmtId="172" fontId="3" fillId="27" borderId="11" xfId="0" applyNumberFormat="1" applyFont="1" applyFill="1" applyBorder="1" applyAlignment="1">
      <alignment horizontal="center" vertical="center"/>
    </xf>
    <xf numFmtId="0" fontId="3" fillId="16" borderId="21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5" fontId="3" fillId="0" borderId="28" xfId="1" applyNumberFormat="1" applyFont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 textRotation="90"/>
    </xf>
    <xf numFmtId="0" fontId="2" fillId="16" borderId="57" xfId="0" applyFont="1" applyFill="1" applyBorder="1" applyAlignment="1">
      <alignment horizontal="center" vertical="center" textRotation="90"/>
    </xf>
    <xf numFmtId="0" fontId="2" fillId="16" borderId="18" xfId="0" applyFont="1" applyFill="1" applyBorder="1" applyAlignment="1">
      <alignment horizontal="center" vertical="center" textRotation="90"/>
    </xf>
    <xf numFmtId="0" fontId="2" fillId="17" borderId="36" xfId="0" applyFont="1" applyFill="1" applyBorder="1" applyAlignment="1">
      <alignment horizontal="center" vertical="center" textRotation="90"/>
    </xf>
    <xf numFmtId="0" fontId="3" fillId="16" borderId="50" xfId="0" applyFont="1" applyFill="1" applyBorder="1" applyAlignment="1">
      <alignment horizontal="center" vertical="center"/>
    </xf>
    <xf numFmtId="172" fontId="3" fillId="27" borderId="46" xfId="0" applyNumberFormat="1" applyFont="1" applyFill="1" applyBorder="1" applyAlignment="1">
      <alignment horizontal="center" vertical="center"/>
    </xf>
    <xf numFmtId="172" fontId="3" fillId="27" borderId="50" xfId="0" applyNumberFormat="1" applyFont="1" applyFill="1" applyBorder="1" applyAlignment="1">
      <alignment horizontal="center" vertical="center"/>
    </xf>
    <xf numFmtId="165" fontId="3" fillId="0" borderId="38" xfId="1" applyNumberFormat="1" applyFont="1" applyBorder="1" applyAlignment="1">
      <alignment horizontal="center" vertical="center"/>
    </xf>
    <xf numFmtId="14" fontId="2" fillId="4" borderId="7" xfId="0" applyNumberFormat="1" applyFont="1" applyFill="1" applyBorder="1" applyAlignment="1">
      <alignment horizontal="center" vertical="center"/>
    </xf>
    <xf numFmtId="14" fontId="2" fillId="4" borderId="12" xfId="0" applyNumberFormat="1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1" fontId="3" fillId="14" borderId="47" xfId="0" applyNumberFormat="1" applyFont="1" applyFill="1" applyBorder="1" applyAlignment="1">
      <alignment horizontal="center" vertical="center"/>
    </xf>
    <xf numFmtId="171" fontId="3" fillId="14" borderId="48" xfId="0" applyNumberFormat="1" applyFont="1" applyFill="1" applyBorder="1" applyAlignment="1">
      <alignment horizontal="center" vertical="center"/>
    </xf>
    <xf numFmtId="170" fontId="3" fillId="14" borderId="47" xfId="0" applyNumberFormat="1" applyFont="1" applyFill="1" applyBorder="1" applyAlignment="1">
      <alignment horizontal="center" vertical="center"/>
    </xf>
    <xf numFmtId="170" fontId="3" fillId="14" borderId="48" xfId="0" applyNumberFormat="1" applyFont="1" applyFill="1" applyBorder="1" applyAlignment="1">
      <alignment horizontal="center" vertical="center"/>
    </xf>
    <xf numFmtId="0" fontId="10" fillId="20" borderId="21" xfId="0" applyFont="1" applyFill="1" applyBorder="1" applyAlignment="1">
      <alignment horizontal="center"/>
    </xf>
    <xf numFmtId="0" fontId="10" fillId="20" borderId="22" xfId="0" applyFont="1" applyFill="1" applyBorder="1" applyAlignment="1">
      <alignment horizontal="center"/>
    </xf>
    <xf numFmtId="0" fontId="10" fillId="20" borderId="2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6">
    <dxf>
      <font>
        <color rgb="FF9C0006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9966"/>
      <color rgb="FFAFECEB"/>
      <color rgb="FF33CCCC"/>
      <color rgb="FF99CC00"/>
      <color rgb="FF00CC66"/>
      <color rgb="FF339933"/>
      <color rgb="FF008080"/>
      <color rgb="FF0099CC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</xdr:col>
      <xdr:colOff>1323974</xdr:colOff>
      <xdr:row>3</xdr:row>
      <xdr:rowOff>26601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161925"/>
          <a:ext cx="1323975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1</xdr:row>
      <xdr:rowOff>0</xdr:rowOff>
    </xdr:from>
    <xdr:to>
      <xdr:col>2</xdr:col>
      <xdr:colOff>190499</xdr:colOff>
      <xdr:row>3</xdr:row>
      <xdr:rowOff>8417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4" y="152400"/>
          <a:ext cx="1438275" cy="408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738188</xdr:colOff>
      <xdr:row>0</xdr:row>
      <xdr:rowOff>142876</xdr:rowOff>
    </xdr:from>
    <xdr:to>
      <xdr:col>1</xdr:col>
      <xdr:colOff>1195494</xdr:colOff>
      <xdr:row>2</xdr:row>
      <xdr:rowOff>241780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8188" y="142876"/>
          <a:ext cx="1219306" cy="4084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8</xdr:row>
      <xdr:rowOff>0</xdr:rowOff>
    </xdr:from>
    <xdr:to>
      <xdr:col>2</xdr:col>
      <xdr:colOff>133349</xdr:colOff>
      <xdr:row>10</xdr:row>
      <xdr:rowOff>3126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609600"/>
          <a:ext cx="1343025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showGridLines="0" tabSelected="1" zoomScale="110" zoomScaleNormal="110" workbookViewId="0">
      <selection activeCell="B4" sqref="B4:J4"/>
    </sheetView>
  </sheetViews>
  <sheetFormatPr baseColWidth="10" defaultColWidth="11.42578125" defaultRowHeight="12" x14ac:dyDescent="0.25"/>
  <cols>
    <col min="1" max="1" width="11.42578125" style="3"/>
    <col min="2" max="2" width="27.28515625" style="3" bestFit="1" customWidth="1"/>
    <col min="3" max="3" width="19.140625" style="3" bestFit="1" customWidth="1"/>
    <col min="4" max="4" width="22.85546875" style="3" bestFit="1" customWidth="1"/>
    <col min="5" max="5" width="19" style="3" bestFit="1" customWidth="1"/>
    <col min="6" max="6" width="15.5703125" style="3" bestFit="1" customWidth="1"/>
    <col min="7" max="7" width="18" style="3" bestFit="1" customWidth="1"/>
    <col min="8" max="8" width="12.42578125" style="3" bestFit="1" customWidth="1"/>
    <col min="9" max="9" width="10.5703125" style="3" bestFit="1" customWidth="1"/>
    <col min="10" max="10" width="12" style="3" bestFit="1" customWidth="1"/>
    <col min="11" max="16384" width="11.42578125" style="3"/>
  </cols>
  <sheetData>
    <row r="1" spans="2:12" ht="12.75" thickBot="1" x14ac:dyDescent="0.3"/>
    <row r="2" spans="2:12" ht="15" customHeight="1" x14ac:dyDescent="0.25">
      <c r="B2" s="206" t="s">
        <v>168</v>
      </c>
      <c r="C2" s="207"/>
      <c r="D2" s="207"/>
      <c r="E2" s="207"/>
      <c r="F2" s="207"/>
      <c r="G2" s="207"/>
      <c r="H2" s="207"/>
      <c r="I2" s="207"/>
      <c r="J2" s="208"/>
    </row>
    <row r="3" spans="2:12" s="12" customFormat="1" ht="15" customHeight="1" x14ac:dyDescent="0.25">
      <c r="B3" s="186"/>
      <c r="C3" s="187"/>
      <c r="D3" s="187"/>
      <c r="E3" s="187" t="s">
        <v>169</v>
      </c>
      <c r="F3" s="187"/>
      <c r="G3" s="187"/>
      <c r="H3" s="187"/>
      <c r="I3" s="187"/>
      <c r="J3" s="188"/>
    </row>
    <row r="4" spans="2:12" ht="15.75" customHeight="1" thickBot="1" x14ac:dyDescent="0.3">
      <c r="B4" s="209">
        <v>44926</v>
      </c>
      <c r="C4" s="210"/>
      <c r="D4" s="210"/>
      <c r="E4" s="210"/>
      <c r="F4" s="210"/>
      <c r="G4" s="210"/>
      <c r="H4" s="210"/>
      <c r="I4" s="210"/>
      <c r="J4" s="211"/>
    </row>
    <row r="5" spans="2:12" ht="12.75" thickBot="1" x14ac:dyDescent="0.3"/>
    <row r="6" spans="2:12" ht="12.75" thickBot="1" x14ac:dyDescent="0.3">
      <c r="B6" s="157" t="s">
        <v>0</v>
      </c>
      <c r="C6" s="157" t="s">
        <v>8</v>
      </c>
      <c r="D6" s="156" t="s">
        <v>1</v>
      </c>
      <c r="E6" s="49" t="s">
        <v>2</v>
      </c>
      <c r="F6" s="49" t="s">
        <v>3</v>
      </c>
      <c r="G6" s="49" t="s">
        <v>4</v>
      </c>
      <c r="H6" s="49" t="s">
        <v>5</v>
      </c>
      <c r="I6" s="49" t="s">
        <v>6</v>
      </c>
      <c r="J6" s="160" t="s">
        <v>7</v>
      </c>
    </row>
    <row r="7" spans="2:12" x14ac:dyDescent="0.25">
      <c r="B7" s="214" t="s">
        <v>47</v>
      </c>
      <c r="C7" s="218" t="s">
        <v>14</v>
      </c>
      <c r="D7" s="158" t="s">
        <v>9</v>
      </c>
      <c r="E7" s="159">
        <f>'CUOTA ARTESANAL'!L6</f>
        <v>10</v>
      </c>
      <c r="F7" s="47">
        <f>'CUOTA ARTESANAL'!M6</f>
        <v>0</v>
      </c>
      <c r="G7" s="47">
        <f>E7+F7</f>
        <v>10</v>
      </c>
      <c r="H7" s="47">
        <f>'CUOTA ARTESANAL'!O6</f>
        <v>0</v>
      </c>
      <c r="I7" s="47">
        <f>G7-H7</f>
        <v>10</v>
      </c>
      <c r="J7" s="162">
        <f>H7/G7</f>
        <v>0</v>
      </c>
    </row>
    <row r="8" spans="2:12" x14ac:dyDescent="0.25">
      <c r="B8" s="214"/>
      <c r="C8" s="218"/>
      <c r="D8" s="60" t="s">
        <v>39</v>
      </c>
      <c r="E8" s="50">
        <f>SUM('CUOTA ARTESANAL'!L8:L17)</f>
        <v>528.99999999999989</v>
      </c>
      <c r="F8" s="14">
        <f>SUM('CUOTA ARTESANAL'!M8:M17)</f>
        <v>238.90999999999997</v>
      </c>
      <c r="G8" s="14">
        <f t="shared" ref="G8:G15" si="0">E8+F8</f>
        <v>767.90999999999985</v>
      </c>
      <c r="H8" s="14">
        <f>SUM('CUOTA ARTESANAL'!O8:O17)</f>
        <v>752.70300000000009</v>
      </c>
      <c r="I8" s="14">
        <f t="shared" ref="I8:I14" si="1">G8-H8</f>
        <v>15.206999999999766</v>
      </c>
      <c r="J8" s="163">
        <f>H8/G8</f>
        <v>0.98019689807399335</v>
      </c>
    </row>
    <row r="9" spans="2:12" x14ac:dyDescent="0.25">
      <c r="B9" s="214"/>
      <c r="C9" s="218"/>
      <c r="D9" s="60" t="s">
        <v>10</v>
      </c>
      <c r="E9" s="50">
        <v>15</v>
      </c>
      <c r="F9" s="14">
        <f>'CUOTA ARTESANAL'!M18</f>
        <v>0</v>
      </c>
      <c r="G9" s="14">
        <f t="shared" si="0"/>
        <v>15</v>
      </c>
      <c r="H9" s="14">
        <f>'CUOTA ARTESANAL'!O18</f>
        <v>0</v>
      </c>
      <c r="I9" s="14">
        <f t="shared" si="1"/>
        <v>15</v>
      </c>
      <c r="J9" s="163">
        <f>H9/G9</f>
        <v>0</v>
      </c>
    </row>
    <row r="10" spans="2:12" ht="12.75" thickBot="1" x14ac:dyDescent="0.3">
      <c r="B10" s="214"/>
      <c r="C10" s="219"/>
      <c r="D10" s="61" t="s">
        <v>11</v>
      </c>
      <c r="E10" s="53">
        <f>SUM(E7:E9)</f>
        <v>553.99999999999989</v>
      </c>
      <c r="F10" s="54">
        <f>SUM(F7:F9)</f>
        <v>238.90999999999997</v>
      </c>
      <c r="G10" s="54">
        <f t="shared" si="0"/>
        <v>792.90999999999985</v>
      </c>
      <c r="H10" s="54">
        <f>SUM(H7:H9)</f>
        <v>752.70300000000009</v>
      </c>
      <c r="I10" s="54">
        <f t="shared" si="1"/>
        <v>40.206999999999766</v>
      </c>
      <c r="J10" s="164">
        <f>H10/G10</f>
        <v>0.94929184901186792</v>
      </c>
    </row>
    <row r="11" spans="2:12" x14ac:dyDescent="0.25">
      <c r="B11" s="214"/>
      <c r="C11" s="223" t="s">
        <v>15</v>
      </c>
      <c r="D11" s="59" t="s">
        <v>40</v>
      </c>
      <c r="E11" s="52">
        <f>SUM('CUOTA LTP'!K6:K31)</f>
        <v>56.000020000000006</v>
      </c>
      <c r="F11" s="155">
        <f>SUM('CUOTA LTP'!L6:L31)</f>
        <v>-18.576000000000001</v>
      </c>
      <c r="G11" s="47">
        <f t="shared" si="0"/>
        <v>37.424020000000006</v>
      </c>
      <c r="H11" s="155">
        <f>SUM('CUOTA LTP'!N6:N31)</f>
        <v>0</v>
      </c>
      <c r="I11" s="14">
        <f t="shared" si="1"/>
        <v>37.424020000000006</v>
      </c>
      <c r="J11" s="163">
        <f>H11/G11</f>
        <v>0</v>
      </c>
    </row>
    <row r="12" spans="2:12" x14ac:dyDescent="0.25">
      <c r="B12" s="214"/>
      <c r="C12" s="218"/>
      <c r="D12" s="60" t="s">
        <v>41</v>
      </c>
      <c r="E12" s="50">
        <f>SUM('CUOTA LTP'!K32:K59)</f>
        <v>1069.9999000000005</v>
      </c>
      <c r="F12" s="154">
        <f>SUM('CUOTA LTP'!L32:L59)</f>
        <v>-220.334</v>
      </c>
      <c r="G12" s="14">
        <f t="shared" si="0"/>
        <v>849.66590000000042</v>
      </c>
      <c r="H12" s="154">
        <f>SUM('CUOTA LTP'!N32:N59)</f>
        <v>633.80899999999997</v>
      </c>
      <c r="I12" s="14">
        <f t="shared" si="1"/>
        <v>215.85690000000045</v>
      </c>
      <c r="J12" s="163">
        <f t="shared" ref="J12:J14" si="2">H12/G12</f>
        <v>0.74595084962218638</v>
      </c>
    </row>
    <row r="13" spans="2:12" ht="12.75" thickBot="1" x14ac:dyDescent="0.3">
      <c r="B13" s="214"/>
      <c r="C13" s="219"/>
      <c r="D13" s="61" t="s">
        <v>12</v>
      </c>
      <c r="E13" s="53">
        <f>SUM(E11:E12)</f>
        <v>1125.9999200000004</v>
      </c>
      <c r="F13" s="54">
        <f>SUM(F11:F12)</f>
        <v>-238.91</v>
      </c>
      <c r="G13" s="54">
        <f t="shared" si="0"/>
        <v>887.08992000000046</v>
      </c>
      <c r="H13" s="54">
        <f>SUM(H11:H12)</f>
        <v>633.80899999999997</v>
      </c>
      <c r="I13" s="54">
        <f t="shared" si="1"/>
        <v>253.28092000000049</v>
      </c>
      <c r="J13" s="164">
        <f t="shared" si="2"/>
        <v>0.71448112047085333</v>
      </c>
    </row>
    <row r="14" spans="2:12" ht="14.45" customHeight="1" thickBot="1" x14ac:dyDescent="0.3">
      <c r="B14" s="214"/>
      <c r="C14" s="224" t="s">
        <v>42</v>
      </c>
      <c r="D14" s="225"/>
      <c r="E14" s="55">
        <v>28</v>
      </c>
      <c r="F14" s="56">
        <v>0</v>
      </c>
      <c r="G14" s="47">
        <f t="shared" si="0"/>
        <v>28</v>
      </c>
      <c r="H14" s="57">
        <f>'PESCA DE INVESTIGACION'!G13+'PESCA DE INVESTIGACION'!G24</f>
        <v>26.494</v>
      </c>
      <c r="I14" s="14">
        <f t="shared" si="1"/>
        <v>1.5060000000000002</v>
      </c>
      <c r="J14" s="163">
        <f t="shared" si="2"/>
        <v>0.94621428571428567</v>
      </c>
    </row>
    <row r="15" spans="2:12" ht="12.75" thickBot="1" x14ac:dyDescent="0.3">
      <c r="B15" s="215"/>
      <c r="C15" s="221" t="s">
        <v>13</v>
      </c>
      <c r="D15" s="222"/>
      <c r="E15" s="67">
        <f>SUM(E10+E13+E14)</f>
        <v>1707.9999200000002</v>
      </c>
      <c r="F15" s="67">
        <f>SUM(F10+F13+F14)</f>
        <v>-2.8421709430404007E-14</v>
      </c>
      <c r="G15" s="67">
        <f t="shared" si="0"/>
        <v>1707.9999200000002</v>
      </c>
      <c r="H15" s="67">
        <f>SUM(H10+H13+H14)</f>
        <v>1413.0060000000001</v>
      </c>
      <c r="I15" s="67">
        <f>G15-H15</f>
        <v>294.99392000000012</v>
      </c>
      <c r="J15" s="165">
        <f>H15/G15</f>
        <v>0.8272869239947036</v>
      </c>
    </row>
    <row r="16" spans="2:12" ht="12.75" hidden="1" thickBot="1" x14ac:dyDescent="0.3">
      <c r="J16" s="190">
        <v>1</v>
      </c>
      <c r="L16" s="135"/>
    </row>
    <row r="17" spans="2:12" s="12" customFormat="1" ht="12.75" thickBot="1" x14ac:dyDescent="0.3">
      <c r="J17" s="190"/>
      <c r="L17" s="135"/>
    </row>
    <row r="18" spans="2:12" s="12" customFormat="1" ht="12.75" thickBot="1" x14ac:dyDescent="0.3">
      <c r="B18" s="30" t="s">
        <v>156</v>
      </c>
      <c r="C18" s="29" t="s">
        <v>157</v>
      </c>
      <c r="L18" s="135"/>
    </row>
    <row r="20" spans="2:12" ht="12.75" thickBot="1" x14ac:dyDescent="0.3"/>
    <row r="21" spans="2:12" ht="15" customHeight="1" x14ac:dyDescent="0.25">
      <c r="B21" s="206" t="s">
        <v>158</v>
      </c>
      <c r="C21" s="207"/>
      <c r="D21" s="207"/>
      <c r="E21" s="207"/>
      <c r="F21" s="207"/>
      <c r="G21" s="207"/>
      <c r="H21" s="207"/>
      <c r="I21" s="207"/>
      <c r="J21" s="208"/>
    </row>
    <row r="22" spans="2:12" ht="15.75" customHeight="1" thickBot="1" x14ac:dyDescent="0.3">
      <c r="B22" s="209">
        <f>B4</f>
        <v>44926</v>
      </c>
      <c r="C22" s="210"/>
      <c r="D22" s="210"/>
      <c r="E22" s="210"/>
      <c r="F22" s="210"/>
      <c r="G22" s="210"/>
      <c r="H22" s="210"/>
      <c r="I22" s="210"/>
      <c r="J22" s="211"/>
    </row>
    <row r="23" spans="2:12" ht="12.75" thickBot="1" x14ac:dyDescent="0.3"/>
    <row r="24" spans="2:12" ht="12.75" thickBot="1" x14ac:dyDescent="0.3">
      <c r="B24" s="48" t="s">
        <v>0</v>
      </c>
      <c r="C24" s="49" t="s">
        <v>8</v>
      </c>
      <c r="D24" s="49" t="s">
        <v>1</v>
      </c>
      <c r="E24" s="49" t="s">
        <v>2</v>
      </c>
      <c r="F24" s="49" t="s">
        <v>3</v>
      </c>
      <c r="G24" s="49" t="s">
        <v>4</v>
      </c>
      <c r="H24" s="49" t="s">
        <v>5</v>
      </c>
      <c r="I24" s="49" t="s">
        <v>6</v>
      </c>
      <c r="J24" s="160" t="s">
        <v>7</v>
      </c>
    </row>
    <row r="25" spans="2:12" x14ac:dyDescent="0.25">
      <c r="B25" s="212" t="s">
        <v>105</v>
      </c>
      <c r="C25" s="220" t="s">
        <v>64</v>
      </c>
      <c r="D25" s="161" t="s">
        <v>43</v>
      </c>
      <c r="E25" s="159">
        <f>SUM('CUOTA LICITADA'!L13:L46)</f>
        <v>1017.0030418470002</v>
      </c>
      <c r="F25" s="143">
        <f>SUM('CUOTA LICITADA'!M13:M44)</f>
        <v>0</v>
      </c>
      <c r="G25" s="143">
        <f>E25+F25</f>
        <v>1017.0030418470002</v>
      </c>
      <c r="H25" s="143">
        <f>SUM('CUOTA LICITADA'!O13:O44)</f>
        <v>924.30700000000013</v>
      </c>
      <c r="I25" s="143">
        <f>G25-H25</f>
        <v>92.69604184700006</v>
      </c>
      <c r="J25" s="144">
        <f>H25/G25</f>
        <v>0.90885372212982485</v>
      </c>
    </row>
    <row r="26" spans="2:12" x14ac:dyDescent="0.25">
      <c r="B26" s="212"/>
      <c r="C26" s="220"/>
      <c r="D26" s="62" t="s">
        <v>44</v>
      </c>
      <c r="E26" s="50">
        <f>SUM('CUOTA LICITADA'!L47:L82)</f>
        <v>1246.030360663</v>
      </c>
      <c r="F26" s="42">
        <f>SUM('CUOTA LICITADA'!M47:M82)</f>
        <v>0</v>
      </c>
      <c r="G26" s="42">
        <f>E26+F26</f>
        <v>1246.030360663</v>
      </c>
      <c r="H26" s="42">
        <f>SUM('CUOTA LICITADA'!O47:O82)</f>
        <v>1158.675</v>
      </c>
      <c r="I26" s="42">
        <f>G26-H26</f>
        <v>87.355360663000056</v>
      </c>
      <c r="J26" s="45">
        <f>H26/G26</f>
        <v>0.92989307209455219</v>
      </c>
    </row>
    <row r="27" spans="2:12" x14ac:dyDescent="0.25">
      <c r="B27" s="212"/>
      <c r="C27" s="220"/>
      <c r="D27" s="62" t="s">
        <v>45</v>
      </c>
      <c r="E27" s="50">
        <v>30</v>
      </c>
      <c r="F27" s="42">
        <v>0</v>
      </c>
      <c r="G27" s="42">
        <f>E27+F27</f>
        <v>30</v>
      </c>
      <c r="H27" s="167">
        <f>0.173+0.001</f>
        <v>0.17399999999999999</v>
      </c>
      <c r="I27" s="42">
        <f t="shared" ref="I27:I29" si="3">G27-H27</f>
        <v>29.826000000000001</v>
      </c>
      <c r="J27" s="45">
        <f t="shared" ref="J27:J28" si="4">H27/G27</f>
        <v>5.7999999999999996E-3</v>
      </c>
    </row>
    <row r="28" spans="2:12" ht="12.75" thickBot="1" x14ac:dyDescent="0.3">
      <c r="B28" s="212"/>
      <c r="C28" s="220"/>
      <c r="D28" s="63" t="s">
        <v>46</v>
      </c>
      <c r="E28" s="51">
        <v>41</v>
      </c>
      <c r="F28" s="40">
        <v>0</v>
      </c>
      <c r="G28" s="40">
        <f t="shared" ref="G28:G29" si="5">E28+F28</f>
        <v>41</v>
      </c>
      <c r="H28" s="40">
        <f>'PESCA DE INVESTIGACION'!H13+'PESCA DE INVESTIGACION'!H24</f>
        <v>18.97</v>
      </c>
      <c r="I28" s="40">
        <f t="shared" si="3"/>
        <v>22.03</v>
      </c>
      <c r="J28" s="46">
        <f t="shared" si="4"/>
        <v>0.46268292682926826</v>
      </c>
    </row>
    <row r="29" spans="2:12" ht="12.75" thickBot="1" x14ac:dyDescent="0.3">
      <c r="B29" s="213"/>
      <c r="C29" s="216" t="s">
        <v>13</v>
      </c>
      <c r="D29" s="217"/>
      <c r="E29" s="64">
        <f>SUM(E25:E28)</f>
        <v>2334.0334025100001</v>
      </c>
      <c r="F29" s="65">
        <f>SUM(F25:F28)</f>
        <v>0</v>
      </c>
      <c r="G29" s="65">
        <f t="shared" si="5"/>
        <v>2334.0334025100001</v>
      </c>
      <c r="H29" s="65">
        <f>SUM(H25:H28)</f>
        <v>2102.1259999999997</v>
      </c>
      <c r="I29" s="65">
        <f t="shared" si="3"/>
        <v>231.90740251000034</v>
      </c>
      <c r="J29" s="66">
        <f>H29/G29</f>
        <v>0.90064092387854899</v>
      </c>
    </row>
    <row r="30" spans="2:12" hidden="1" x14ac:dyDescent="0.25">
      <c r="J30" s="190">
        <v>1</v>
      </c>
    </row>
  </sheetData>
  <mergeCells count="12">
    <mergeCell ref="B2:J2"/>
    <mergeCell ref="B4:J4"/>
    <mergeCell ref="B21:J21"/>
    <mergeCell ref="B22:J22"/>
    <mergeCell ref="B25:B29"/>
    <mergeCell ref="B7:B15"/>
    <mergeCell ref="C29:D29"/>
    <mergeCell ref="C7:C10"/>
    <mergeCell ref="C25:C28"/>
    <mergeCell ref="C15:D15"/>
    <mergeCell ref="C11:C13"/>
    <mergeCell ref="C14:D14"/>
  </mergeCells>
  <conditionalFormatting sqref="J7:J1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{518E0525-64AA-49F0-964B-7A942792019E}</x14:id>
        </ext>
      </extLst>
    </cfRule>
  </conditionalFormatting>
  <conditionalFormatting sqref="J25:J2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{D99F27D6-4D38-4D66-AE49-86887AA0380E}</x14:id>
        </ext>
      </extLst>
    </cfRule>
  </conditionalFormatting>
  <conditionalFormatting sqref="J7:J1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{8C88B3D6-DA12-4D07-BE52-7D9B924CCD3A}</x14:id>
        </ext>
      </extLst>
    </cfRule>
  </conditionalFormatting>
  <conditionalFormatting sqref="J25:J3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{540BD0AF-90F9-406C-8D5E-E8327FE91CD3}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8E0525-64AA-49F0-964B-7A942792019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J7:J15</xm:sqref>
        </x14:conditionalFormatting>
        <x14:conditionalFormatting xmlns:xm="http://schemas.microsoft.com/office/excel/2006/main">
          <x14:cfRule type="dataBar" id="{D99F27D6-4D38-4D66-AE49-86887AA0380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J25:J29</xm:sqref>
        </x14:conditionalFormatting>
        <x14:conditionalFormatting xmlns:xm="http://schemas.microsoft.com/office/excel/2006/main">
          <x14:cfRule type="dataBar" id="{8C88B3D6-DA12-4D07-BE52-7D9B924CCD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J7:J17</xm:sqref>
        </x14:conditionalFormatting>
        <x14:conditionalFormatting xmlns:xm="http://schemas.microsoft.com/office/excel/2006/main">
          <x14:cfRule type="dataBar" id="{540BD0AF-90F9-406C-8D5E-E8327FE91CD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J25:J30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30"/>
  <sheetViews>
    <sheetView showGridLines="0" zoomScale="110" zoomScaleNormal="110" workbookViewId="0">
      <selection activeCell="H12" sqref="H12"/>
    </sheetView>
  </sheetViews>
  <sheetFormatPr baseColWidth="10" defaultColWidth="11.42578125" defaultRowHeight="12" x14ac:dyDescent="0.25"/>
  <cols>
    <col min="1" max="1" width="11.42578125" style="12"/>
    <col min="2" max="2" width="20.28515625" style="12" bestFit="1" customWidth="1"/>
    <col min="3" max="3" width="14.28515625" style="12" customWidth="1"/>
    <col min="4" max="4" width="8.28515625" style="12" bestFit="1" customWidth="1"/>
    <col min="5" max="5" width="19" style="12" bestFit="1" customWidth="1"/>
    <col min="6" max="6" width="15.5703125" style="12" bestFit="1" customWidth="1"/>
    <col min="7" max="7" width="18" style="12" bestFit="1" customWidth="1"/>
    <col min="8" max="8" width="12.42578125" style="12" bestFit="1" customWidth="1"/>
    <col min="9" max="9" width="10.5703125" style="12" bestFit="1" customWidth="1"/>
    <col min="10" max="10" width="12" style="12" bestFit="1" customWidth="1"/>
    <col min="11" max="11" width="11.140625" style="12" bestFit="1" customWidth="1"/>
    <col min="12" max="12" width="19" style="12" bestFit="1" customWidth="1"/>
    <col min="13" max="13" width="15.5703125" style="12" bestFit="1" customWidth="1"/>
    <col min="14" max="14" width="18" style="12" bestFit="1" customWidth="1"/>
    <col min="15" max="15" width="12.42578125" style="12" bestFit="1" customWidth="1"/>
    <col min="16" max="16" width="10.5703125" style="12" bestFit="1" customWidth="1"/>
    <col min="17" max="17" width="10.42578125" style="12" bestFit="1" customWidth="1"/>
    <col min="18" max="16384" width="11.42578125" style="12"/>
  </cols>
  <sheetData>
    <row r="2" spans="2:17" ht="19.5" customHeight="1" x14ac:dyDescent="0.25">
      <c r="B2" s="226" t="s">
        <v>159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8"/>
    </row>
    <row r="3" spans="2:17" x14ac:dyDescent="0.25">
      <c r="B3" s="229">
        <f>'RESUMEN '!B4:J4</f>
        <v>44926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1"/>
    </row>
    <row r="4" spans="2:17" ht="12.75" thickBot="1" x14ac:dyDescent="0.3"/>
    <row r="5" spans="2:17" ht="12.75" thickBot="1" x14ac:dyDescent="0.3">
      <c r="B5" s="71" t="s">
        <v>16</v>
      </c>
      <c r="C5" s="72" t="s">
        <v>17</v>
      </c>
      <c r="D5" s="139" t="s">
        <v>18</v>
      </c>
      <c r="E5" s="73" t="s">
        <v>2</v>
      </c>
      <c r="F5" s="73" t="s">
        <v>3</v>
      </c>
      <c r="G5" s="73" t="s">
        <v>4</v>
      </c>
      <c r="H5" s="73" t="s">
        <v>5</v>
      </c>
      <c r="I5" s="73" t="s">
        <v>6</v>
      </c>
      <c r="J5" s="74" t="s">
        <v>7</v>
      </c>
      <c r="K5" s="73" t="s">
        <v>19</v>
      </c>
      <c r="L5" s="73" t="s">
        <v>2</v>
      </c>
      <c r="M5" s="73" t="s">
        <v>3</v>
      </c>
      <c r="N5" s="73" t="s">
        <v>4</v>
      </c>
      <c r="O5" s="73" t="s">
        <v>5</v>
      </c>
      <c r="P5" s="73" t="s">
        <v>6</v>
      </c>
      <c r="Q5" s="72" t="s">
        <v>20</v>
      </c>
    </row>
    <row r="6" spans="2:17" x14ac:dyDescent="0.25">
      <c r="B6" s="234" t="s">
        <v>21</v>
      </c>
      <c r="C6" s="234" t="s">
        <v>16</v>
      </c>
      <c r="D6" s="69" t="s">
        <v>52</v>
      </c>
      <c r="E6" s="47">
        <v>8</v>
      </c>
      <c r="F6" s="142"/>
      <c r="G6" s="142">
        <f>E6+F6</f>
        <v>8</v>
      </c>
      <c r="H6" s="142"/>
      <c r="I6" s="142">
        <f>G6-H6</f>
        <v>8</v>
      </c>
      <c r="J6" s="39">
        <f>H6/G6</f>
        <v>0</v>
      </c>
      <c r="K6" s="70" t="s">
        <v>92</v>
      </c>
      <c r="L6" s="242">
        <f>E6+E7</f>
        <v>10</v>
      </c>
      <c r="M6" s="242">
        <f>F6+F7</f>
        <v>0</v>
      </c>
      <c r="N6" s="242">
        <f>L6+M6</f>
        <v>10</v>
      </c>
      <c r="O6" s="242">
        <f>H6+H7</f>
        <v>0</v>
      </c>
      <c r="P6" s="242">
        <f>N6-O6</f>
        <v>10</v>
      </c>
      <c r="Q6" s="237">
        <f>O6/N6</f>
        <v>0</v>
      </c>
    </row>
    <row r="7" spans="2:17" ht="12.75" thickBot="1" x14ac:dyDescent="0.3">
      <c r="B7" s="235"/>
      <c r="C7" s="235"/>
      <c r="D7" s="68" t="s">
        <v>53</v>
      </c>
      <c r="E7" s="14">
        <v>2</v>
      </c>
      <c r="F7" s="141"/>
      <c r="G7" s="141">
        <f>E7+F7+I6</f>
        <v>10</v>
      </c>
      <c r="H7" s="141"/>
      <c r="I7" s="141">
        <f>G7-H7</f>
        <v>10</v>
      </c>
      <c r="J7" s="43">
        <f>H7/G7</f>
        <v>0</v>
      </c>
      <c r="K7" s="31" t="s">
        <v>92</v>
      </c>
      <c r="L7" s="240"/>
      <c r="M7" s="240"/>
      <c r="N7" s="240"/>
      <c r="O7" s="240"/>
      <c r="P7" s="240"/>
      <c r="Q7" s="238"/>
    </row>
    <row r="8" spans="2:17" x14ac:dyDescent="0.25">
      <c r="B8" s="234" t="s">
        <v>22</v>
      </c>
      <c r="C8" s="234" t="s">
        <v>55</v>
      </c>
      <c r="D8" s="68" t="s">
        <v>52</v>
      </c>
      <c r="E8" s="14">
        <v>134.51400000000001</v>
      </c>
      <c r="F8" s="141">
        <f>-74.59+113+50+70</f>
        <v>158.41</v>
      </c>
      <c r="G8" s="141">
        <f t="shared" ref="G8" si="0">E8+F8</f>
        <v>292.92399999999998</v>
      </c>
      <c r="H8" s="185">
        <v>306.47500000000002</v>
      </c>
      <c r="I8" s="141">
        <f t="shared" ref="I8:I17" si="1">G8-H8</f>
        <v>-13.551000000000045</v>
      </c>
      <c r="J8" s="43">
        <f t="shared" ref="J8:J17" si="2">H8/G8</f>
        <v>1.046261146235884</v>
      </c>
      <c r="K8" s="166">
        <v>44686</v>
      </c>
      <c r="L8" s="239">
        <f t="shared" ref="L8" si="3">E8+E9</f>
        <v>149.178</v>
      </c>
      <c r="M8" s="239">
        <f t="shared" ref="M8" si="4">F8+F9</f>
        <v>158.41</v>
      </c>
      <c r="N8" s="239">
        <f t="shared" ref="N8" si="5">L8+M8</f>
        <v>307.58799999999997</v>
      </c>
      <c r="O8" s="239">
        <f t="shared" ref="O8" si="6">H8+H9</f>
        <v>306.47500000000002</v>
      </c>
      <c r="P8" s="239">
        <f t="shared" ref="P8" si="7">N8-O8</f>
        <v>1.1129999999999427</v>
      </c>
      <c r="Q8" s="241">
        <f t="shared" ref="Q8" si="8">O8/N8</f>
        <v>0.99638152333641128</v>
      </c>
    </row>
    <row r="9" spans="2:17" ht="12.75" thickBot="1" x14ac:dyDescent="0.3">
      <c r="B9" s="236"/>
      <c r="C9" s="235"/>
      <c r="D9" s="68" t="s">
        <v>53</v>
      </c>
      <c r="E9" s="14">
        <v>14.664</v>
      </c>
      <c r="F9" s="141"/>
      <c r="G9" s="141">
        <f t="shared" ref="G9" si="9">E9+F9+I8</f>
        <v>1.1129999999999551</v>
      </c>
      <c r="H9" s="75"/>
      <c r="I9" s="141">
        <f t="shared" si="1"/>
        <v>1.1129999999999551</v>
      </c>
      <c r="J9" s="43">
        <f t="shared" si="2"/>
        <v>0</v>
      </c>
      <c r="K9" s="31" t="s">
        <v>92</v>
      </c>
      <c r="L9" s="240"/>
      <c r="M9" s="240"/>
      <c r="N9" s="240"/>
      <c r="O9" s="240"/>
      <c r="P9" s="240"/>
      <c r="Q9" s="238"/>
    </row>
    <row r="10" spans="2:17" x14ac:dyDescent="0.25">
      <c r="B10" s="236"/>
      <c r="C10" s="234" t="s">
        <v>56</v>
      </c>
      <c r="D10" s="68" t="s">
        <v>52</v>
      </c>
      <c r="E10" s="14">
        <v>125.45099999999999</v>
      </c>
      <c r="F10" s="141"/>
      <c r="G10" s="141">
        <f t="shared" ref="G10" si="10">E10+F10</f>
        <v>125.45099999999999</v>
      </c>
      <c r="H10" s="185">
        <v>135.57900000000001</v>
      </c>
      <c r="I10" s="141">
        <f t="shared" si="1"/>
        <v>-10.128000000000014</v>
      </c>
      <c r="J10" s="43">
        <f t="shared" si="2"/>
        <v>1.0807327163593754</v>
      </c>
      <c r="K10" s="31" t="s">
        <v>92</v>
      </c>
      <c r="L10" s="239">
        <f t="shared" ref="L10" si="11">E10+E11</f>
        <v>139.12699999999998</v>
      </c>
      <c r="M10" s="239">
        <f t="shared" ref="M10" si="12">F10+F11</f>
        <v>0</v>
      </c>
      <c r="N10" s="239">
        <f t="shared" ref="N10" si="13">L10+M10</f>
        <v>139.12699999999998</v>
      </c>
      <c r="O10" s="239">
        <f t="shared" ref="O10" si="14">H10+H11</f>
        <v>135.57900000000001</v>
      </c>
      <c r="P10" s="239">
        <f t="shared" ref="P10" si="15">N10-O10</f>
        <v>3.5479999999999734</v>
      </c>
      <c r="Q10" s="241">
        <f t="shared" ref="Q10" si="16">O10/N10</f>
        <v>0.97449812042234807</v>
      </c>
    </row>
    <row r="11" spans="2:17" ht="12.75" thickBot="1" x14ac:dyDescent="0.3">
      <c r="B11" s="236"/>
      <c r="C11" s="235"/>
      <c r="D11" s="68" t="s">
        <v>53</v>
      </c>
      <c r="E11" s="14">
        <v>13.676</v>
      </c>
      <c r="F11" s="141"/>
      <c r="G11" s="141">
        <f t="shared" ref="G11" si="17">E11+F11+I10</f>
        <v>3.5479999999999858</v>
      </c>
      <c r="H11" s="75"/>
      <c r="I11" s="141">
        <f t="shared" si="1"/>
        <v>3.5479999999999858</v>
      </c>
      <c r="J11" s="43">
        <f>H11/G11</f>
        <v>0</v>
      </c>
      <c r="K11" s="31" t="s">
        <v>92</v>
      </c>
      <c r="L11" s="240"/>
      <c r="M11" s="240"/>
      <c r="N11" s="240"/>
      <c r="O11" s="240"/>
      <c r="P11" s="240"/>
      <c r="Q11" s="238"/>
    </row>
    <row r="12" spans="2:17" x14ac:dyDescent="0.25">
      <c r="B12" s="236"/>
      <c r="C12" s="234" t="s">
        <v>57</v>
      </c>
      <c r="D12" s="68" t="s">
        <v>52</v>
      </c>
      <c r="E12" s="14">
        <v>96.831000000000003</v>
      </c>
      <c r="F12" s="141">
        <v>140.5</v>
      </c>
      <c r="G12" s="141">
        <f t="shared" ref="G12" si="18">E12+F12</f>
        <v>237.33100000000002</v>
      </c>
      <c r="H12" s="185">
        <v>228.78800000000001</v>
      </c>
      <c r="I12" s="141">
        <f t="shared" si="1"/>
        <v>8.5430000000000064</v>
      </c>
      <c r="J12" s="43">
        <f t="shared" si="2"/>
        <v>0.96400385958850721</v>
      </c>
      <c r="K12" s="31" t="s">
        <v>92</v>
      </c>
      <c r="L12" s="239">
        <f t="shared" ref="L12" si="19">E12+E13</f>
        <v>107.387</v>
      </c>
      <c r="M12" s="239">
        <f t="shared" ref="M12" si="20">F12+F13</f>
        <v>140.5</v>
      </c>
      <c r="N12" s="239">
        <f t="shared" ref="N12" si="21">L12+M12</f>
        <v>247.887</v>
      </c>
      <c r="O12" s="239">
        <f t="shared" ref="O12" si="22">H12+H13</f>
        <v>239.84400000000002</v>
      </c>
      <c r="P12" s="239">
        <f t="shared" ref="P12" si="23">N12-O12</f>
        <v>8.0429999999999779</v>
      </c>
      <c r="Q12" s="241">
        <f t="shared" ref="Q12" si="24">O12/N12</f>
        <v>0.96755376441685137</v>
      </c>
    </row>
    <row r="13" spans="2:17" ht="12.75" thickBot="1" x14ac:dyDescent="0.3">
      <c r="B13" s="236"/>
      <c r="C13" s="235"/>
      <c r="D13" s="68" t="s">
        <v>53</v>
      </c>
      <c r="E13" s="14">
        <v>10.555999999999999</v>
      </c>
      <c r="F13" s="141"/>
      <c r="G13" s="141">
        <f t="shared" ref="G13" si="25">E13+F13+I12</f>
        <v>19.099000000000004</v>
      </c>
      <c r="H13" s="75">
        <v>11.055999999999999</v>
      </c>
      <c r="I13" s="141">
        <f t="shared" si="1"/>
        <v>8.0430000000000046</v>
      </c>
      <c r="J13" s="43">
        <f t="shared" si="2"/>
        <v>0.57887847531284342</v>
      </c>
      <c r="K13" s="31" t="s">
        <v>92</v>
      </c>
      <c r="L13" s="240"/>
      <c r="M13" s="240"/>
      <c r="N13" s="240"/>
      <c r="O13" s="240"/>
      <c r="P13" s="240"/>
      <c r="Q13" s="238"/>
    </row>
    <row r="14" spans="2:17" x14ac:dyDescent="0.25">
      <c r="B14" s="236"/>
      <c r="C14" s="234" t="s">
        <v>58</v>
      </c>
      <c r="D14" s="68" t="s">
        <v>52</v>
      </c>
      <c r="E14" s="14">
        <f>91.584+9.984</f>
        <v>101.568</v>
      </c>
      <c r="F14" s="141">
        <f>-60</f>
        <v>-60</v>
      </c>
      <c r="G14" s="141">
        <f t="shared" ref="G14" si="26">E14+F14</f>
        <v>41.567999999999998</v>
      </c>
      <c r="H14" s="185">
        <v>39.426000000000002</v>
      </c>
      <c r="I14" s="141">
        <f t="shared" si="1"/>
        <v>2.1419999999999959</v>
      </c>
      <c r="J14" s="43">
        <f t="shared" si="2"/>
        <v>0.94846997690531187</v>
      </c>
      <c r="K14" s="76" t="s">
        <v>92</v>
      </c>
      <c r="L14" s="239">
        <f t="shared" ref="L14" si="27">E14+E15</f>
        <v>101.568</v>
      </c>
      <c r="M14" s="239">
        <f t="shared" ref="M14" si="28">F14+F15</f>
        <v>-60</v>
      </c>
      <c r="N14" s="239">
        <f t="shared" ref="N14" si="29">L14+M14</f>
        <v>41.567999999999998</v>
      </c>
      <c r="O14" s="239">
        <f t="shared" ref="O14" si="30">H14+H15</f>
        <v>39.426000000000002</v>
      </c>
      <c r="P14" s="239">
        <f t="shared" ref="P14" si="31">N14-O14</f>
        <v>2.1419999999999959</v>
      </c>
      <c r="Q14" s="241">
        <f t="shared" ref="Q14" si="32">O14/N14</f>
        <v>0.94846997690531187</v>
      </c>
    </row>
    <row r="15" spans="2:17" ht="12.75" thickBot="1" x14ac:dyDescent="0.3">
      <c r="B15" s="236"/>
      <c r="C15" s="235"/>
      <c r="D15" s="68" t="s">
        <v>53</v>
      </c>
      <c r="E15" s="14">
        <f>9.984-9.984</f>
        <v>0</v>
      </c>
      <c r="F15" s="141"/>
      <c r="G15" s="141">
        <f t="shared" ref="G15" si="33">E15+F15+I14</f>
        <v>2.1419999999999959</v>
      </c>
      <c r="H15" s="75"/>
      <c r="I15" s="141">
        <f t="shared" si="1"/>
        <v>2.1419999999999959</v>
      </c>
      <c r="J15" s="43">
        <f t="shared" si="2"/>
        <v>0</v>
      </c>
      <c r="K15" s="76" t="s">
        <v>92</v>
      </c>
      <c r="L15" s="240"/>
      <c r="M15" s="240"/>
      <c r="N15" s="240"/>
      <c r="O15" s="240"/>
      <c r="P15" s="240"/>
      <c r="Q15" s="238"/>
    </row>
    <row r="16" spans="2:17" x14ac:dyDescent="0.25">
      <c r="B16" s="236"/>
      <c r="C16" s="234" t="s">
        <v>59</v>
      </c>
      <c r="D16" s="68" t="s">
        <v>52</v>
      </c>
      <c r="E16" s="14">
        <v>28.62</v>
      </c>
      <c r="F16" s="141"/>
      <c r="G16" s="141">
        <f t="shared" ref="G16" si="34">E16+F16</f>
        <v>28.62</v>
      </c>
      <c r="H16" s="185">
        <v>26.646999999999998</v>
      </c>
      <c r="I16" s="141">
        <f t="shared" si="1"/>
        <v>1.9730000000000025</v>
      </c>
      <c r="J16" s="43">
        <f t="shared" si="2"/>
        <v>0.93106219426974135</v>
      </c>
      <c r="K16" s="31" t="s">
        <v>92</v>
      </c>
      <c r="L16" s="239">
        <f t="shared" ref="L16" si="35">E16+E17</f>
        <v>31.740000000000002</v>
      </c>
      <c r="M16" s="239">
        <f t="shared" ref="M16" si="36">F16+F17</f>
        <v>0</v>
      </c>
      <c r="N16" s="239">
        <f t="shared" ref="N16" si="37">L16+M16</f>
        <v>31.740000000000002</v>
      </c>
      <c r="O16" s="239">
        <f t="shared" ref="O16" si="38">H16+H17</f>
        <v>31.378999999999998</v>
      </c>
      <c r="P16" s="239">
        <f t="shared" ref="P16" si="39">N16-O16</f>
        <v>0.36100000000000421</v>
      </c>
      <c r="Q16" s="241">
        <f t="shared" ref="Q16" si="40">O16/N16</f>
        <v>0.98862633900441066</v>
      </c>
    </row>
    <row r="17" spans="2:17" ht="12.75" thickBot="1" x14ac:dyDescent="0.3">
      <c r="B17" s="235"/>
      <c r="C17" s="235"/>
      <c r="D17" s="68" t="s">
        <v>53</v>
      </c>
      <c r="E17" s="14">
        <v>3.12</v>
      </c>
      <c r="F17" s="141"/>
      <c r="G17" s="141">
        <f t="shared" ref="G17" si="41">E17+F17+I16</f>
        <v>5.0930000000000026</v>
      </c>
      <c r="H17" s="75">
        <v>4.7320000000000002</v>
      </c>
      <c r="I17" s="141">
        <f t="shared" si="1"/>
        <v>0.36100000000000243</v>
      </c>
      <c r="J17" s="43">
        <f t="shared" si="2"/>
        <v>0.92911839780090277</v>
      </c>
      <c r="K17" s="31" t="s">
        <v>92</v>
      </c>
      <c r="L17" s="240"/>
      <c r="M17" s="240"/>
      <c r="N17" s="240"/>
      <c r="O17" s="240"/>
      <c r="P17" s="240"/>
      <c r="Q17" s="238"/>
    </row>
    <row r="18" spans="2:17" ht="12.75" thickBot="1" x14ac:dyDescent="0.3">
      <c r="B18" s="138" t="s">
        <v>10</v>
      </c>
      <c r="C18" s="138" t="s">
        <v>106</v>
      </c>
      <c r="D18" s="146" t="s">
        <v>54</v>
      </c>
      <c r="E18" s="147">
        <v>15</v>
      </c>
      <c r="F18" s="40"/>
      <c r="G18" s="40">
        <f>E18+F18</f>
        <v>15</v>
      </c>
      <c r="H18" s="147"/>
      <c r="I18" s="40">
        <f>G18-H18</f>
        <v>15</v>
      </c>
      <c r="J18" s="148">
        <f>H18/G18</f>
        <v>0</v>
      </c>
      <c r="K18" s="149" t="s">
        <v>92</v>
      </c>
      <c r="L18" s="140">
        <f>E18</f>
        <v>15</v>
      </c>
      <c r="M18" s="140">
        <f t="shared" ref="M18:Q18" si="42">F18</f>
        <v>0</v>
      </c>
      <c r="N18" s="140">
        <f t="shared" si="42"/>
        <v>15</v>
      </c>
      <c r="O18" s="140">
        <f t="shared" si="42"/>
        <v>0</v>
      </c>
      <c r="P18" s="140">
        <f t="shared" si="42"/>
        <v>15</v>
      </c>
      <c r="Q18" s="150">
        <f t="shared" si="42"/>
        <v>0</v>
      </c>
    </row>
    <row r="19" spans="2:17" ht="12.75" thickBot="1" x14ac:dyDescent="0.3">
      <c r="B19" s="232" t="s">
        <v>13</v>
      </c>
      <c r="C19" s="233"/>
      <c r="D19" s="139" t="s">
        <v>54</v>
      </c>
      <c r="E19" s="67">
        <f>SUM(E6:E18)</f>
        <v>554</v>
      </c>
      <c r="F19" s="67">
        <f>SUM(F6:F18)</f>
        <v>238.90999999999997</v>
      </c>
      <c r="G19" s="67">
        <f>E19+F19</f>
        <v>792.91</v>
      </c>
      <c r="H19" s="67">
        <f>SUM(H6:H18)</f>
        <v>752.7030000000002</v>
      </c>
      <c r="I19" s="67">
        <f>G19-H19</f>
        <v>40.206999999999766</v>
      </c>
      <c r="J19" s="151">
        <f>H19/G19</f>
        <v>0.94929184901186792</v>
      </c>
      <c r="K19" s="152" t="s">
        <v>92</v>
      </c>
      <c r="L19" s="67">
        <f>SUM(L6:L18)</f>
        <v>553.99999999999989</v>
      </c>
      <c r="M19" s="67">
        <f>SUM(M6:M18)</f>
        <v>238.90999999999997</v>
      </c>
      <c r="N19" s="67">
        <f>L19+M19</f>
        <v>792.90999999999985</v>
      </c>
      <c r="O19" s="67">
        <f>SUM(O6:O18)</f>
        <v>752.70300000000009</v>
      </c>
      <c r="P19" s="67">
        <f>N19-O19</f>
        <v>40.206999999999766</v>
      </c>
      <c r="Q19" s="153">
        <f>O19/N19</f>
        <v>0.94929184901186792</v>
      </c>
    </row>
    <row r="20" spans="2:17" x14ac:dyDescent="0.25">
      <c r="E20" s="20"/>
    </row>
    <row r="30" spans="2:17" x14ac:dyDescent="0.25">
      <c r="H30" s="135"/>
    </row>
  </sheetData>
  <mergeCells count="47">
    <mergeCell ref="Q14:Q15"/>
    <mergeCell ref="L16:L17"/>
    <mergeCell ref="M16:M17"/>
    <mergeCell ref="N16:N17"/>
    <mergeCell ref="O16:O17"/>
    <mergeCell ref="P16:P17"/>
    <mergeCell ref="Q16:Q17"/>
    <mergeCell ref="L14:L15"/>
    <mergeCell ref="M14:M15"/>
    <mergeCell ref="N14:N15"/>
    <mergeCell ref="O14:O15"/>
    <mergeCell ref="P14:P15"/>
    <mergeCell ref="Q10:Q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P8:P9"/>
    <mergeCell ref="Q8:Q9"/>
    <mergeCell ref="L6:L7"/>
    <mergeCell ref="M6:M7"/>
    <mergeCell ref="N6:N7"/>
    <mergeCell ref="O6:O7"/>
    <mergeCell ref="P6:P7"/>
    <mergeCell ref="B2:Q2"/>
    <mergeCell ref="B3:Q3"/>
    <mergeCell ref="B19:C19"/>
    <mergeCell ref="C14:C15"/>
    <mergeCell ref="C16:C17"/>
    <mergeCell ref="B6:B7"/>
    <mergeCell ref="B8:B17"/>
    <mergeCell ref="C6:C7"/>
    <mergeCell ref="C8:C9"/>
    <mergeCell ref="C10:C11"/>
    <mergeCell ref="C12:C13"/>
    <mergeCell ref="Q6:Q7"/>
    <mergeCell ref="L8:L9"/>
    <mergeCell ref="M8:M9"/>
    <mergeCell ref="N8:N9"/>
    <mergeCell ref="O8:O9"/>
  </mergeCells>
  <conditionalFormatting sqref="J6:J18">
    <cfRule type="cellIs" dxfId="5" priority="1" operator="greaterThan">
      <formula>95%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61"/>
  <sheetViews>
    <sheetView showGridLines="0" topLeftCell="B1" zoomScale="120" zoomScaleNormal="120" workbookViewId="0">
      <pane xSplit="2" ySplit="5" topLeftCell="D48" activePane="bottomRight" state="frozen"/>
      <selection activeCell="B1" sqref="B1"/>
      <selection pane="topRight" activeCell="D1" sqref="D1"/>
      <selection pane="bottomLeft" activeCell="B6" sqref="B6"/>
      <selection pane="bottomRight" activeCell="H35" sqref="H35"/>
    </sheetView>
  </sheetViews>
  <sheetFormatPr baseColWidth="10" defaultColWidth="11.42578125" defaultRowHeight="12" x14ac:dyDescent="0.25"/>
  <cols>
    <col min="1" max="1" width="11.42578125" style="12"/>
    <col min="2" max="2" width="20.85546875" style="12" bestFit="1" customWidth="1"/>
    <col min="3" max="3" width="42" style="12" customWidth="1"/>
    <col min="4" max="4" width="9" style="12" customWidth="1"/>
    <col min="5" max="5" width="19" style="12" bestFit="1" customWidth="1"/>
    <col min="6" max="6" width="15.5703125" style="12" bestFit="1" customWidth="1"/>
    <col min="7" max="7" width="18" style="12" bestFit="1" customWidth="1"/>
    <col min="8" max="8" width="12.42578125" style="12" bestFit="1" customWidth="1"/>
    <col min="9" max="9" width="10.5703125" style="12" bestFit="1" customWidth="1"/>
    <col min="10" max="10" width="12" style="12" bestFit="1" customWidth="1"/>
    <col min="11" max="11" width="19" style="12" bestFit="1" customWidth="1"/>
    <col min="12" max="12" width="15.5703125" style="12" bestFit="1" customWidth="1"/>
    <col min="13" max="13" width="18" style="12" bestFit="1" customWidth="1"/>
    <col min="14" max="14" width="12.42578125" style="12" bestFit="1" customWidth="1"/>
    <col min="15" max="15" width="10.5703125" style="12" bestFit="1" customWidth="1"/>
    <col min="16" max="16" width="10.42578125" style="12" bestFit="1" customWidth="1"/>
    <col min="17" max="16384" width="11.42578125" style="12"/>
  </cols>
  <sheetData>
    <row r="1" spans="2:16" ht="12.75" thickBot="1" x14ac:dyDescent="0.3"/>
    <row r="2" spans="2:16" x14ac:dyDescent="0.25">
      <c r="B2" s="252" t="s">
        <v>160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4"/>
    </row>
    <row r="3" spans="2:16" ht="19.5" customHeight="1" thickBot="1" x14ac:dyDescent="0.3">
      <c r="B3" s="255">
        <f>'RESUMEN '!B4:J4</f>
        <v>44926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7"/>
    </row>
    <row r="4" spans="2:16" ht="12.75" thickBot="1" x14ac:dyDescent="0.3"/>
    <row r="5" spans="2:16" ht="12.75" thickBot="1" x14ac:dyDescent="0.3">
      <c r="B5" s="78" t="s">
        <v>0</v>
      </c>
      <c r="C5" s="79" t="s">
        <v>23</v>
      </c>
      <c r="D5" s="79" t="s">
        <v>18</v>
      </c>
      <c r="E5" s="79" t="s">
        <v>2</v>
      </c>
      <c r="F5" s="79" t="s">
        <v>3</v>
      </c>
      <c r="G5" s="79" t="s">
        <v>4</v>
      </c>
      <c r="H5" s="79" t="s">
        <v>5</v>
      </c>
      <c r="I5" s="79" t="s">
        <v>6</v>
      </c>
      <c r="J5" s="80" t="s">
        <v>7</v>
      </c>
      <c r="K5" s="79" t="s">
        <v>2</v>
      </c>
      <c r="L5" s="79" t="s">
        <v>3</v>
      </c>
      <c r="M5" s="79" t="s">
        <v>4</v>
      </c>
      <c r="N5" s="79" t="s">
        <v>5</v>
      </c>
      <c r="O5" s="79" t="s">
        <v>6</v>
      </c>
      <c r="P5" s="81" t="s">
        <v>20</v>
      </c>
    </row>
    <row r="6" spans="2:16" x14ac:dyDescent="0.25">
      <c r="B6" s="266" t="s">
        <v>50</v>
      </c>
      <c r="C6" s="270" t="s">
        <v>24</v>
      </c>
      <c r="D6" s="82" t="s">
        <v>52</v>
      </c>
      <c r="E6" s="52">
        <f>16.62402+0.4875+0.4875+0.1+0.7125</f>
        <v>18.411520000000003</v>
      </c>
      <c r="F6" s="85">
        <f>-5.62-2.487-3.481</f>
        <v>-11.587999999999999</v>
      </c>
      <c r="G6" s="58">
        <f>E6+F6</f>
        <v>6.8235200000000038</v>
      </c>
      <c r="H6" s="85"/>
      <c r="I6" s="58">
        <f>G6-H6</f>
        <v>6.8235200000000038</v>
      </c>
      <c r="J6" s="86">
        <f>H6/G6</f>
        <v>0</v>
      </c>
      <c r="K6" s="248">
        <f>E6+E7</f>
        <v>20.620900000000002</v>
      </c>
      <c r="L6" s="248">
        <f>F6+F7</f>
        <v>-11.587999999999999</v>
      </c>
      <c r="M6" s="248">
        <f>K6+L6</f>
        <v>9.0329000000000033</v>
      </c>
      <c r="N6" s="248">
        <f>H6+H7</f>
        <v>0</v>
      </c>
      <c r="O6" s="248">
        <f>M6-N6</f>
        <v>9.0329000000000033</v>
      </c>
      <c r="P6" s="249">
        <f>N6/M6</f>
        <v>0</v>
      </c>
    </row>
    <row r="7" spans="2:16" x14ac:dyDescent="0.25">
      <c r="B7" s="267"/>
      <c r="C7" s="243"/>
      <c r="D7" s="83" t="s">
        <v>53</v>
      </c>
      <c r="E7" s="50">
        <f>1.99488+0.0585+0.0585+0.012+0.0855</f>
        <v>2.2093800000000003</v>
      </c>
      <c r="F7" s="44"/>
      <c r="G7" s="42">
        <f>E7+F7+I6</f>
        <v>9.032900000000005</v>
      </c>
      <c r="H7" s="77"/>
      <c r="I7" s="42">
        <f>G7-H7</f>
        <v>9.032900000000005</v>
      </c>
      <c r="J7" s="43">
        <f>H7/G7</f>
        <v>0</v>
      </c>
      <c r="K7" s="244"/>
      <c r="L7" s="244"/>
      <c r="M7" s="244"/>
      <c r="N7" s="244"/>
      <c r="O7" s="244"/>
      <c r="P7" s="245"/>
    </row>
    <row r="8" spans="2:16" x14ac:dyDescent="0.25">
      <c r="B8" s="267"/>
      <c r="C8" s="243" t="s">
        <v>25</v>
      </c>
      <c r="D8" s="83" t="s">
        <v>52</v>
      </c>
      <c r="E8" s="50">
        <f>0.29316+2.7132+0.3225</f>
        <v>3.3288599999999997</v>
      </c>
      <c r="F8" s="44"/>
      <c r="G8" s="42">
        <f t="shared" ref="G8" si="0">E8+F8</f>
        <v>3.3288599999999997</v>
      </c>
      <c r="H8" s="44"/>
      <c r="I8" s="42">
        <f t="shared" ref="I8:I59" si="1">G8-H8</f>
        <v>3.3288599999999997</v>
      </c>
      <c r="J8" s="43">
        <f t="shared" ref="J8:J59" si="2">H8/G8</f>
        <v>0</v>
      </c>
      <c r="K8" s="244">
        <f t="shared" ref="K8" si="3">E8+E9</f>
        <v>3.7283199999999996</v>
      </c>
      <c r="L8" s="244">
        <f t="shared" ref="L8" si="4">F8+F9</f>
        <v>0</v>
      </c>
      <c r="M8" s="244">
        <f t="shared" ref="M8" si="5">K8+L8</f>
        <v>3.7283199999999996</v>
      </c>
      <c r="N8" s="244">
        <f t="shared" ref="N8" si="6">H8+H9</f>
        <v>0</v>
      </c>
      <c r="O8" s="244">
        <f t="shared" ref="O8" si="7">M8-N8</f>
        <v>3.7283199999999996</v>
      </c>
      <c r="P8" s="245">
        <f t="shared" ref="P8" si="8">N8/M8</f>
        <v>0</v>
      </c>
    </row>
    <row r="9" spans="2:16" x14ac:dyDescent="0.25">
      <c r="B9" s="267"/>
      <c r="C9" s="243"/>
      <c r="D9" s="83" t="s">
        <v>53</v>
      </c>
      <c r="E9" s="50">
        <f>0.03518+0.32558+0.0387</f>
        <v>0.39945999999999998</v>
      </c>
      <c r="F9" s="44"/>
      <c r="G9" s="42">
        <f t="shared" ref="G9" si="9">E9+F9+I8</f>
        <v>3.7283199999999996</v>
      </c>
      <c r="H9" s="44"/>
      <c r="I9" s="42">
        <f t="shared" si="1"/>
        <v>3.7283199999999996</v>
      </c>
      <c r="J9" s="43">
        <f t="shared" si="2"/>
        <v>0</v>
      </c>
      <c r="K9" s="244"/>
      <c r="L9" s="244"/>
      <c r="M9" s="244"/>
      <c r="N9" s="244"/>
      <c r="O9" s="244"/>
      <c r="P9" s="245"/>
    </row>
    <row r="10" spans="2:16" x14ac:dyDescent="0.25">
      <c r="B10" s="267"/>
      <c r="C10" s="243" t="s">
        <v>26</v>
      </c>
      <c r="D10" s="83" t="s">
        <v>52</v>
      </c>
      <c r="E10" s="50">
        <f>0.0015</f>
        <v>1.5E-3</v>
      </c>
      <c r="F10" s="44"/>
      <c r="G10" s="42">
        <f t="shared" ref="G10" si="10">E10+F10</f>
        <v>1.5E-3</v>
      </c>
      <c r="H10" s="44"/>
      <c r="I10" s="42">
        <f t="shared" si="1"/>
        <v>1.5E-3</v>
      </c>
      <c r="J10" s="43">
        <f t="shared" si="2"/>
        <v>0</v>
      </c>
      <c r="K10" s="244">
        <f t="shared" ref="K10" si="11">E10+E11</f>
        <v>1.6800000000000001E-3</v>
      </c>
      <c r="L10" s="244">
        <f t="shared" ref="L10" si="12">F10+F11</f>
        <v>0</v>
      </c>
      <c r="M10" s="244">
        <f t="shared" ref="M10" si="13">K10+L10</f>
        <v>1.6800000000000001E-3</v>
      </c>
      <c r="N10" s="244">
        <f t="shared" ref="N10" si="14">H10+H11</f>
        <v>0</v>
      </c>
      <c r="O10" s="244">
        <f t="shared" ref="O10" si="15">M10-N10</f>
        <v>1.6800000000000001E-3</v>
      </c>
      <c r="P10" s="245">
        <f t="shared" ref="P10" si="16">N10/M10</f>
        <v>0</v>
      </c>
    </row>
    <row r="11" spans="2:16" x14ac:dyDescent="0.25">
      <c r="B11" s="267"/>
      <c r="C11" s="243"/>
      <c r="D11" s="83" t="s">
        <v>53</v>
      </c>
      <c r="E11" s="50">
        <f>0.00018</f>
        <v>1.8000000000000001E-4</v>
      </c>
      <c r="F11" s="44"/>
      <c r="G11" s="42">
        <f t="shared" ref="G11" si="17">E11+F11+I10</f>
        <v>1.6800000000000001E-3</v>
      </c>
      <c r="H11" s="44"/>
      <c r="I11" s="42">
        <f t="shared" si="1"/>
        <v>1.6800000000000001E-3</v>
      </c>
      <c r="J11" s="43">
        <f t="shared" si="2"/>
        <v>0</v>
      </c>
      <c r="K11" s="244"/>
      <c r="L11" s="244"/>
      <c r="M11" s="244"/>
      <c r="N11" s="244"/>
      <c r="O11" s="244"/>
      <c r="P11" s="245"/>
    </row>
    <row r="12" spans="2:16" x14ac:dyDescent="0.25">
      <c r="B12" s="267"/>
      <c r="C12" s="243" t="s">
        <v>27</v>
      </c>
      <c r="D12" s="83" t="s">
        <v>52</v>
      </c>
      <c r="E12" s="50">
        <f>17.31131+0.3875+0.013+0.1595+0.5625+0.7125</f>
        <v>19.14631</v>
      </c>
      <c r="F12" s="14">
        <v>-6.9880000000000004</v>
      </c>
      <c r="G12" s="42">
        <f t="shared" ref="G12" si="18">E12+F12</f>
        <v>12.15831</v>
      </c>
      <c r="H12" s="44"/>
      <c r="I12" s="42">
        <f t="shared" si="1"/>
        <v>12.15831</v>
      </c>
      <c r="J12" s="43">
        <f t="shared" si="2"/>
        <v>0</v>
      </c>
      <c r="K12" s="244">
        <f t="shared" ref="K12" si="19">E12+E13</f>
        <v>21.44387</v>
      </c>
      <c r="L12" s="244">
        <f t="shared" ref="L12" si="20">F12+F13</f>
        <v>-6.9880000000000004</v>
      </c>
      <c r="M12" s="244">
        <f t="shared" ref="M12" si="21">K12+L12</f>
        <v>14.455870000000001</v>
      </c>
      <c r="N12" s="244">
        <f t="shared" ref="N12" si="22">H12+H13</f>
        <v>0</v>
      </c>
      <c r="O12" s="244">
        <f t="shared" ref="O12" si="23">M12-N12</f>
        <v>14.455870000000001</v>
      </c>
      <c r="P12" s="245">
        <f t="shared" ref="P12" si="24">N12/M12</f>
        <v>0</v>
      </c>
    </row>
    <row r="13" spans="2:16" x14ac:dyDescent="0.25">
      <c r="B13" s="267"/>
      <c r="C13" s="243"/>
      <c r="D13" s="83" t="s">
        <v>53</v>
      </c>
      <c r="E13" s="50">
        <f>2.07736+0.0465+0.00156+0.01914+0.0675+0.0855</f>
        <v>2.2975600000000003</v>
      </c>
      <c r="F13" s="44"/>
      <c r="G13" s="42">
        <f t="shared" ref="G13" si="25">E13+F13+I12</f>
        <v>14.455870000000001</v>
      </c>
      <c r="H13" s="44"/>
      <c r="I13" s="42">
        <f t="shared" si="1"/>
        <v>14.455870000000001</v>
      </c>
      <c r="J13" s="43">
        <f t="shared" si="2"/>
        <v>0</v>
      </c>
      <c r="K13" s="244"/>
      <c r="L13" s="244"/>
      <c r="M13" s="244"/>
      <c r="N13" s="244"/>
      <c r="O13" s="244"/>
      <c r="P13" s="245"/>
    </row>
    <row r="14" spans="2:16" x14ac:dyDescent="0.25">
      <c r="B14" s="267"/>
      <c r="C14" s="243" t="s">
        <v>30</v>
      </c>
      <c r="D14" s="83" t="s">
        <v>52</v>
      </c>
      <c r="E14" s="50">
        <f>0.00866</f>
        <v>8.6599999999999993E-3</v>
      </c>
      <c r="F14" s="44"/>
      <c r="G14" s="42">
        <f t="shared" ref="G14" si="26">E14+F14</f>
        <v>8.6599999999999993E-3</v>
      </c>
      <c r="H14" s="44"/>
      <c r="I14" s="42">
        <f t="shared" si="1"/>
        <v>8.6599999999999993E-3</v>
      </c>
      <c r="J14" s="43">
        <f t="shared" si="2"/>
        <v>0</v>
      </c>
      <c r="K14" s="244">
        <f t="shared" ref="K14" si="27">E14+E15</f>
        <v>9.6999999999999986E-3</v>
      </c>
      <c r="L14" s="244">
        <f t="shared" ref="L14" si="28">F14+F15</f>
        <v>0</v>
      </c>
      <c r="M14" s="244">
        <f t="shared" ref="M14" si="29">K14+L14</f>
        <v>9.6999999999999986E-3</v>
      </c>
      <c r="N14" s="244">
        <f t="shared" ref="N14" si="30">H14+H15</f>
        <v>0</v>
      </c>
      <c r="O14" s="244">
        <f t="shared" ref="O14" si="31">M14-N14</f>
        <v>9.6999999999999986E-3</v>
      </c>
      <c r="P14" s="245">
        <f t="shared" ref="P14" si="32">N14/M14</f>
        <v>0</v>
      </c>
    </row>
    <row r="15" spans="2:16" x14ac:dyDescent="0.25">
      <c r="B15" s="267"/>
      <c r="C15" s="243"/>
      <c r="D15" s="83" t="s">
        <v>53</v>
      </c>
      <c r="E15" s="50">
        <f>0.00104</f>
        <v>1.0399999999999999E-3</v>
      </c>
      <c r="F15" s="44"/>
      <c r="G15" s="42">
        <f t="shared" ref="G15" si="33">E15+F15+I14</f>
        <v>9.6999999999999986E-3</v>
      </c>
      <c r="H15" s="44"/>
      <c r="I15" s="42">
        <f t="shared" si="1"/>
        <v>9.6999999999999986E-3</v>
      </c>
      <c r="J15" s="43">
        <f t="shared" si="2"/>
        <v>0</v>
      </c>
      <c r="K15" s="244"/>
      <c r="L15" s="244"/>
      <c r="M15" s="244"/>
      <c r="N15" s="244"/>
      <c r="O15" s="244"/>
      <c r="P15" s="245"/>
    </row>
    <row r="16" spans="2:16" x14ac:dyDescent="0.25">
      <c r="B16" s="267"/>
      <c r="C16" s="243" t="s">
        <v>31</v>
      </c>
      <c r="D16" s="83" t="s">
        <v>52</v>
      </c>
      <c r="E16" s="50">
        <f>2.19353+1.1+1.08309+0.1125+0.45+0.3525</f>
        <v>5.29162</v>
      </c>
      <c r="F16" s="44">
        <v>-0.3528</v>
      </c>
      <c r="G16" s="42">
        <f t="shared" ref="G16" si="34">E16+F16</f>
        <v>4.9388199999999998</v>
      </c>
      <c r="H16" s="44"/>
      <c r="I16" s="42">
        <f t="shared" si="1"/>
        <v>4.9388199999999998</v>
      </c>
      <c r="J16" s="43">
        <f t="shared" si="2"/>
        <v>0</v>
      </c>
      <c r="K16" s="244">
        <f t="shared" ref="K16" si="35">E16+E17</f>
        <v>5.9266100000000002</v>
      </c>
      <c r="L16" s="244">
        <f t="shared" ref="L16" si="36">F16+F17</f>
        <v>-0.3528</v>
      </c>
      <c r="M16" s="244">
        <f t="shared" ref="M16" si="37">K16+L16</f>
        <v>5.5738099999999999</v>
      </c>
      <c r="N16" s="244">
        <f t="shared" ref="N16" si="38">H16+H17</f>
        <v>0</v>
      </c>
      <c r="O16" s="244">
        <f t="shared" ref="O16" si="39">M16-N16</f>
        <v>5.5738099999999999</v>
      </c>
      <c r="P16" s="245">
        <f t="shared" ref="P16" si="40">N16/M16</f>
        <v>0</v>
      </c>
    </row>
    <row r="17" spans="2:16" x14ac:dyDescent="0.25">
      <c r="B17" s="267"/>
      <c r="C17" s="243"/>
      <c r="D17" s="83" t="s">
        <v>53</v>
      </c>
      <c r="E17" s="50">
        <f>0.26322+0.132+0.12997+0.0135+0.054+0.0423</f>
        <v>0.63499000000000005</v>
      </c>
      <c r="F17" s="44"/>
      <c r="G17" s="42">
        <f t="shared" ref="G17" si="41">E17+F17+I16</f>
        <v>5.5738099999999999</v>
      </c>
      <c r="H17" s="44"/>
      <c r="I17" s="42">
        <f t="shared" si="1"/>
        <v>5.5738099999999999</v>
      </c>
      <c r="J17" s="43">
        <f t="shared" si="2"/>
        <v>0</v>
      </c>
      <c r="K17" s="244"/>
      <c r="L17" s="244"/>
      <c r="M17" s="244"/>
      <c r="N17" s="244"/>
      <c r="O17" s="244"/>
      <c r="P17" s="245"/>
    </row>
    <row r="18" spans="2:16" x14ac:dyDescent="0.25">
      <c r="B18" s="267"/>
      <c r="C18" s="243" t="s">
        <v>49</v>
      </c>
      <c r="D18" s="83" t="s">
        <v>52</v>
      </c>
      <c r="E18" s="50">
        <f>0.00501</f>
        <v>5.0099999999999997E-3</v>
      </c>
      <c r="F18" s="44"/>
      <c r="G18" s="42">
        <f t="shared" ref="G18" si="42">E18+F18</f>
        <v>5.0099999999999997E-3</v>
      </c>
      <c r="H18" s="44"/>
      <c r="I18" s="42">
        <f t="shared" si="1"/>
        <v>5.0099999999999997E-3</v>
      </c>
      <c r="J18" s="43">
        <f t="shared" si="2"/>
        <v>0</v>
      </c>
      <c r="K18" s="244">
        <f t="shared" ref="K18" si="43">E18+E19</f>
        <v>5.6099999999999995E-3</v>
      </c>
      <c r="L18" s="244">
        <f t="shared" ref="L18" si="44">F18+F19</f>
        <v>0</v>
      </c>
      <c r="M18" s="244">
        <f t="shared" ref="M18" si="45">K18+L18</f>
        <v>5.6099999999999995E-3</v>
      </c>
      <c r="N18" s="244">
        <f t="shared" ref="N18" si="46">H18+H19</f>
        <v>0</v>
      </c>
      <c r="O18" s="244">
        <f t="shared" ref="O18" si="47">M18-N18</f>
        <v>5.6099999999999995E-3</v>
      </c>
      <c r="P18" s="245">
        <f t="shared" ref="P18" si="48">N18/M18</f>
        <v>0</v>
      </c>
    </row>
    <row r="19" spans="2:16" x14ac:dyDescent="0.25">
      <c r="B19" s="267"/>
      <c r="C19" s="243"/>
      <c r="D19" s="83" t="s">
        <v>53</v>
      </c>
      <c r="E19" s="50">
        <f>0.0006</f>
        <v>5.9999999999999995E-4</v>
      </c>
      <c r="F19" s="44"/>
      <c r="G19" s="42">
        <f t="shared" ref="G19" si="49">E19+F19+I18</f>
        <v>5.6099999999999995E-3</v>
      </c>
      <c r="H19" s="44"/>
      <c r="I19" s="42">
        <f t="shared" si="1"/>
        <v>5.6099999999999995E-3</v>
      </c>
      <c r="J19" s="43">
        <f t="shared" si="2"/>
        <v>0</v>
      </c>
      <c r="K19" s="244"/>
      <c r="L19" s="244"/>
      <c r="M19" s="244"/>
      <c r="N19" s="244"/>
      <c r="O19" s="244"/>
      <c r="P19" s="245"/>
    </row>
    <row r="20" spans="2:16" x14ac:dyDescent="0.25">
      <c r="B20" s="267"/>
      <c r="C20" s="243" t="s">
        <v>34</v>
      </c>
      <c r="D20" s="83" t="s">
        <v>52</v>
      </c>
      <c r="E20" s="50">
        <f>0.00101</f>
        <v>1.01E-3</v>
      </c>
      <c r="F20" s="44"/>
      <c r="G20" s="42">
        <f t="shared" ref="G20" si="50">E20+F20</f>
        <v>1.01E-3</v>
      </c>
      <c r="H20" s="44"/>
      <c r="I20" s="42">
        <f t="shared" si="1"/>
        <v>1.01E-3</v>
      </c>
      <c r="J20" s="43">
        <f t="shared" si="2"/>
        <v>0</v>
      </c>
      <c r="K20" s="244">
        <f t="shared" ref="K20" si="51">E20+E21</f>
        <v>1.1300000000000001E-3</v>
      </c>
      <c r="L20" s="244">
        <f t="shared" ref="L20" si="52">F20+F21</f>
        <v>0</v>
      </c>
      <c r="M20" s="244">
        <f t="shared" ref="M20" si="53">K20+L20</f>
        <v>1.1300000000000001E-3</v>
      </c>
      <c r="N20" s="244">
        <f t="shared" ref="N20" si="54">H20+H21</f>
        <v>0</v>
      </c>
      <c r="O20" s="244">
        <f t="shared" ref="O20" si="55">M20-N20</f>
        <v>1.1300000000000001E-3</v>
      </c>
      <c r="P20" s="245">
        <f t="shared" ref="P20" si="56">N20/M20</f>
        <v>0</v>
      </c>
    </row>
    <row r="21" spans="2:16" x14ac:dyDescent="0.25">
      <c r="B21" s="267"/>
      <c r="C21" s="243"/>
      <c r="D21" s="83" t="s">
        <v>53</v>
      </c>
      <c r="E21" s="50">
        <f>0.00012</f>
        <v>1.2E-4</v>
      </c>
      <c r="F21" s="44"/>
      <c r="G21" s="42">
        <f t="shared" ref="G21" si="57">E21+F21+I20</f>
        <v>1.1300000000000001E-3</v>
      </c>
      <c r="H21" s="44"/>
      <c r="I21" s="42">
        <f t="shared" si="1"/>
        <v>1.1300000000000001E-3</v>
      </c>
      <c r="J21" s="43">
        <f t="shared" si="2"/>
        <v>0</v>
      </c>
      <c r="K21" s="244"/>
      <c r="L21" s="244"/>
      <c r="M21" s="244"/>
      <c r="N21" s="244"/>
      <c r="O21" s="244"/>
      <c r="P21" s="245"/>
    </row>
    <row r="22" spans="2:16" x14ac:dyDescent="0.25">
      <c r="B22" s="267"/>
      <c r="C22" s="243" t="s">
        <v>33</v>
      </c>
      <c r="D22" s="83" t="s">
        <v>52</v>
      </c>
      <c r="E22" s="50">
        <f>0.003</f>
        <v>3.0000000000000001E-3</v>
      </c>
      <c r="F22" s="44"/>
      <c r="G22" s="42">
        <f t="shared" ref="G22" si="58">E22+F22</f>
        <v>3.0000000000000001E-3</v>
      </c>
      <c r="H22" s="44"/>
      <c r="I22" s="42">
        <f t="shared" si="1"/>
        <v>3.0000000000000001E-3</v>
      </c>
      <c r="J22" s="43">
        <f t="shared" si="2"/>
        <v>0</v>
      </c>
      <c r="K22" s="244">
        <f t="shared" ref="K22" si="59">E22+E23</f>
        <v>3.3600000000000001E-3</v>
      </c>
      <c r="L22" s="244">
        <f t="shared" ref="L22" si="60">F22+F23</f>
        <v>0</v>
      </c>
      <c r="M22" s="244">
        <f t="shared" ref="M22" si="61">K22+L22</f>
        <v>3.3600000000000001E-3</v>
      </c>
      <c r="N22" s="244">
        <f t="shared" ref="N22" si="62">H22+H23</f>
        <v>0</v>
      </c>
      <c r="O22" s="244">
        <f t="shared" ref="O22" si="63">M22-N22</f>
        <v>3.3600000000000001E-3</v>
      </c>
      <c r="P22" s="245">
        <f t="shared" ref="P22" si="64">N22/M22</f>
        <v>0</v>
      </c>
    </row>
    <row r="23" spans="2:16" x14ac:dyDescent="0.25">
      <c r="B23" s="267"/>
      <c r="C23" s="243"/>
      <c r="D23" s="83" t="s">
        <v>53</v>
      </c>
      <c r="E23" s="50">
        <f>0.00036</f>
        <v>3.6000000000000002E-4</v>
      </c>
      <c r="F23" s="44"/>
      <c r="G23" s="42">
        <f t="shared" ref="G23" si="65">E23+F23+I22</f>
        <v>3.3600000000000001E-3</v>
      </c>
      <c r="H23" s="44"/>
      <c r="I23" s="42">
        <f t="shared" si="1"/>
        <v>3.3600000000000001E-3</v>
      </c>
      <c r="J23" s="43">
        <f t="shared" si="2"/>
        <v>0</v>
      </c>
      <c r="K23" s="244"/>
      <c r="L23" s="244"/>
      <c r="M23" s="244"/>
      <c r="N23" s="244"/>
      <c r="O23" s="244"/>
      <c r="P23" s="245"/>
    </row>
    <row r="24" spans="2:16" x14ac:dyDescent="0.25">
      <c r="B24" s="267"/>
      <c r="C24" s="243" t="s">
        <v>38</v>
      </c>
      <c r="D24" s="83" t="s">
        <v>52</v>
      </c>
      <c r="E24" s="50">
        <f>1.12203+0.0375+0.1875+0.1875+0.2625+0.2625+0.3375+0.4125+0.2025+0.003+0.0345+0.7125</f>
        <v>3.7620300000000002</v>
      </c>
      <c r="F24" s="44">
        <f>-0.294-1.257-0.227-0.003-0.03864-0.042-0.798-0.462-0.21-0.21-0.378-0.294+0.3528</f>
        <v>-3.8608399999999996</v>
      </c>
      <c r="G24" s="42">
        <f t="shared" ref="G24" si="66">E24+F24</f>
        <v>-9.8809999999999398E-2</v>
      </c>
      <c r="H24" s="44"/>
      <c r="I24" s="42">
        <f t="shared" si="1"/>
        <v>-9.8809999999999398E-2</v>
      </c>
      <c r="J24" s="43">
        <f t="shared" si="2"/>
        <v>0</v>
      </c>
      <c r="K24" s="244">
        <f t="shared" ref="K24" si="67">E24+E25</f>
        <v>4.21347</v>
      </c>
      <c r="L24" s="244">
        <f t="shared" ref="L24" si="68">F24+F25</f>
        <v>-3.8608399999999996</v>
      </c>
      <c r="M24" s="244">
        <f t="shared" ref="M24" si="69">K24+L24</f>
        <v>0.35263000000000044</v>
      </c>
      <c r="N24" s="244">
        <f t="shared" ref="N24" si="70">H24+H25</f>
        <v>0</v>
      </c>
      <c r="O24" s="271">
        <f t="shared" ref="O24" si="71">M24-N24</f>
        <v>0.35263000000000044</v>
      </c>
      <c r="P24" s="245">
        <f t="shared" ref="P24" si="72">N24/M24</f>
        <v>0</v>
      </c>
    </row>
    <row r="25" spans="2:16" x14ac:dyDescent="0.25">
      <c r="B25" s="267"/>
      <c r="C25" s="243"/>
      <c r="D25" s="83" t="s">
        <v>53</v>
      </c>
      <c r="E25" s="50">
        <f>0.13464+0.0045+0.0225+0.0225+0.0315+0.0315+0.0405+0.0495+0.0243+0.00036+0.00414+0.0855</f>
        <v>0.45144000000000001</v>
      </c>
      <c r="F25" s="44"/>
      <c r="G25" s="42">
        <f t="shared" ref="G25" si="73">E25+F25+I24</f>
        <v>0.35263000000000061</v>
      </c>
      <c r="H25" s="44"/>
      <c r="I25" s="42">
        <f t="shared" si="1"/>
        <v>0.35263000000000061</v>
      </c>
      <c r="J25" s="43">
        <f t="shared" si="2"/>
        <v>0</v>
      </c>
      <c r="K25" s="244"/>
      <c r="L25" s="244"/>
      <c r="M25" s="244"/>
      <c r="N25" s="244"/>
      <c r="O25" s="271"/>
      <c r="P25" s="245"/>
    </row>
    <row r="26" spans="2:16" x14ac:dyDescent="0.25">
      <c r="B26" s="267"/>
      <c r="C26" s="243" t="s">
        <v>154</v>
      </c>
      <c r="D26" s="131" t="s">
        <v>52</v>
      </c>
      <c r="E26" s="50">
        <f>0.02</f>
        <v>0.02</v>
      </c>
      <c r="F26" s="44"/>
      <c r="G26" s="130">
        <f t="shared" ref="G26" si="74">E26+F26</f>
        <v>0.02</v>
      </c>
      <c r="H26" s="44"/>
      <c r="I26" s="130">
        <f t="shared" ref="I26:I27" si="75">G26-H26</f>
        <v>0.02</v>
      </c>
      <c r="J26" s="43">
        <f t="shared" ref="J26:J27" si="76">H26/G26</f>
        <v>0</v>
      </c>
      <c r="K26" s="244">
        <f t="shared" ref="K26" si="77">E26+E27</f>
        <v>2.24E-2</v>
      </c>
      <c r="L26" s="244">
        <f t="shared" ref="L26" si="78">F26+F27</f>
        <v>0</v>
      </c>
      <c r="M26" s="244">
        <f t="shared" ref="M26" si="79">K26+L26</f>
        <v>2.24E-2</v>
      </c>
      <c r="N26" s="244">
        <f t="shared" ref="N26" si="80">H26+H27</f>
        <v>0</v>
      </c>
      <c r="O26" s="244">
        <f t="shared" ref="O26" si="81">M26-N26</f>
        <v>2.24E-2</v>
      </c>
      <c r="P26" s="245">
        <f>N26/M26</f>
        <v>0</v>
      </c>
    </row>
    <row r="27" spans="2:16" x14ac:dyDescent="0.25">
      <c r="B27" s="267"/>
      <c r="C27" s="243"/>
      <c r="D27" s="131" t="s">
        <v>53</v>
      </c>
      <c r="E27" s="50">
        <f>0.0024</f>
        <v>2.3999999999999998E-3</v>
      </c>
      <c r="F27" s="44"/>
      <c r="G27" s="130">
        <f t="shared" ref="G27" si="82">E27+F27+I26</f>
        <v>2.24E-2</v>
      </c>
      <c r="H27" s="44"/>
      <c r="I27" s="130">
        <f t="shared" si="75"/>
        <v>2.24E-2</v>
      </c>
      <c r="J27" s="43">
        <f t="shared" si="76"/>
        <v>0</v>
      </c>
      <c r="K27" s="244"/>
      <c r="L27" s="244"/>
      <c r="M27" s="244"/>
      <c r="N27" s="244"/>
      <c r="O27" s="244"/>
      <c r="P27" s="245"/>
    </row>
    <row r="28" spans="2:16" x14ac:dyDescent="0.25">
      <c r="B28" s="267"/>
      <c r="C28" s="243" t="s">
        <v>177</v>
      </c>
      <c r="D28" s="192" t="s">
        <v>52</v>
      </c>
      <c r="E28" s="50">
        <v>0</v>
      </c>
      <c r="F28" s="44">
        <f>0.294+1.257+0.227+0.003+0.03864+0.042+0.798+0.462+0.21+0.21+0.378+0.294</f>
        <v>4.2136399999999998</v>
      </c>
      <c r="G28" s="193">
        <f t="shared" ref="G28" si="83">E28+F28</f>
        <v>4.2136399999999998</v>
      </c>
      <c r="H28" s="44"/>
      <c r="I28" s="193">
        <f t="shared" ref="I28:I29" si="84">G28-H28</f>
        <v>4.2136399999999998</v>
      </c>
      <c r="J28" s="43">
        <f t="shared" ref="J28:J29" si="85">H28/G28</f>
        <v>0</v>
      </c>
      <c r="K28" s="244">
        <f t="shared" ref="K28" si="86">E28+E29</f>
        <v>0</v>
      </c>
      <c r="L28" s="244">
        <f t="shared" ref="L28" si="87">F28+F29</f>
        <v>4.2136399999999998</v>
      </c>
      <c r="M28" s="244">
        <f t="shared" ref="M28" si="88">K28+L28</f>
        <v>4.2136399999999998</v>
      </c>
      <c r="N28" s="244">
        <f t="shared" ref="N28" si="89">H28+H29</f>
        <v>0</v>
      </c>
      <c r="O28" s="244">
        <f t="shared" ref="O28" si="90">M28-N28</f>
        <v>4.2136399999999998</v>
      </c>
      <c r="P28" s="245">
        <f>N28/M28</f>
        <v>0</v>
      </c>
    </row>
    <row r="29" spans="2:16" x14ac:dyDescent="0.25">
      <c r="B29" s="267"/>
      <c r="C29" s="243"/>
      <c r="D29" s="192" t="s">
        <v>53</v>
      </c>
      <c r="E29" s="50">
        <v>0</v>
      </c>
      <c r="F29" s="44"/>
      <c r="G29" s="193">
        <f t="shared" ref="G29" si="91">E29+F29+I28</f>
        <v>4.2136399999999998</v>
      </c>
      <c r="H29" s="44"/>
      <c r="I29" s="193">
        <f t="shared" si="84"/>
        <v>4.2136399999999998</v>
      </c>
      <c r="J29" s="43">
        <f t="shared" si="85"/>
        <v>0</v>
      </c>
      <c r="K29" s="244"/>
      <c r="L29" s="244"/>
      <c r="M29" s="244"/>
      <c r="N29" s="244"/>
      <c r="O29" s="244"/>
      <c r="P29" s="245"/>
    </row>
    <row r="30" spans="2:16" x14ac:dyDescent="0.25">
      <c r="B30" s="267"/>
      <c r="C30" s="243" t="s">
        <v>37</v>
      </c>
      <c r="D30" s="83" t="s">
        <v>52</v>
      </c>
      <c r="E30" s="50">
        <f>0.02051</f>
        <v>2.051E-2</v>
      </c>
      <c r="F30" s="44"/>
      <c r="G30" s="42">
        <f t="shared" ref="G30" si="92">E30+F30</f>
        <v>2.051E-2</v>
      </c>
      <c r="H30" s="44"/>
      <c r="I30" s="42">
        <f t="shared" si="1"/>
        <v>2.051E-2</v>
      </c>
      <c r="J30" s="43">
        <f t="shared" si="2"/>
        <v>0</v>
      </c>
      <c r="K30" s="244">
        <f t="shared" ref="K30" si="93">E30+E31</f>
        <v>2.2970000000000001E-2</v>
      </c>
      <c r="L30" s="244">
        <f t="shared" ref="L30" si="94">F30+F31</f>
        <v>0</v>
      </c>
      <c r="M30" s="244">
        <f t="shared" ref="M30" si="95">K30+L30</f>
        <v>2.2970000000000001E-2</v>
      </c>
      <c r="N30" s="244">
        <f t="shared" ref="N30" si="96">H30+H31</f>
        <v>0</v>
      </c>
      <c r="O30" s="244">
        <f t="shared" ref="O30" si="97">M30-N30</f>
        <v>2.2970000000000001E-2</v>
      </c>
      <c r="P30" s="245">
        <f t="shared" ref="P30" si="98">N30/M30</f>
        <v>0</v>
      </c>
    </row>
    <row r="31" spans="2:16" ht="12.75" thickBot="1" x14ac:dyDescent="0.3">
      <c r="B31" s="268"/>
      <c r="C31" s="261"/>
      <c r="D31" s="84" t="s">
        <v>53</v>
      </c>
      <c r="E31" s="87">
        <f>0.00246</f>
        <v>2.4599999999999999E-3</v>
      </c>
      <c r="F31" s="88"/>
      <c r="G31" s="89">
        <f t="shared" ref="G31" si="99">E31+F31+I30</f>
        <v>2.2970000000000001E-2</v>
      </c>
      <c r="H31" s="88"/>
      <c r="I31" s="89">
        <f t="shared" si="1"/>
        <v>2.2970000000000001E-2</v>
      </c>
      <c r="J31" s="90">
        <f t="shared" si="2"/>
        <v>0</v>
      </c>
      <c r="K31" s="250"/>
      <c r="L31" s="250"/>
      <c r="M31" s="250"/>
      <c r="N31" s="250"/>
      <c r="O31" s="250"/>
      <c r="P31" s="251"/>
    </row>
    <row r="32" spans="2:16" x14ac:dyDescent="0.25">
      <c r="B32" s="263" t="s">
        <v>51</v>
      </c>
      <c r="C32" s="262" t="s">
        <v>24</v>
      </c>
      <c r="D32" s="91" t="s">
        <v>52</v>
      </c>
      <c r="E32" s="94">
        <f>320.17853+9.38925+9.38925+1.926+13.72275</f>
        <v>354.60578000000004</v>
      </c>
      <c r="F32" s="101">
        <f>60-107.38-47.513-66.519</f>
        <v>-161.41200000000001</v>
      </c>
      <c r="G32" s="58">
        <f t="shared" ref="G32" si="100">E32+F32</f>
        <v>193.19378000000003</v>
      </c>
      <c r="H32" s="182">
        <v>231.90700000000001</v>
      </c>
      <c r="I32" s="58">
        <f t="shared" si="1"/>
        <v>-38.713219999999978</v>
      </c>
      <c r="J32" s="86">
        <f t="shared" si="2"/>
        <v>1.2003854368396332</v>
      </c>
      <c r="K32" s="248">
        <f t="shared" ref="K32" si="101">E32+E33</f>
        <v>394.00642000000005</v>
      </c>
      <c r="L32" s="248">
        <f t="shared" ref="L32" si="102">F32+F33</f>
        <v>-161.41200000000001</v>
      </c>
      <c r="M32" s="248">
        <f t="shared" ref="M32" si="103">K32+L32</f>
        <v>232.59442000000004</v>
      </c>
      <c r="N32" s="248">
        <f t="shared" ref="N32" si="104">H32+H33</f>
        <v>231.90700000000001</v>
      </c>
      <c r="O32" s="248">
        <f t="shared" ref="O32" si="105">M32-N32</f>
        <v>0.68742000000003145</v>
      </c>
      <c r="P32" s="249">
        <f t="shared" ref="P32" si="106">N32/M32</f>
        <v>0.99704455506714207</v>
      </c>
    </row>
    <row r="33" spans="2:16" ht="12.75" thickBot="1" x14ac:dyDescent="0.3">
      <c r="B33" s="264"/>
      <c r="C33" s="258"/>
      <c r="D33" s="92" t="s">
        <v>53</v>
      </c>
      <c r="E33" s="95">
        <f>35.57539+1.04325+1.04325+0.214+1.52475</f>
        <v>39.400639999999996</v>
      </c>
      <c r="F33" s="77"/>
      <c r="G33" s="42">
        <f t="shared" ref="G33" si="107">E33+F33+I32</f>
        <v>0.68742000000001724</v>
      </c>
      <c r="H33" s="77"/>
      <c r="I33" s="42">
        <f t="shared" si="1"/>
        <v>0.68742000000001724</v>
      </c>
      <c r="J33" s="43">
        <f t="shared" si="2"/>
        <v>0</v>
      </c>
      <c r="K33" s="244"/>
      <c r="L33" s="244"/>
      <c r="M33" s="244"/>
      <c r="N33" s="244"/>
      <c r="O33" s="244"/>
      <c r="P33" s="245"/>
    </row>
    <row r="34" spans="2:16" x14ac:dyDescent="0.25">
      <c r="B34" s="264"/>
      <c r="C34" s="258" t="s">
        <v>25</v>
      </c>
      <c r="D34" s="92" t="s">
        <v>52</v>
      </c>
      <c r="E34" s="95">
        <f>5.64626+52.25614+6.21135</f>
        <v>64.113749999999996</v>
      </c>
      <c r="F34" s="77"/>
      <c r="G34" s="42">
        <f t="shared" ref="G34" si="108">E34+F34</f>
        <v>64.113749999999996</v>
      </c>
      <c r="H34" s="182">
        <v>35.15</v>
      </c>
      <c r="I34" s="42">
        <f t="shared" si="1"/>
        <v>28.963749999999997</v>
      </c>
      <c r="J34" s="43">
        <f t="shared" si="2"/>
        <v>0.54824433136417694</v>
      </c>
      <c r="K34" s="244">
        <f t="shared" ref="K34" si="109">E34+E35</f>
        <v>71.237499999999997</v>
      </c>
      <c r="L34" s="244">
        <f t="shared" ref="L34" si="110">F34+F35</f>
        <v>0</v>
      </c>
      <c r="M34" s="244">
        <f t="shared" ref="M34" si="111">K34+L34</f>
        <v>71.237499999999997</v>
      </c>
      <c r="N34" s="244">
        <f t="shared" ref="N34" si="112">H34+H35</f>
        <v>35.15</v>
      </c>
      <c r="O34" s="244">
        <f t="shared" ref="O34" si="113">M34-N34</f>
        <v>36.087499999999999</v>
      </c>
      <c r="P34" s="245">
        <f t="shared" ref="P34" si="114">N34/M34</f>
        <v>0.49341989822775928</v>
      </c>
    </row>
    <row r="35" spans="2:16" x14ac:dyDescent="0.25">
      <c r="B35" s="264"/>
      <c r="C35" s="258"/>
      <c r="D35" s="92" t="s">
        <v>53</v>
      </c>
      <c r="E35" s="95">
        <f>0.62736+5.80624+0.69015</f>
        <v>7.1237500000000002</v>
      </c>
      <c r="F35" s="77"/>
      <c r="G35" s="42">
        <f t="shared" ref="G35" si="115">E35+F35+I34</f>
        <v>36.087499999999999</v>
      </c>
      <c r="H35" s="77"/>
      <c r="I35" s="42">
        <f t="shared" si="1"/>
        <v>36.087499999999999</v>
      </c>
      <c r="J35" s="43">
        <f t="shared" si="2"/>
        <v>0</v>
      </c>
      <c r="K35" s="244"/>
      <c r="L35" s="244"/>
      <c r="M35" s="244"/>
      <c r="N35" s="244"/>
      <c r="O35" s="244"/>
      <c r="P35" s="245"/>
    </row>
    <row r="36" spans="2:16" x14ac:dyDescent="0.25">
      <c r="B36" s="264"/>
      <c r="C36" s="258" t="s">
        <v>26</v>
      </c>
      <c r="D36" s="92" t="s">
        <v>52</v>
      </c>
      <c r="E36" s="95">
        <v>2.8889999999999999E-2</v>
      </c>
      <c r="F36" s="77"/>
      <c r="G36" s="42">
        <f t="shared" ref="G36" si="116">E36+F36</f>
        <v>2.8889999999999999E-2</v>
      </c>
      <c r="H36" s="77"/>
      <c r="I36" s="42">
        <f t="shared" si="1"/>
        <v>2.8889999999999999E-2</v>
      </c>
      <c r="J36" s="43">
        <f t="shared" si="2"/>
        <v>0</v>
      </c>
      <c r="K36" s="244">
        <f t="shared" ref="K36" si="117">E36+E37</f>
        <v>3.2099999999999997E-2</v>
      </c>
      <c r="L36" s="244">
        <f t="shared" ref="L36" si="118">F36+F37</f>
        <v>0</v>
      </c>
      <c r="M36" s="244">
        <f t="shared" ref="M36" si="119">K36+L36</f>
        <v>3.2099999999999997E-2</v>
      </c>
      <c r="N36" s="244">
        <f t="shared" ref="N36" si="120">H36+H37</f>
        <v>0</v>
      </c>
      <c r="O36" s="244">
        <f t="shared" ref="O36" si="121">M36-N36</f>
        <v>3.2099999999999997E-2</v>
      </c>
      <c r="P36" s="245">
        <f t="shared" ref="P36" si="122">N36/M36</f>
        <v>0</v>
      </c>
    </row>
    <row r="37" spans="2:16" x14ac:dyDescent="0.25">
      <c r="B37" s="264"/>
      <c r="C37" s="258"/>
      <c r="D37" s="92" t="s">
        <v>53</v>
      </c>
      <c r="E37" s="95">
        <v>3.2100000000000002E-3</v>
      </c>
      <c r="F37" s="77"/>
      <c r="G37" s="42">
        <f t="shared" ref="G37" si="123">E37+F37+I36</f>
        <v>3.2099999999999997E-2</v>
      </c>
      <c r="H37" s="77"/>
      <c r="I37" s="42">
        <f t="shared" si="1"/>
        <v>3.2099999999999997E-2</v>
      </c>
      <c r="J37" s="43">
        <f t="shared" si="2"/>
        <v>0</v>
      </c>
      <c r="K37" s="244"/>
      <c r="L37" s="244"/>
      <c r="M37" s="244"/>
      <c r="N37" s="244"/>
      <c r="O37" s="244"/>
      <c r="P37" s="245"/>
    </row>
    <row r="38" spans="2:16" x14ac:dyDescent="0.25">
      <c r="B38" s="264"/>
      <c r="C38" s="258" t="s">
        <v>27</v>
      </c>
      <c r="D38" s="92" t="s">
        <v>52</v>
      </c>
      <c r="E38" s="95">
        <f>333.41583+7.46325+0.25038+3.07197+10.83375+13.72275</f>
        <v>368.7579300000001</v>
      </c>
      <c r="F38" s="75">
        <f>74.59-133.512</f>
        <v>-58.921999999999997</v>
      </c>
      <c r="G38" s="42">
        <f t="shared" ref="G38" si="124">E38+F38</f>
        <v>309.83593000000008</v>
      </c>
      <c r="H38" s="181">
        <v>263.54399999999998</v>
      </c>
      <c r="I38" s="42">
        <f t="shared" si="1"/>
        <v>46.291930000000093</v>
      </c>
      <c r="J38" s="43">
        <f t="shared" si="2"/>
        <v>0.85059211822205361</v>
      </c>
      <c r="K38" s="244">
        <f t="shared" ref="K38" si="125">E38+E39</f>
        <v>409.73103000000009</v>
      </c>
      <c r="L38" s="244">
        <f t="shared" ref="L38" si="126">F38+F39</f>
        <v>-58.921999999999997</v>
      </c>
      <c r="M38" s="244">
        <f t="shared" ref="M38" si="127">K38+L38</f>
        <v>350.80903000000012</v>
      </c>
      <c r="N38" s="244">
        <f t="shared" ref="N38" si="128">H38+H39</f>
        <v>263.54399999999998</v>
      </c>
      <c r="O38" s="244">
        <f t="shared" ref="O38" si="129">M38-N38</f>
        <v>87.265030000000138</v>
      </c>
      <c r="P38" s="245">
        <f t="shared" ref="P38" si="130">N38/M38</f>
        <v>0.75124634049471273</v>
      </c>
    </row>
    <row r="39" spans="2:16" x14ac:dyDescent="0.25">
      <c r="B39" s="264"/>
      <c r="C39" s="258"/>
      <c r="D39" s="92" t="s">
        <v>53</v>
      </c>
      <c r="E39" s="95">
        <f>37.0462+0.82925+0.02782+0.34133+1.20375+1.52475</f>
        <v>40.973099999999995</v>
      </c>
      <c r="F39" s="77"/>
      <c r="G39" s="42">
        <f t="shared" ref="G39" si="131">E39+F39+I38</f>
        <v>87.265030000000081</v>
      </c>
      <c r="H39" s="77"/>
      <c r="I39" s="42">
        <f t="shared" si="1"/>
        <v>87.265030000000081</v>
      </c>
      <c r="J39" s="43">
        <f t="shared" si="2"/>
        <v>0</v>
      </c>
      <c r="K39" s="244"/>
      <c r="L39" s="244"/>
      <c r="M39" s="244"/>
      <c r="N39" s="244"/>
      <c r="O39" s="244"/>
      <c r="P39" s="245"/>
    </row>
    <row r="40" spans="2:16" x14ac:dyDescent="0.25">
      <c r="B40" s="264"/>
      <c r="C40" s="258" t="s">
        <v>30</v>
      </c>
      <c r="D40" s="92" t="s">
        <v>52</v>
      </c>
      <c r="E40" s="95">
        <v>0.16669999999999999</v>
      </c>
      <c r="F40" s="77"/>
      <c r="G40" s="42">
        <f t="shared" ref="G40" si="132">E40+F40</f>
        <v>0.16669999999999999</v>
      </c>
      <c r="H40" s="77"/>
      <c r="I40" s="42">
        <f t="shared" si="1"/>
        <v>0.16669999999999999</v>
      </c>
      <c r="J40" s="43">
        <f t="shared" si="2"/>
        <v>0</v>
      </c>
      <c r="K40" s="244">
        <f t="shared" ref="K40" si="133">E40+E41</f>
        <v>0.18522</v>
      </c>
      <c r="L40" s="244">
        <f t="shared" ref="L40" si="134">F40+F41</f>
        <v>0</v>
      </c>
      <c r="M40" s="244">
        <f t="shared" ref="M40" si="135">K40+L40</f>
        <v>0.18522</v>
      </c>
      <c r="N40" s="244">
        <f t="shared" ref="N40" si="136">H40+H41</f>
        <v>0</v>
      </c>
      <c r="O40" s="244">
        <f t="shared" ref="O40" si="137">M40-N40</f>
        <v>0.18522</v>
      </c>
      <c r="P40" s="245">
        <f t="shared" ref="P40" si="138">N40/M40</f>
        <v>0</v>
      </c>
    </row>
    <row r="41" spans="2:16" x14ac:dyDescent="0.25">
      <c r="B41" s="264"/>
      <c r="C41" s="258"/>
      <c r="D41" s="92" t="s">
        <v>53</v>
      </c>
      <c r="E41" s="95">
        <v>1.8519999999999998E-2</v>
      </c>
      <c r="F41" s="77"/>
      <c r="G41" s="42">
        <f t="shared" ref="G41" si="139">E41+F41+I40</f>
        <v>0.18522</v>
      </c>
      <c r="H41" s="77"/>
      <c r="I41" s="42">
        <f t="shared" si="1"/>
        <v>0.18522</v>
      </c>
      <c r="J41" s="43">
        <f t="shared" si="2"/>
        <v>0</v>
      </c>
      <c r="K41" s="244"/>
      <c r="L41" s="244"/>
      <c r="M41" s="244"/>
      <c r="N41" s="244"/>
      <c r="O41" s="244"/>
      <c r="P41" s="245"/>
    </row>
    <row r="42" spans="2:16" x14ac:dyDescent="0.25">
      <c r="B42" s="264"/>
      <c r="C42" s="258" t="s">
        <v>31</v>
      </c>
      <c r="D42" s="92" t="s">
        <v>52</v>
      </c>
      <c r="E42" s="95">
        <f>42.24739+21.186+20.86022+2.16675+8.667+6.78915</f>
        <v>101.91651</v>
      </c>
      <c r="F42" s="77">
        <v>-6.7409999999999997</v>
      </c>
      <c r="G42" s="42">
        <f t="shared" ref="G42" si="140">E42+F42</f>
        <v>95.175510000000003</v>
      </c>
      <c r="H42" s="181">
        <f>30.745+72.463</f>
        <v>103.208</v>
      </c>
      <c r="I42" s="42">
        <f t="shared" si="1"/>
        <v>-8.0324899999999957</v>
      </c>
      <c r="J42" s="43">
        <f t="shared" si="2"/>
        <v>1.0843966058075234</v>
      </c>
      <c r="K42" s="244">
        <f t="shared" ref="K42" si="141">E42+E43</f>
        <v>113.24056</v>
      </c>
      <c r="L42" s="244">
        <f t="shared" ref="L42" si="142">F42+F43</f>
        <v>-6.7409999999999997</v>
      </c>
      <c r="M42" s="244">
        <f t="shared" ref="M42" si="143">K42+L42</f>
        <v>106.49956</v>
      </c>
      <c r="N42" s="244">
        <f t="shared" ref="N42" si="144">H42+H43</f>
        <v>103.208</v>
      </c>
      <c r="O42" s="244">
        <f t="shared" ref="O42" si="145">M42-N42</f>
        <v>3.291560000000004</v>
      </c>
      <c r="P42" s="245">
        <f t="shared" ref="P42" si="146">N42/M42</f>
        <v>0.96909320564329093</v>
      </c>
    </row>
    <row r="43" spans="2:16" x14ac:dyDescent="0.25">
      <c r="B43" s="264"/>
      <c r="C43" s="258"/>
      <c r="D43" s="92" t="s">
        <v>53</v>
      </c>
      <c r="E43" s="95">
        <f>4.69415+2.354+2.3178+0.24075+0.963+0.75435</f>
        <v>11.32405</v>
      </c>
      <c r="F43" s="77"/>
      <c r="G43" s="42">
        <f t="shared" ref="G43" si="147">E43+F43+I42</f>
        <v>3.291560000000004</v>
      </c>
      <c r="H43" s="77"/>
      <c r="I43" s="42">
        <f t="shared" si="1"/>
        <v>3.291560000000004</v>
      </c>
      <c r="J43" s="43">
        <f t="shared" si="2"/>
        <v>0</v>
      </c>
      <c r="K43" s="244"/>
      <c r="L43" s="244"/>
      <c r="M43" s="244"/>
      <c r="N43" s="244"/>
      <c r="O43" s="244"/>
      <c r="P43" s="245"/>
    </row>
    <row r="44" spans="2:16" x14ac:dyDescent="0.25">
      <c r="B44" s="264"/>
      <c r="C44" s="258" t="s">
        <v>49</v>
      </c>
      <c r="D44" s="92" t="s">
        <v>52</v>
      </c>
      <c r="E44" s="95">
        <v>9.64E-2</v>
      </c>
      <c r="F44" s="77"/>
      <c r="G44" s="42">
        <f t="shared" ref="G44" si="148">E44+F44</f>
        <v>9.64E-2</v>
      </c>
      <c r="H44" s="77"/>
      <c r="I44" s="42">
        <f t="shared" si="1"/>
        <v>9.64E-2</v>
      </c>
      <c r="J44" s="43">
        <f t="shared" si="2"/>
        <v>0</v>
      </c>
      <c r="K44" s="244">
        <f t="shared" ref="K44" si="149">E44+E45</f>
        <v>0.10711</v>
      </c>
      <c r="L44" s="244">
        <f t="shared" ref="L44" si="150">F44+F45</f>
        <v>0</v>
      </c>
      <c r="M44" s="244">
        <f t="shared" ref="M44" si="151">K44+L44</f>
        <v>0.10711</v>
      </c>
      <c r="N44" s="244">
        <f t="shared" ref="N44" si="152">H44+H45</f>
        <v>0</v>
      </c>
      <c r="O44" s="244">
        <f t="shared" ref="O44" si="153">M44-N44</f>
        <v>0.10711</v>
      </c>
      <c r="P44" s="245">
        <f t="shared" ref="P44" si="154">N44/M44</f>
        <v>0</v>
      </c>
    </row>
    <row r="45" spans="2:16" x14ac:dyDescent="0.25">
      <c r="B45" s="264"/>
      <c r="C45" s="258"/>
      <c r="D45" s="92" t="s">
        <v>53</v>
      </c>
      <c r="E45" s="95">
        <v>1.0710000000000001E-2</v>
      </c>
      <c r="F45" s="77"/>
      <c r="G45" s="42">
        <f t="shared" ref="G45" si="155">E45+F45+I44</f>
        <v>0.10711</v>
      </c>
      <c r="H45" s="77"/>
      <c r="I45" s="42">
        <f t="shared" si="1"/>
        <v>0.10711</v>
      </c>
      <c r="J45" s="43">
        <f t="shared" si="2"/>
        <v>0</v>
      </c>
      <c r="K45" s="244"/>
      <c r="L45" s="244"/>
      <c r="M45" s="244"/>
      <c r="N45" s="244"/>
      <c r="O45" s="244"/>
      <c r="P45" s="245"/>
    </row>
    <row r="46" spans="2:16" x14ac:dyDescent="0.25">
      <c r="B46" s="264"/>
      <c r="C46" s="258" t="s">
        <v>34</v>
      </c>
      <c r="D46" s="92" t="s">
        <v>52</v>
      </c>
      <c r="E46" s="95">
        <v>1.9359999999999999E-2</v>
      </c>
      <c r="F46" s="77"/>
      <c r="G46" s="42">
        <f t="shared" ref="G46" si="156">E46+F46</f>
        <v>1.9359999999999999E-2</v>
      </c>
      <c r="H46" s="77"/>
      <c r="I46" s="42">
        <f t="shared" si="1"/>
        <v>1.9359999999999999E-2</v>
      </c>
      <c r="J46" s="43">
        <f t="shared" si="2"/>
        <v>0</v>
      </c>
      <c r="K46" s="244">
        <f t="shared" ref="K46" si="157">E46+E47</f>
        <v>2.1509999999999998E-2</v>
      </c>
      <c r="L46" s="244">
        <f t="shared" ref="L46" si="158">F46+F47</f>
        <v>0</v>
      </c>
      <c r="M46" s="244">
        <f t="shared" ref="M46" si="159">K46+L46</f>
        <v>2.1509999999999998E-2</v>
      </c>
      <c r="N46" s="244">
        <f t="shared" ref="N46" si="160">H46+H47</f>
        <v>0</v>
      </c>
      <c r="O46" s="244">
        <f t="shared" ref="O46" si="161">M46-N46</f>
        <v>2.1509999999999998E-2</v>
      </c>
      <c r="P46" s="245">
        <f t="shared" ref="P46" si="162">N46/M46</f>
        <v>0</v>
      </c>
    </row>
    <row r="47" spans="2:16" x14ac:dyDescent="0.25">
      <c r="B47" s="264"/>
      <c r="C47" s="258"/>
      <c r="D47" s="92" t="s">
        <v>53</v>
      </c>
      <c r="E47" s="95">
        <v>2.15E-3</v>
      </c>
      <c r="F47" s="77"/>
      <c r="G47" s="42">
        <f t="shared" ref="G47" si="163">E47+F47+I46</f>
        <v>2.1509999999999998E-2</v>
      </c>
      <c r="H47" s="77"/>
      <c r="I47" s="42">
        <f t="shared" si="1"/>
        <v>2.1509999999999998E-2</v>
      </c>
      <c r="J47" s="43">
        <f t="shared" si="2"/>
        <v>0</v>
      </c>
      <c r="K47" s="244"/>
      <c r="L47" s="244"/>
      <c r="M47" s="244"/>
      <c r="N47" s="244"/>
      <c r="O47" s="244"/>
      <c r="P47" s="245"/>
    </row>
    <row r="48" spans="2:16" x14ac:dyDescent="0.25">
      <c r="B48" s="264"/>
      <c r="C48" s="258" t="s">
        <v>33</v>
      </c>
      <c r="D48" s="92" t="s">
        <v>52</v>
      </c>
      <c r="E48" s="95">
        <f>0.05778</f>
        <v>5.7779999999999998E-2</v>
      </c>
      <c r="F48" s="77"/>
      <c r="G48" s="42">
        <f t="shared" ref="G48" si="164">E48+F48</f>
        <v>5.7779999999999998E-2</v>
      </c>
      <c r="H48" s="77"/>
      <c r="I48" s="42">
        <f t="shared" si="1"/>
        <v>5.7779999999999998E-2</v>
      </c>
      <c r="J48" s="43">
        <f t="shared" si="2"/>
        <v>0</v>
      </c>
      <c r="K48" s="244">
        <f t="shared" ref="K48" si="165">E48+E49</f>
        <v>6.4199999999999993E-2</v>
      </c>
      <c r="L48" s="244">
        <f t="shared" ref="L48" si="166">F48+F49</f>
        <v>0</v>
      </c>
      <c r="M48" s="244">
        <f t="shared" ref="M48" si="167">K48+L48</f>
        <v>6.4199999999999993E-2</v>
      </c>
      <c r="N48" s="244">
        <f t="shared" ref="N48" si="168">H48+H49</f>
        <v>0</v>
      </c>
      <c r="O48" s="244">
        <f t="shared" ref="O48" si="169">M48-N48</f>
        <v>6.4199999999999993E-2</v>
      </c>
      <c r="P48" s="245">
        <f t="shared" ref="P48" si="170">N48/M48</f>
        <v>0</v>
      </c>
    </row>
    <row r="49" spans="2:16" ht="17.25" customHeight="1" x14ac:dyDescent="0.25">
      <c r="B49" s="264"/>
      <c r="C49" s="258"/>
      <c r="D49" s="92" t="s">
        <v>53</v>
      </c>
      <c r="E49" s="95">
        <f>0.00642</f>
        <v>6.4200000000000004E-3</v>
      </c>
      <c r="F49" s="77"/>
      <c r="G49" s="42">
        <f t="shared" ref="G49" si="171">E49+F49+I48</f>
        <v>6.4199999999999993E-2</v>
      </c>
      <c r="H49" s="77"/>
      <c r="I49" s="42">
        <f t="shared" si="1"/>
        <v>6.4199999999999993E-2</v>
      </c>
      <c r="J49" s="43">
        <f t="shared" si="2"/>
        <v>0</v>
      </c>
      <c r="K49" s="244"/>
      <c r="L49" s="244"/>
      <c r="M49" s="244"/>
      <c r="N49" s="244"/>
      <c r="O49" s="244"/>
      <c r="P49" s="245"/>
    </row>
    <row r="50" spans="2:16" x14ac:dyDescent="0.25">
      <c r="B50" s="264"/>
      <c r="C50" s="258" t="s">
        <v>38</v>
      </c>
      <c r="D50" s="92" t="s">
        <v>52</v>
      </c>
      <c r="E50" s="95">
        <f>21.6103+0.72225+3.61125+3.61125+5.05575+5.05575+6.50025+7.94475+3.90015+0.05778+0.66447+13.72275</f>
        <v>72.456700000000012</v>
      </c>
      <c r="F50" s="77">
        <f>-5.618-24.011-4.334-0.064-0.7383-0.8025-15.2475-8.8275-4.0125-4.0125-7.222-5.618+6.741</f>
        <v>-73.766799999999989</v>
      </c>
      <c r="G50" s="42">
        <f t="shared" ref="G50" si="172">E50+F50</f>
        <v>-1.3100999999999772</v>
      </c>
      <c r="H50" s="181"/>
      <c r="I50" s="42">
        <f t="shared" si="1"/>
        <v>-1.3100999999999772</v>
      </c>
      <c r="J50" s="43">
        <f t="shared" si="2"/>
        <v>0</v>
      </c>
      <c r="K50" s="244">
        <f t="shared" ref="K50" si="173">E50+E51</f>
        <v>80.507440000000017</v>
      </c>
      <c r="L50" s="244">
        <f t="shared" ref="L50" si="174">F50+F51</f>
        <v>-73.766799999999989</v>
      </c>
      <c r="M50" s="244">
        <f t="shared" ref="M50" si="175">K50+L50</f>
        <v>6.7406400000000275</v>
      </c>
      <c r="N50" s="244">
        <f t="shared" ref="N50" si="176">H50+H51</f>
        <v>0</v>
      </c>
      <c r="O50" s="271">
        <f t="shared" ref="O50" si="177">M50-N50</f>
        <v>6.7406400000000275</v>
      </c>
      <c r="P50" s="245">
        <f t="shared" ref="P50" si="178">N50/M50</f>
        <v>0</v>
      </c>
    </row>
    <row r="51" spans="2:16" x14ac:dyDescent="0.25">
      <c r="B51" s="264"/>
      <c r="C51" s="258"/>
      <c r="D51" s="92" t="s">
        <v>53</v>
      </c>
      <c r="E51" s="95">
        <f>2.40114+0.08025+0.40125+0.40125+0.56175+0.56175+0.72225+0.88275+0.43335+0.00642+0.07383+1.52475</f>
        <v>8.0507399999999993</v>
      </c>
      <c r="F51" s="77"/>
      <c r="G51" s="42">
        <f t="shared" ref="G51" si="179">E51+F51+I50</f>
        <v>6.7406400000000222</v>
      </c>
      <c r="H51" s="77"/>
      <c r="I51" s="42">
        <f t="shared" si="1"/>
        <v>6.7406400000000222</v>
      </c>
      <c r="J51" s="43">
        <f t="shared" si="2"/>
        <v>0</v>
      </c>
      <c r="K51" s="244"/>
      <c r="L51" s="244"/>
      <c r="M51" s="244"/>
      <c r="N51" s="244"/>
      <c r="O51" s="271"/>
      <c r="P51" s="245"/>
    </row>
    <row r="52" spans="2:16" x14ac:dyDescent="0.25">
      <c r="B52" s="264"/>
      <c r="C52" s="258" t="s">
        <v>154</v>
      </c>
      <c r="D52" s="132" t="s">
        <v>52</v>
      </c>
      <c r="E52" s="95">
        <f>0.3852</f>
        <v>0.38519999999999999</v>
      </c>
      <c r="F52" s="77"/>
      <c r="G52" s="130">
        <f t="shared" ref="G52" si="180">E52+F52</f>
        <v>0.38519999999999999</v>
      </c>
      <c r="H52" s="77"/>
      <c r="I52" s="130">
        <f t="shared" ref="I52:I53" si="181">G52-H52</f>
        <v>0.38519999999999999</v>
      </c>
      <c r="J52" s="43">
        <f t="shared" ref="J52:J53" si="182">H52/G52</f>
        <v>0</v>
      </c>
      <c r="K52" s="244">
        <f t="shared" ref="K52" si="183">E52+E53</f>
        <v>0.42799999999999999</v>
      </c>
      <c r="L52" s="244">
        <f t="shared" ref="L52" si="184">F52+F53</f>
        <v>0</v>
      </c>
      <c r="M52" s="244">
        <f t="shared" ref="M52" si="185">K52+L52</f>
        <v>0.42799999999999999</v>
      </c>
      <c r="N52" s="244">
        <f t="shared" ref="N52" si="186">H52+H53</f>
        <v>0</v>
      </c>
      <c r="O52" s="244">
        <f t="shared" ref="O52" si="187">M52-N52</f>
        <v>0.42799999999999999</v>
      </c>
      <c r="P52" s="245">
        <f t="shared" ref="P52" si="188">N52/M52</f>
        <v>0</v>
      </c>
    </row>
    <row r="53" spans="2:16" x14ac:dyDescent="0.25">
      <c r="B53" s="264"/>
      <c r="C53" s="258"/>
      <c r="D53" s="132" t="s">
        <v>53</v>
      </c>
      <c r="E53" s="95">
        <f>0.0428</f>
        <v>4.2799999999999998E-2</v>
      </c>
      <c r="F53" s="77"/>
      <c r="G53" s="130">
        <f t="shared" ref="G53" si="189">E53+F53+I52</f>
        <v>0.42799999999999999</v>
      </c>
      <c r="H53" s="77"/>
      <c r="I53" s="130">
        <f t="shared" si="181"/>
        <v>0.42799999999999999</v>
      </c>
      <c r="J53" s="43">
        <f t="shared" si="182"/>
        <v>0</v>
      </c>
      <c r="K53" s="244"/>
      <c r="L53" s="244"/>
      <c r="M53" s="244"/>
      <c r="N53" s="244"/>
      <c r="O53" s="244"/>
      <c r="P53" s="245"/>
    </row>
    <row r="54" spans="2:16" x14ac:dyDescent="0.25">
      <c r="B54" s="264"/>
      <c r="C54" s="246" t="s">
        <v>177</v>
      </c>
      <c r="D54" s="134" t="s">
        <v>52</v>
      </c>
      <c r="E54" s="95">
        <v>0</v>
      </c>
      <c r="F54" s="77">
        <f>5.618+24.011+4.334+0.064+0.7383+0.8025+15.2475+8.8275+4.0125+4.0125+7.222+5.618</f>
        <v>80.507799999999989</v>
      </c>
      <c r="G54" s="133">
        <f t="shared" ref="G54" si="190">E54+F54</f>
        <v>80.507799999999989</v>
      </c>
      <c r="H54" s="77"/>
      <c r="I54" s="133">
        <f t="shared" ref="I54:I55" si="191">G54-H54</f>
        <v>80.507799999999989</v>
      </c>
      <c r="J54" s="43">
        <v>0</v>
      </c>
      <c r="K54" s="244">
        <f t="shared" ref="K54" si="192">E54+E55</f>
        <v>0</v>
      </c>
      <c r="L54" s="244">
        <f t="shared" ref="L54" si="193">F54+F55</f>
        <v>80.507799999999989</v>
      </c>
      <c r="M54" s="244">
        <f t="shared" ref="M54" si="194">K54+L54</f>
        <v>80.507799999999989</v>
      </c>
      <c r="N54" s="244">
        <f t="shared" ref="N54" si="195">H54+H55</f>
        <v>0</v>
      </c>
      <c r="O54" s="244">
        <f t="shared" ref="O54" si="196">M54-N54</f>
        <v>80.507799999999989</v>
      </c>
      <c r="P54" s="245">
        <f t="shared" ref="P54" si="197">N54/M54</f>
        <v>0</v>
      </c>
    </row>
    <row r="55" spans="2:16" x14ac:dyDescent="0.25">
      <c r="B55" s="264"/>
      <c r="C55" s="247"/>
      <c r="D55" s="134" t="s">
        <v>53</v>
      </c>
      <c r="E55" s="95">
        <v>0</v>
      </c>
      <c r="F55" s="77"/>
      <c r="G55" s="133">
        <f t="shared" ref="G55" si="198">E55+F55+I54</f>
        <v>80.507799999999989</v>
      </c>
      <c r="H55" s="77"/>
      <c r="I55" s="133">
        <f t="shared" si="191"/>
        <v>80.507799999999989</v>
      </c>
      <c r="J55" s="43">
        <v>0</v>
      </c>
      <c r="K55" s="244"/>
      <c r="L55" s="244"/>
      <c r="M55" s="244"/>
      <c r="N55" s="244"/>
      <c r="O55" s="244"/>
      <c r="P55" s="245"/>
    </row>
    <row r="56" spans="2:16" x14ac:dyDescent="0.25">
      <c r="B56" s="264"/>
      <c r="C56" s="246" t="s">
        <v>155</v>
      </c>
      <c r="D56" s="191" t="s">
        <v>52</v>
      </c>
      <c r="E56" s="95">
        <v>0</v>
      </c>
      <c r="F56" s="77"/>
      <c r="G56" s="193">
        <f t="shared" ref="G56" si="199">E56+F56</f>
        <v>0</v>
      </c>
      <c r="H56" s="77"/>
      <c r="I56" s="193">
        <f t="shared" ref="I56:I57" si="200">G56-H56</f>
        <v>0</v>
      </c>
      <c r="J56" s="43">
        <v>0</v>
      </c>
      <c r="K56" s="244">
        <f t="shared" ref="K56" si="201">E56+E57</f>
        <v>0</v>
      </c>
      <c r="L56" s="244">
        <f t="shared" ref="L56" si="202">F56+F57</f>
        <v>0</v>
      </c>
      <c r="M56" s="244">
        <f t="shared" ref="M56" si="203">K56+L56</f>
        <v>0</v>
      </c>
      <c r="N56" s="244">
        <f t="shared" ref="N56" si="204">H56+H57</f>
        <v>0</v>
      </c>
      <c r="O56" s="244">
        <f t="shared" ref="O56" si="205">M56-N56</f>
        <v>0</v>
      </c>
      <c r="P56" s="245" t="e">
        <f t="shared" ref="P56" si="206">N56/M56</f>
        <v>#DIV/0!</v>
      </c>
    </row>
    <row r="57" spans="2:16" x14ac:dyDescent="0.25">
      <c r="B57" s="264"/>
      <c r="C57" s="247"/>
      <c r="D57" s="191" t="s">
        <v>53</v>
      </c>
      <c r="E57" s="95">
        <v>0</v>
      </c>
      <c r="F57" s="77"/>
      <c r="G57" s="193">
        <f t="shared" ref="G57" si="207">E57+F57+I56</f>
        <v>0</v>
      </c>
      <c r="H57" s="77"/>
      <c r="I57" s="193">
        <f t="shared" si="200"/>
        <v>0</v>
      </c>
      <c r="J57" s="43">
        <v>0</v>
      </c>
      <c r="K57" s="244"/>
      <c r="L57" s="244"/>
      <c r="M57" s="244"/>
      <c r="N57" s="244"/>
      <c r="O57" s="244"/>
      <c r="P57" s="245"/>
    </row>
    <row r="58" spans="2:16" x14ac:dyDescent="0.25">
      <c r="B58" s="264"/>
      <c r="C58" s="258" t="s">
        <v>37</v>
      </c>
      <c r="D58" s="92" t="s">
        <v>52</v>
      </c>
      <c r="E58" s="95">
        <f>0.39493</f>
        <v>0.39493</v>
      </c>
      <c r="F58" s="77"/>
      <c r="G58" s="42">
        <f t="shared" ref="G58" si="208">E58+F58</f>
        <v>0.39493</v>
      </c>
      <c r="H58" s="77"/>
      <c r="I58" s="42">
        <f t="shared" si="1"/>
        <v>0.39493</v>
      </c>
      <c r="J58" s="43">
        <f t="shared" si="2"/>
        <v>0</v>
      </c>
      <c r="K58" s="244">
        <f>E58+E59</f>
        <v>0.43881000000000003</v>
      </c>
      <c r="L58" s="244">
        <f t="shared" ref="L58" si="209">F58+F59</f>
        <v>0</v>
      </c>
      <c r="M58" s="244">
        <f t="shared" ref="M58" si="210">K58+L58</f>
        <v>0.43881000000000003</v>
      </c>
      <c r="N58" s="244">
        <f t="shared" ref="N58" si="211">H58+H59</f>
        <v>0</v>
      </c>
      <c r="O58" s="244">
        <f t="shared" ref="O58" si="212">M58-N58</f>
        <v>0.43881000000000003</v>
      </c>
      <c r="P58" s="245">
        <f t="shared" ref="P58" si="213">N58/M58</f>
        <v>0</v>
      </c>
    </row>
    <row r="59" spans="2:16" ht="12.75" thickBot="1" x14ac:dyDescent="0.3">
      <c r="B59" s="265"/>
      <c r="C59" s="269"/>
      <c r="D59" s="93" t="s">
        <v>53</v>
      </c>
      <c r="E59" s="96">
        <f>0.04388</f>
        <v>4.3880000000000002E-2</v>
      </c>
      <c r="F59" s="88"/>
      <c r="G59" s="89">
        <f t="shared" ref="G59" si="214">E59+F59+I58</f>
        <v>0.43881000000000003</v>
      </c>
      <c r="H59" s="97"/>
      <c r="I59" s="89">
        <f t="shared" si="1"/>
        <v>0.43881000000000003</v>
      </c>
      <c r="J59" s="90">
        <f t="shared" si="2"/>
        <v>0</v>
      </c>
      <c r="K59" s="250"/>
      <c r="L59" s="250"/>
      <c r="M59" s="250"/>
      <c r="N59" s="250"/>
      <c r="O59" s="250"/>
      <c r="P59" s="251"/>
    </row>
    <row r="60" spans="2:16" ht="12.75" thickBot="1" x14ac:dyDescent="0.3">
      <c r="B60" s="259" t="s">
        <v>13</v>
      </c>
      <c r="C60" s="260"/>
      <c r="D60" s="79"/>
      <c r="E60" s="98">
        <f>SUM(E6:E59)</f>
        <v>1125.9999199999997</v>
      </c>
      <c r="F60" s="98">
        <f>SUM(F6:F59)</f>
        <v>-238.91000000000003</v>
      </c>
      <c r="G60" s="98">
        <f>E60+F60</f>
        <v>887.08991999999967</v>
      </c>
      <c r="H60" s="98">
        <f>SUM(H6:H59)</f>
        <v>633.80899999999997</v>
      </c>
      <c r="I60" s="98">
        <f>G60-H60</f>
        <v>253.2809199999997</v>
      </c>
      <c r="J60" s="99">
        <f>H60/G60</f>
        <v>0.71448112047085399</v>
      </c>
      <c r="K60" s="98">
        <f>SUM(K6:K59)</f>
        <v>1125.9999200000004</v>
      </c>
      <c r="L60" s="98">
        <f>SUM(L6:L59)</f>
        <v>-238.91000000000003</v>
      </c>
      <c r="M60" s="98">
        <f>K60+L60</f>
        <v>887.08992000000035</v>
      </c>
      <c r="N60" s="98">
        <f>SUM(N6:N59)</f>
        <v>633.80899999999997</v>
      </c>
      <c r="O60" s="98">
        <f>M60-N60</f>
        <v>253.28092000000038</v>
      </c>
      <c r="P60" s="100">
        <f>N60/M60</f>
        <v>0.71448112047085344</v>
      </c>
    </row>
    <row r="61" spans="2:16" hidden="1" x14ac:dyDescent="0.25">
      <c r="P61" s="190">
        <v>1</v>
      </c>
    </row>
  </sheetData>
  <mergeCells count="194">
    <mergeCell ref="C54:C55"/>
    <mergeCell ref="K54:K55"/>
    <mergeCell ref="L54:L55"/>
    <mergeCell ref="M54:M55"/>
    <mergeCell ref="N54:N55"/>
    <mergeCell ref="O54:O55"/>
    <mergeCell ref="P54:P55"/>
    <mergeCell ref="M26:M27"/>
    <mergeCell ref="N26:N27"/>
    <mergeCell ref="O26:O27"/>
    <mergeCell ref="P26:P27"/>
    <mergeCell ref="C52:C53"/>
    <mergeCell ref="K52:K53"/>
    <mergeCell ref="L52:L53"/>
    <mergeCell ref="M52:M53"/>
    <mergeCell ref="N52:N53"/>
    <mergeCell ref="O52:O53"/>
    <mergeCell ref="P52:P53"/>
    <mergeCell ref="P50:P51"/>
    <mergeCell ref="P46:P47"/>
    <mergeCell ref="K48:K49"/>
    <mergeCell ref="L48:L49"/>
    <mergeCell ref="M48:M49"/>
    <mergeCell ref="N48:N49"/>
    <mergeCell ref="O48:O49"/>
    <mergeCell ref="P48:P49"/>
    <mergeCell ref="K46:K47"/>
    <mergeCell ref="L46:L47"/>
    <mergeCell ref="M46:M47"/>
    <mergeCell ref="N46:N47"/>
    <mergeCell ref="O46:O47"/>
    <mergeCell ref="K58:K59"/>
    <mergeCell ref="L58:L59"/>
    <mergeCell ref="M58:M59"/>
    <mergeCell ref="N58:N59"/>
    <mergeCell ref="O58:O59"/>
    <mergeCell ref="P58:P59"/>
    <mergeCell ref="K50:K51"/>
    <mergeCell ref="L50:L51"/>
    <mergeCell ref="M50:M51"/>
    <mergeCell ref="N50:N51"/>
    <mergeCell ref="O50:O51"/>
    <mergeCell ref="P42:P43"/>
    <mergeCell ref="K44:K45"/>
    <mergeCell ref="L44:L45"/>
    <mergeCell ref="M44:M45"/>
    <mergeCell ref="N44:N45"/>
    <mergeCell ref="O44:O45"/>
    <mergeCell ref="P44:P45"/>
    <mergeCell ref="K42:K43"/>
    <mergeCell ref="L42:L43"/>
    <mergeCell ref="M42:M43"/>
    <mergeCell ref="N42:N43"/>
    <mergeCell ref="O42:O43"/>
    <mergeCell ref="P38:P39"/>
    <mergeCell ref="K40:K41"/>
    <mergeCell ref="L40:L41"/>
    <mergeCell ref="M40:M41"/>
    <mergeCell ref="N40:N41"/>
    <mergeCell ref="O40:O41"/>
    <mergeCell ref="P40:P41"/>
    <mergeCell ref="K38:K39"/>
    <mergeCell ref="L38:L39"/>
    <mergeCell ref="M38:M39"/>
    <mergeCell ref="N38:N39"/>
    <mergeCell ref="O38:O39"/>
    <mergeCell ref="K36:K37"/>
    <mergeCell ref="L36:L37"/>
    <mergeCell ref="M36:M37"/>
    <mergeCell ref="N36:N37"/>
    <mergeCell ref="O36:O37"/>
    <mergeCell ref="P36:P37"/>
    <mergeCell ref="K34:K35"/>
    <mergeCell ref="L34:L35"/>
    <mergeCell ref="M34:M35"/>
    <mergeCell ref="N34:N35"/>
    <mergeCell ref="O34:O35"/>
    <mergeCell ref="M24:M25"/>
    <mergeCell ref="N24:N25"/>
    <mergeCell ref="O24:O25"/>
    <mergeCell ref="P24:P25"/>
    <mergeCell ref="L22:L23"/>
    <mergeCell ref="M22:M23"/>
    <mergeCell ref="N22:N23"/>
    <mergeCell ref="O22:O23"/>
    <mergeCell ref="P22:P23"/>
    <mergeCell ref="L24:L25"/>
    <mergeCell ref="P16:P17"/>
    <mergeCell ref="L14:L15"/>
    <mergeCell ref="M14:M15"/>
    <mergeCell ref="N14:N15"/>
    <mergeCell ref="O14:O15"/>
    <mergeCell ref="P14:P15"/>
    <mergeCell ref="M20:M21"/>
    <mergeCell ref="N20:N21"/>
    <mergeCell ref="O20:O21"/>
    <mergeCell ref="P20:P21"/>
    <mergeCell ref="L18:L19"/>
    <mergeCell ref="M18:M19"/>
    <mergeCell ref="N18:N19"/>
    <mergeCell ref="O18:O19"/>
    <mergeCell ref="P18:P19"/>
    <mergeCell ref="C26:C27"/>
    <mergeCell ref="K26:K27"/>
    <mergeCell ref="L26:L27"/>
    <mergeCell ref="M8:M9"/>
    <mergeCell ref="N8:N9"/>
    <mergeCell ref="O8:O9"/>
    <mergeCell ref="P8:P9"/>
    <mergeCell ref="L6:L7"/>
    <mergeCell ref="M6:M7"/>
    <mergeCell ref="N6:N7"/>
    <mergeCell ref="O6:O7"/>
    <mergeCell ref="P6:P7"/>
    <mergeCell ref="M12:M13"/>
    <mergeCell ref="N12:N13"/>
    <mergeCell ref="O12:O13"/>
    <mergeCell ref="P12:P13"/>
    <mergeCell ref="L10:L11"/>
    <mergeCell ref="M10:M11"/>
    <mergeCell ref="N10:N11"/>
    <mergeCell ref="O10:O11"/>
    <mergeCell ref="P10:P11"/>
    <mergeCell ref="M16:M17"/>
    <mergeCell ref="N16:N17"/>
    <mergeCell ref="O16:O17"/>
    <mergeCell ref="L32:L33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L30:L31"/>
    <mergeCell ref="C22:C23"/>
    <mergeCell ref="C6:C7"/>
    <mergeCell ref="C8:C9"/>
    <mergeCell ref="C10:C11"/>
    <mergeCell ref="C12:C13"/>
    <mergeCell ref="L8:L9"/>
    <mergeCell ref="L12:L13"/>
    <mergeCell ref="L16:L17"/>
    <mergeCell ref="L20:L21"/>
    <mergeCell ref="B2:P2"/>
    <mergeCell ref="B3:P3"/>
    <mergeCell ref="C42:C43"/>
    <mergeCell ref="C44:C45"/>
    <mergeCell ref="C46:C47"/>
    <mergeCell ref="B60:C60"/>
    <mergeCell ref="C24:C25"/>
    <mergeCell ref="C30:C31"/>
    <mergeCell ref="C32:C33"/>
    <mergeCell ref="C38:C39"/>
    <mergeCell ref="C40:C41"/>
    <mergeCell ref="B32:B59"/>
    <mergeCell ref="B6:B31"/>
    <mergeCell ref="C48:C49"/>
    <mergeCell ref="C50:C51"/>
    <mergeCell ref="C58:C59"/>
    <mergeCell ref="C20:C21"/>
    <mergeCell ref="C18:C19"/>
    <mergeCell ref="C36:C37"/>
    <mergeCell ref="C34:C35"/>
    <mergeCell ref="C14:C15"/>
    <mergeCell ref="C16:C17"/>
    <mergeCell ref="K24:K25"/>
    <mergeCell ref="K30:K31"/>
    <mergeCell ref="C28:C29"/>
    <mergeCell ref="K28:K29"/>
    <mergeCell ref="L28:L29"/>
    <mergeCell ref="M28:M29"/>
    <mergeCell ref="N28:N29"/>
    <mergeCell ref="O28:O29"/>
    <mergeCell ref="P28:P29"/>
    <mergeCell ref="C56:C57"/>
    <mergeCell ref="K56:K57"/>
    <mergeCell ref="L56:L57"/>
    <mergeCell ref="M56:M57"/>
    <mergeCell ref="N56:N57"/>
    <mergeCell ref="O56:O57"/>
    <mergeCell ref="P56:P57"/>
    <mergeCell ref="K32:K33"/>
    <mergeCell ref="M32:M33"/>
    <mergeCell ref="N32:N33"/>
    <mergeCell ref="O32:O33"/>
    <mergeCell ref="P32:P33"/>
    <mergeCell ref="M30:M31"/>
    <mergeCell ref="N30:N31"/>
    <mergeCell ref="O30:O31"/>
    <mergeCell ref="P30:P31"/>
    <mergeCell ref="P34:P35"/>
  </mergeCells>
  <conditionalFormatting sqref="P6:P59">
    <cfRule type="cellIs" dxfId="4" priority="4" operator="greaterThan">
      <formula>1</formula>
    </cfRule>
  </conditionalFormatting>
  <conditionalFormatting sqref="P6:P60">
    <cfRule type="cellIs" dxfId="3" priority="3" operator="greaterThan">
      <formula>0.9</formula>
    </cfRule>
  </conditionalFormatting>
  <conditionalFormatting sqref="P32:P60">
    <cfRule type="colorScale" priority="2">
      <colorScale>
        <cfvo type="min"/>
        <cfvo type="max"/>
        <color rgb="FFFCFCFF"/>
        <color rgb="FFF8696B"/>
      </colorScale>
    </cfRule>
  </conditionalFormatting>
  <conditionalFormatting sqref="P6:P61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86"/>
  <sheetViews>
    <sheetView showGridLines="0" topLeftCell="B1" zoomScale="110" zoomScaleNormal="110" workbookViewId="0">
      <pane xSplit="2" ySplit="12" topLeftCell="D13" activePane="bottomRight" state="frozen"/>
      <selection activeCell="B1" sqref="B1"/>
      <selection pane="topRight" activeCell="D1" sqref="D1"/>
      <selection pane="bottomLeft" activeCell="B13" sqref="B13"/>
      <selection pane="bottomRight" activeCell="H87" sqref="H87"/>
    </sheetView>
  </sheetViews>
  <sheetFormatPr baseColWidth="10" defaultColWidth="11.42578125" defaultRowHeight="12" x14ac:dyDescent="0.2"/>
  <cols>
    <col min="1" max="1" width="11.42578125" style="2"/>
    <col min="2" max="2" width="18.140625" style="2" bestFit="1" customWidth="1"/>
    <col min="3" max="3" width="33" style="2" bestFit="1" customWidth="1"/>
    <col min="4" max="4" width="8.28515625" style="12" customWidth="1"/>
    <col min="5" max="5" width="9.5703125" style="12" bestFit="1" customWidth="1"/>
    <col min="6" max="6" width="19" style="12" bestFit="1" customWidth="1"/>
    <col min="7" max="7" width="15.5703125" style="12" bestFit="1" customWidth="1"/>
    <col min="8" max="8" width="18" style="12" bestFit="1" customWidth="1"/>
    <col min="9" max="9" width="12.42578125" style="12" bestFit="1" customWidth="1"/>
    <col min="10" max="10" width="10.5703125" style="12" bestFit="1" customWidth="1"/>
    <col min="11" max="11" width="12" style="12" bestFit="1" customWidth="1"/>
    <col min="12" max="12" width="19" style="12" bestFit="1" customWidth="1"/>
    <col min="13" max="13" width="15.5703125" style="12" bestFit="1" customWidth="1"/>
    <col min="14" max="14" width="18" style="12" bestFit="1" customWidth="1"/>
    <col min="15" max="15" width="12.42578125" style="12" bestFit="1" customWidth="1"/>
    <col min="16" max="16" width="10.5703125" style="12" bestFit="1" customWidth="1"/>
    <col min="17" max="17" width="10.42578125" style="12" bestFit="1" customWidth="1"/>
    <col min="18" max="16384" width="11.42578125" style="2"/>
  </cols>
  <sheetData>
    <row r="3" spans="2:17" hidden="1" x14ac:dyDescent="0.2">
      <c r="B3" s="1" t="s">
        <v>18</v>
      </c>
      <c r="C3" s="1" t="s">
        <v>61</v>
      </c>
      <c r="D3" s="11" t="s">
        <v>62</v>
      </c>
      <c r="E3" s="11" t="s">
        <v>60</v>
      </c>
    </row>
    <row r="4" spans="2:17" hidden="1" x14ac:dyDescent="0.2">
      <c r="B4" s="1" t="s">
        <v>52</v>
      </c>
      <c r="C4" s="4">
        <v>915</v>
      </c>
      <c r="D4" s="13">
        <v>1119</v>
      </c>
      <c r="E4" s="13">
        <f>SUM(C4:D4)</f>
        <v>2034</v>
      </c>
    </row>
    <row r="5" spans="2:17" hidden="1" x14ac:dyDescent="0.2">
      <c r="B5" s="1" t="s">
        <v>53</v>
      </c>
      <c r="C5" s="4">
        <v>102</v>
      </c>
      <c r="D5" s="13">
        <v>124</v>
      </c>
      <c r="E5" s="13">
        <f t="shared" ref="E5" si="0">SUM(C5:D5)</f>
        <v>226</v>
      </c>
    </row>
    <row r="6" spans="2:17" hidden="1" x14ac:dyDescent="0.2">
      <c r="B6" s="1" t="s">
        <v>60</v>
      </c>
      <c r="C6" s="4">
        <f>SUM(C4:C5)</f>
        <v>1017</v>
      </c>
      <c r="D6" s="13">
        <f>SUM(D4:D5)</f>
        <v>1243</v>
      </c>
      <c r="E6" s="13">
        <f>SUM(C6:D6)</f>
        <v>2260</v>
      </c>
    </row>
    <row r="9" spans="2:17" ht="20.25" customHeight="1" x14ac:dyDescent="0.2">
      <c r="B9" s="280" t="s">
        <v>161</v>
      </c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2"/>
    </row>
    <row r="10" spans="2:17" x14ac:dyDescent="0.2">
      <c r="B10" s="283">
        <f>'RESUMEN '!B4:J4</f>
        <v>44926</v>
      </c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5"/>
    </row>
    <row r="11" spans="2:17" ht="12.75" thickBot="1" x14ac:dyDescent="0.25"/>
    <row r="12" spans="2:17" ht="12.75" thickBot="1" x14ac:dyDescent="0.25">
      <c r="B12" s="103" t="s">
        <v>0</v>
      </c>
      <c r="C12" s="173" t="s">
        <v>23</v>
      </c>
      <c r="D12" s="173" t="s">
        <v>18</v>
      </c>
      <c r="E12" s="104" t="s">
        <v>63</v>
      </c>
      <c r="F12" s="104" t="s">
        <v>2</v>
      </c>
      <c r="G12" s="104" t="s">
        <v>3</v>
      </c>
      <c r="H12" s="104" t="s">
        <v>4</v>
      </c>
      <c r="I12" s="104" t="s">
        <v>5</v>
      </c>
      <c r="J12" s="104" t="s">
        <v>6</v>
      </c>
      <c r="K12" s="105" t="s">
        <v>7</v>
      </c>
      <c r="L12" s="104" t="s">
        <v>2</v>
      </c>
      <c r="M12" s="104" t="s">
        <v>3</v>
      </c>
      <c r="N12" s="104" t="s">
        <v>4</v>
      </c>
      <c r="O12" s="104" t="s">
        <v>5</v>
      </c>
      <c r="P12" s="104" t="s">
        <v>6</v>
      </c>
      <c r="Q12" s="106" t="s">
        <v>20</v>
      </c>
    </row>
    <row r="13" spans="2:17" ht="12" customHeight="1" x14ac:dyDescent="0.2">
      <c r="B13" s="301" t="s">
        <v>103</v>
      </c>
      <c r="C13" s="297" t="s">
        <v>24</v>
      </c>
      <c r="D13" s="174" t="s">
        <v>52</v>
      </c>
      <c r="E13" s="294">
        <v>9.5500000000000007</v>
      </c>
      <c r="F13" s="170">
        <f>E13/100*$C$4</f>
        <v>87.382500000000007</v>
      </c>
      <c r="G13" s="170"/>
      <c r="H13" s="170">
        <f>F13+G13</f>
        <v>87.382500000000007</v>
      </c>
      <c r="I13" s="183">
        <v>96.88</v>
      </c>
      <c r="J13" s="170">
        <f>H13-I13</f>
        <v>-9.4974999999999881</v>
      </c>
      <c r="K13" s="86">
        <f>I13/H13</f>
        <v>1.1086888106886388</v>
      </c>
      <c r="L13" s="248">
        <f>F13+F14</f>
        <v>97.123500000000007</v>
      </c>
      <c r="M13" s="248">
        <f>G13+G14</f>
        <v>0</v>
      </c>
      <c r="N13" s="248">
        <f>L13+M13</f>
        <v>97.123500000000007</v>
      </c>
      <c r="O13" s="248">
        <f>I13+I14</f>
        <v>96.88</v>
      </c>
      <c r="P13" s="248">
        <f>N13-O13</f>
        <v>0.2435000000000116</v>
      </c>
      <c r="Q13" s="249">
        <f>O13/N13</f>
        <v>0.99749288277296422</v>
      </c>
    </row>
    <row r="14" spans="2:17" ht="15" customHeight="1" x14ac:dyDescent="0.2">
      <c r="B14" s="302"/>
      <c r="C14" s="276"/>
      <c r="D14" s="175" t="s">
        <v>53</v>
      </c>
      <c r="E14" s="295"/>
      <c r="F14" s="168">
        <f>E13/100*$C$5</f>
        <v>9.7409999999999997</v>
      </c>
      <c r="G14" s="168"/>
      <c r="H14" s="168">
        <f>F14+G14+J13</f>
        <v>0.2435000000000116</v>
      </c>
      <c r="I14" s="75"/>
      <c r="J14" s="168">
        <f>H14-I14</f>
        <v>0.2435000000000116</v>
      </c>
      <c r="K14" s="43">
        <f>I14/H14</f>
        <v>0</v>
      </c>
      <c r="L14" s="272"/>
      <c r="M14" s="272"/>
      <c r="N14" s="272"/>
      <c r="O14" s="272"/>
      <c r="P14" s="272"/>
      <c r="Q14" s="245"/>
    </row>
    <row r="15" spans="2:17" ht="15" customHeight="1" x14ac:dyDescent="0.2">
      <c r="B15" s="302"/>
      <c r="C15" s="276" t="s">
        <v>25</v>
      </c>
      <c r="D15" s="175" t="s">
        <v>52</v>
      </c>
      <c r="E15" s="295">
        <v>2.1226232</v>
      </c>
      <c r="F15" s="168">
        <f t="shared" ref="F15" si="1">E15/100*$C$4</f>
        <v>19.422002280000001</v>
      </c>
      <c r="G15" s="168"/>
      <c r="H15" s="168">
        <f t="shared" ref="H15" si="2">F15+G15</f>
        <v>19.422002280000001</v>
      </c>
      <c r="I15" s="184">
        <v>18.527999999999999</v>
      </c>
      <c r="J15" s="168">
        <f>H15-I15</f>
        <v>0.89400228000000226</v>
      </c>
      <c r="K15" s="43">
        <f>I15/H15</f>
        <v>0.9539696130650438</v>
      </c>
      <c r="L15" s="244">
        <f t="shared" ref="L15" si="3">F15+F16</f>
        <v>21.587077944000001</v>
      </c>
      <c r="M15" s="244">
        <f t="shared" ref="M15" si="4">G15+G16</f>
        <v>0</v>
      </c>
      <c r="N15" s="244">
        <f t="shared" ref="N15" si="5">L15+M15</f>
        <v>21.587077944000001</v>
      </c>
      <c r="O15" s="244">
        <f>I15+I16</f>
        <v>18.527999999999999</v>
      </c>
      <c r="P15" s="244">
        <f t="shared" ref="P15" si="6">N15-O15</f>
        <v>3.059077944000002</v>
      </c>
      <c r="Q15" s="245">
        <f t="shared" ref="Q15" si="7">O15/N15</f>
        <v>0.85829124479303354</v>
      </c>
    </row>
    <row r="16" spans="2:17" ht="15" customHeight="1" x14ac:dyDescent="0.2">
      <c r="B16" s="302"/>
      <c r="C16" s="276"/>
      <c r="D16" s="175" t="s">
        <v>53</v>
      </c>
      <c r="E16" s="295"/>
      <c r="F16" s="168">
        <f t="shared" ref="F16" si="8">E15/100*$C$5</f>
        <v>2.1650756640000002</v>
      </c>
      <c r="G16" s="168"/>
      <c r="H16" s="168">
        <f t="shared" ref="H16" si="9">F16+G16+J15</f>
        <v>3.0590779440000024</v>
      </c>
      <c r="I16" s="75"/>
      <c r="J16" s="168">
        <f>H16-I16</f>
        <v>3.0590779440000024</v>
      </c>
      <c r="K16" s="43">
        <f t="shared" ref="K16:K80" si="10">I16/H16</f>
        <v>0</v>
      </c>
      <c r="L16" s="272"/>
      <c r="M16" s="272"/>
      <c r="N16" s="272"/>
      <c r="O16" s="272"/>
      <c r="P16" s="272"/>
      <c r="Q16" s="245"/>
    </row>
    <row r="17" spans="2:17" ht="15" customHeight="1" x14ac:dyDescent="0.2">
      <c r="B17" s="302"/>
      <c r="C17" s="276" t="s">
        <v>27</v>
      </c>
      <c r="D17" s="175" t="s">
        <v>52</v>
      </c>
      <c r="E17" s="295">
        <v>26.334540000000001</v>
      </c>
      <c r="F17" s="168">
        <f t="shared" ref="F17" si="11">E17/100*$C$4</f>
        <v>240.96104099999999</v>
      </c>
      <c r="G17" s="168"/>
      <c r="H17" s="168">
        <f t="shared" ref="H17" si="12">F17+G17</f>
        <v>240.96104099999999</v>
      </c>
      <c r="I17" s="184">
        <v>359.00400000000002</v>
      </c>
      <c r="J17" s="168">
        <f t="shared" ref="J17:J80" si="13">H17-I17</f>
        <v>-118.04295900000002</v>
      </c>
      <c r="K17" s="43">
        <f t="shared" si="10"/>
        <v>1.4898840016216564</v>
      </c>
      <c r="L17" s="244">
        <f t="shared" ref="L17" si="14">F17+F18</f>
        <v>267.82227180000001</v>
      </c>
      <c r="M17" s="244">
        <f t="shared" ref="M17" si="15">G17+G18</f>
        <v>100</v>
      </c>
      <c r="N17" s="244">
        <f t="shared" ref="N17" si="16">L17+M17</f>
        <v>367.82227180000001</v>
      </c>
      <c r="O17" s="244">
        <f t="shared" ref="O17" si="17">I17+I18</f>
        <v>359.00400000000002</v>
      </c>
      <c r="P17" s="244">
        <f t="shared" ref="P17" si="18">N17-O17</f>
        <v>8.8182717999999909</v>
      </c>
      <c r="Q17" s="245">
        <f t="shared" ref="Q17" si="19">O17/N17</f>
        <v>0.9760257263464599</v>
      </c>
    </row>
    <row r="18" spans="2:17" ht="15" customHeight="1" x14ac:dyDescent="0.2">
      <c r="B18" s="302"/>
      <c r="C18" s="276"/>
      <c r="D18" s="175" t="s">
        <v>53</v>
      </c>
      <c r="E18" s="295"/>
      <c r="F18" s="168">
        <f t="shared" ref="F18" si="20">E17/100*$C$5</f>
        <v>26.861230800000001</v>
      </c>
      <c r="G18" s="168">
        <v>100</v>
      </c>
      <c r="H18" s="168">
        <f t="shared" ref="H18" si="21">F18+G18+J17</f>
        <v>8.8182717999999767</v>
      </c>
      <c r="I18" s="75"/>
      <c r="J18" s="168">
        <f t="shared" si="13"/>
        <v>8.8182717999999767</v>
      </c>
      <c r="K18" s="43">
        <f t="shared" si="10"/>
        <v>0</v>
      </c>
      <c r="L18" s="272"/>
      <c r="M18" s="272"/>
      <c r="N18" s="272"/>
      <c r="O18" s="272"/>
      <c r="P18" s="272"/>
      <c r="Q18" s="245"/>
    </row>
    <row r="19" spans="2:17" ht="15" customHeight="1" x14ac:dyDescent="0.2">
      <c r="B19" s="302"/>
      <c r="C19" s="276" t="s">
        <v>28</v>
      </c>
      <c r="D19" s="175" t="s">
        <v>52</v>
      </c>
      <c r="E19" s="295">
        <v>27.764251900000001</v>
      </c>
      <c r="F19" s="168">
        <f>E19/100*$C$4</f>
        <v>254.04290488500004</v>
      </c>
      <c r="G19" s="168">
        <f>-161.816+63.156+56.185+113</f>
        <v>70.525000000000006</v>
      </c>
      <c r="H19" s="168">
        <f>F19+G19</f>
        <v>324.56790488500008</v>
      </c>
      <c r="I19" s="184">
        <f>227.768+50.413</f>
        <v>278.18099999999998</v>
      </c>
      <c r="J19" s="168">
        <f t="shared" si="13"/>
        <v>46.386904885000092</v>
      </c>
      <c r="K19" s="43">
        <f t="shared" si="10"/>
        <v>0.85708104779665206</v>
      </c>
      <c r="L19" s="244">
        <f>F19+F20</f>
        <v>282.36244182300004</v>
      </c>
      <c r="M19" s="244">
        <f t="shared" ref="M19" si="22">G19+G20</f>
        <v>-3.2589999999999861</v>
      </c>
      <c r="N19" s="244">
        <f t="shared" ref="N19" si="23">L19+M19</f>
        <v>279.10344182300003</v>
      </c>
      <c r="O19" s="244">
        <f t="shared" ref="O19" si="24">I19+I20</f>
        <v>278.18099999999998</v>
      </c>
      <c r="P19" s="244">
        <f t="shared" ref="P19" si="25">N19-O19</f>
        <v>0.9224418230000424</v>
      </c>
      <c r="Q19" s="245">
        <f t="shared" ref="Q19" si="26">O19/N19</f>
        <v>0.99669498227261188</v>
      </c>
    </row>
    <row r="20" spans="2:17" ht="15" customHeight="1" x14ac:dyDescent="0.2">
      <c r="B20" s="302"/>
      <c r="C20" s="276"/>
      <c r="D20" s="175" t="s">
        <v>53</v>
      </c>
      <c r="E20" s="295"/>
      <c r="F20" s="168">
        <f t="shared" ref="F20" si="27">E19/100*$C$5</f>
        <v>28.319536938000002</v>
      </c>
      <c r="G20" s="168">
        <f>-100+26.216</f>
        <v>-73.783999999999992</v>
      </c>
      <c r="H20" s="168">
        <f t="shared" ref="H20" si="28">F20+G20+J19</f>
        <v>0.92244182300009925</v>
      </c>
      <c r="I20" s="75"/>
      <c r="J20" s="168">
        <f t="shared" si="13"/>
        <v>0.92244182300009925</v>
      </c>
      <c r="K20" s="43">
        <f t="shared" si="10"/>
        <v>0</v>
      </c>
      <c r="L20" s="272"/>
      <c r="M20" s="272"/>
      <c r="N20" s="272"/>
      <c r="O20" s="272"/>
      <c r="P20" s="272"/>
      <c r="Q20" s="245"/>
    </row>
    <row r="21" spans="2:17" ht="15" customHeight="1" x14ac:dyDescent="0.2">
      <c r="B21" s="302"/>
      <c r="C21" s="276" t="s">
        <v>29</v>
      </c>
      <c r="D21" s="175" t="s">
        <v>52</v>
      </c>
      <c r="E21" s="295">
        <v>0.2049965</v>
      </c>
      <c r="F21" s="168">
        <f t="shared" ref="F21" si="29">E21/100*$C$4</f>
        <v>1.8757179749999999</v>
      </c>
      <c r="G21" s="168"/>
      <c r="H21" s="168">
        <f t="shared" ref="H21" si="30">F21+G21</f>
        <v>1.8757179749999999</v>
      </c>
      <c r="I21" s="184">
        <v>0.52800000000000002</v>
      </c>
      <c r="J21" s="168">
        <f t="shared" si="13"/>
        <v>1.3477179749999999</v>
      </c>
      <c r="K21" s="43">
        <f t="shared" si="10"/>
        <v>0.28149221100256294</v>
      </c>
      <c r="L21" s="244">
        <f t="shared" ref="L21" si="31">F21+F22</f>
        <v>2.0848144049999999</v>
      </c>
      <c r="M21" s="244">
        <f t="shared" ref="M21" si="32">G21+G22</f>
        <v>0</v>
      </c>
      <c r="N21" s="244">
        <f t="shared" ref="N21" si="33">L21+M21</f>
        <v>2.0848144049999999</v>
      </c>
      <c r="O21" s="244">
        <f t="shared" ref="O21" si="34">I21+I22</f>
        <v>0.52800000000000002</v>
      </c>
      <c r="P21" s="244">
        <f t="shared" ref="P21" si="35">N21-O21</f>
        <v>1.5568144049999999</v>
      </c>
      <c r="Q21" s="245">
        <f t="shared" ref="Q21" si="36">O21/N21</f>
        <v>0.2532599538518634</v>
      </c>
    </row>
    <row r="22" spans="2:17" ht="15" customHeight="1" x14ac:dyDescent="0.2">
      <c r="B22" s="302"/>
      <c r="C22" s="276"/>
      <c r="D22" s="175" t="s">
        <v>53</v>
      </c>
      <c r="E22" s="295"/>
      <c r="F22" s="168">
        <f t="shared" ref="F22" si="37">E21/100*$C$5</f>
        <v>0.20909643</v>
      </c>
      <c r="G22" s="168"/>
      <c r="H22" s="168">
        <f t="shared" ref="H22" si="38">F22+G22+J21</f>
        <v>1.5568144049999999</v>
      </c>
      <c r="I22" s="75"/>
      <c r="J22" s="168">
        <f t="shared" si="13"/>
        <v>1.5568144049999999</v>
      </c>
      <c r="K22" s="43">
        <f t="shared" si="10"/>
        <v>0</v>
      </c>
      <c r="L22" s="272"/>
      <c r="M22" s="272"/>
      <c r="N22" s="272"/>
      <c r="O22" s="272"/>
      <c r="P22" s="272"/>
      <c r="Q22" s="245"/>
    </row>
    <row r="23" spans="2:17" ht="15" customHeight="1" x14ac:dyDescent="0.2">
      <c r="B23" s="302"/>
      <c r="C23" s="276" t="s">
        <v>30</v>
      </c>
      <c r="D23" s="175" t="s">
        <v>52</v>
      </c>
      <c r="E23" s="295">
        <v>8.0000000000000002E-3</v>
      </c>
      <c r="F23" s="168">
        <f t="shared" ref="F23" si="39">E23/100*$C$4</f>
        <v>7.3200000000000001E-2</v>
      </c>
      <c r="G23" s="168"/>
      <c r="H23" s="168">
        <f t="shared" ref="H23" si="40">F23+G23</f>
        <v>7.3200000000000001E-2</v>
      </c>
      <c r="I23" s="75"/>
      <c r="J23" s="168">
        <f t="shared" si="13"/>
        <v>7.3200000000000001E-2</v>
      </c>
      <c r="K23" s="43">
        <f t="shared" si="10"/>
        <v>0</v>
      </c>
      <c r="L23" s="244">
        <f t="shared" ref="L23" si="41">F23+F24</f>
        <v>8.1360000000000002E-2</v>
      </c>
      <c r="M23" s="244">
        <f t="shared" ref="M23" si="42">G23+G24</f>
        <v>0</v>
      </c>
      <c r="N23" s="244">
        <f t="shared" ref="N23" si="43">L23+M23</f>
        <v>8.1360000000000002E-2</v>
      </c>
      <c r="O23" s="244">
        <f t="shared" ref="O23" si="44">I23+I24</f>
        <v>0</v>
      </c>
      <c r="P23" s="244">
        <f t="shared" ref="P23" si="45">N23-O23</f>
        <v>8.1360000000000002E-2</v>
      </c>
      <c r="Q23" s="245">
        <f t="shared" ref="Q23" si="46">O23/N23</f>
        <v>0</v>
      </c>
    </row>
    <row r="24" spans="2:17" ht="15" customHeight="1" x14ac:dyDescent="0.2">
      <c r="B24" s="302"/>
      <c r="C24" s="276"/>
      <c r="D24" s="175" t="s">
        <v>53</v>
      </c>
      <c r="E24" s="295"/>
      <c r="F24" s="168">
        <f t="shared" ref="F24" si="47">E23/100*$C$5</f>
        <v>8.1600000000000006E-3</v>
      </c>
      <c r="G24" s="168"/>
      <c r="H24" s="168">
        <f t="shared" ref="H24" si="48">F24+G24+J23</f>
        <v>8.1360000000000002E-2</v>
      </c>
      <c r="I24" s="75"/>
      <c r="J24" s="168">
        <f t="shared" si="13"/>
        <v>8.1360000000000002E-2</v>
      </c>
      <c r="K24" s="43">
        <f t="shared" si="10"/>
        <v>0</v>
      </c>
      <c r="L24" s="272"/>
      <c r="M24" s="272"/>
      <c r="N24" s="272"/>
      <c r="O24" s="272"/>
      <c r="P24" s="272"/>
      <c r="Q24" s="245"/>
    </row>
    <row r="25" spans="2:17" ht="15" customHeight="1" x14ac:dyDescent="0.2">
      <c r="B25" s="302"/>
      <c r="C25" s="276" t="s">
        <v>31</v>
      </c>
      <c r="D25" s="175" t="s">
        <v>52</v>
      </c>
      <c r="E25" s="295">
        <v>14.927989999999999</v>
      </c>
      <c r="F25" s="168">
        <f t="shared" ref="F25" si="49">E25/100*$C$4</f>
        <v>136.59110849999999</v>
      </c>
      <c r="G25" s="168">
        <f>161.816-113</f>
        <v>48.816000000000003</v>
      </c>
      <c r="H25" s="168">
        <f>F25+G25</f>
        <v>185.40710849999999</v>
      </c>
      <c r="I25" s="184">
        <f>20.283+82.117+68.72</f>
        <v>171.12</v>
      </c>
      <c r="J25" s="168">
        <f t="shared" si="13"/>
        <v>14.287108499999988</v>
      </c>
      <c r="K25" s="43">
        <f t="shared" si="10"/>
        <v>0.9229419593693734</v>
      </c>
      <c r="L25" s="244">
        <f t="shared" ref="L25" si="50">F25+F26</f>
        <v>151.81765829999998</v>
      </c>
      <c r="M25" s="244">
        <f t="shared" ref="M25" si="51">G25+G26</f>
        <v>22.6</v>
      </c>
      <c r="N25" s="244">
        <f t="shared" ref="N25" si="52">L25+M25</f>
        <v>174.41765829999997</v>
      </c>
      <c r="O25" s="244">
        <f t="shared" ref="O25" si="53">I25+I26</f>
        <v>171.12</v>
      </c>
      <c r="P25" s="244">
        <f t="shared" ref="P25" si="54">N25-O25</f>
        <v>3.2976582999999664</v>
      </c>
      <c r="Q25" s="245">
        <f t="shared" ref="Q25" si="55">O25/N25</f>
        <v>0.98109332316382802</v>
      </c>
    </row>
    <row r="26" spans="2:17" ht="15" customHeight="1" x14ac:dyDescent="0.2">
      <c r="B26" s="302"/>
      <c r="C26" s="276"/>
      <c r="D26" s="175" t="s">
        <v>53</v>
      </c>
      <c r="E26" s="295"/>
      <c r="F26" s="168">
        <f t="shared" ref="F26" si="56">E25/100*$C$5</f>
        <v>15.226549799999999</v>
      </c>
      <c r="G26" s="168">
        <f>-26.216</f>
        <v>-26.216000000000001</v>
      </c>
      <c r="H26" s="168">
        <f t="shared" ref="H26" si="57">F26+G26+J25</f>
        <v>3.2976582999999859</v>
      </c>
      <c r="I26" s="75"/>
      <c r="J26" s="168">
        <f t="shared" si="13"/>
        <v>3.2976582999999859</v>
      </c>
      <c r="K26" s="43">
        <f t="shared" si="10"/>
        <v>0</v>
      </c>
      <c r="L26" s="272"/>
      <c r="M26" s="272"/>
      <c r="N26" s="272"/>
      <c r="O26" s="272"/>
      <c r="P26" s="272"/>
      <c r="Q26" s="245"/>
    </row>
    <row r="27" spans="2:17" ht="15" customHeight="1" x14ac:dyDescent="0.2">
      <c r="B27" s="302"/>
      <c r="C27" s="276" t="s">
        <v>32</v>
      </c>
      <c r="D27" s="175" t="s">
        <v>52</v>
      </c>
      <c r="E27" s="295">
        <v>0.1</v>
      </c>
      <c r="F27" s="168">
        <f>E27/100*$C$4</f>
        <v>0.91500000000000004</v>
      </c>
      <c r="G27" s="168"/>
      <c r="H27" s="168">
        <f t="shared" ref="H27" si="58">F27+G27</f>
        <v>0.91500000000000004</v>
      </c>
      <c r="I27" s="75"/>
      <c r="J27" s="168">
        <f t="shared" si="13"/>
        <v>0.91500000000000004</v>
      </c>
      <c r="K27" s="43">
        <f t="shared" si="10"/>
        <v>0</v>
      </c>
      <c r="L27" s="244">
        <f t="shared" ref="L27" si="59">F27+F28</f>
        <v>1.0170000000000001</v>
      </c>
      <c r="M27" s="244">
        <f t="shared" ref="M27" si="60">G27+G28</f>
        <v>0</v>
      </c>
      <c r="N27" s="244">
        <f t="shared" ref="N27" si="61">L27+M27</f>
        <v>1.0170000000000001</v>
      </c>
      <c r="O27" s="244">
        <f t="shared" ref="O27" si="62">I27+I28</f>
        <v>0</v>
      </c>
      <c r="P27" s="244">
        <f t="shared" ref="P27" si="63">N27-O27</f>
        <v>1.0170000000000001</v>
      </c>
      <c r="Q27" s="245">
        <f t="shared" ref="Q27" si="64">O27/N27</f>
        <v>0</v>
      </c>
    </row>
    <row r="28" spans="2:17" ht="15" customHeight="1" x14ac:dyDescent="0.2">
      <c r="B28" s="302"/>
      <c r="C28" s="276"/>
      <c r="D28" s="175" t="s">
        <v>53</v>
      </c>
      <c r="E28" s="295"/>
      <c r="F28" s="168">
        <f t="shared" ref="F28" si="65">E27/100*$C$5</f>
        <v>0.10200000000000001</v>
      </c>
      <c r="G28" s="168"/>
      <c r="H28" s="168">
        <f t="shared" ref="H28" si="66">F28+G28+J27</f>
        <v>1.0170000000000001</v>
      </c>
      <c r="I28" s="75"/>
      <c r="J28" s="168">
        <f t="shared" si="13"/>
        <v>1.0170000000000001</v>
      </c>
      <c r="K28" s="43">
        <f t="shared" si="10"/>
        <v>0</v>
      </c>
      <c r="L28" s="272"/>
      <c r="M28" s="272"/>
      <c r="N28" s="272"/>
      <c r="O28" s="272"/>
      <c r="P28" s="272"/>
      <c r="Q28" s="245"/>
    </row>
    <row r="29" spans="2:17" ht="15" customHeight="1" x14ac:dyDescent="0.2">
      <c r="B29" s="302"/>
      <c r="C29" s="276" t="s">
        <v>33</v>
      </c>
      <c r="D29" s="175" t="s">
        <v>52</v>
      </c>
      <c r="E29" s="295">
        <v>2.5799999999999998E-3</v>
      </c>
      <c r="F29" s="168">
        <f t="shared" ref="F29" si="67">E29/100*$C$4</f>
        <v>2.3606999999999996E-2</v>
      </c>
      <c r="G29" s="168"/>
      <c r="H29" s="168">
        <f t="shared" ref="H29" si="68">F29+G29</f>
        <v>2.3606999999999996E-2</v>
      </c>
      <c r="I29" s="75"/>
      <c r="J29" s="168">
        <f t="shared" si="13"/>
        <v>2.3606999999999996E-2</v>
      </c>
      <c r="K29" s="43">
        <f t="shared" si="10"/>
        <v>0</v>
      </c>
      <c r="L29" s="244">
        <f t="shared" ref="L29" si="69">F29+F30</f>
        <v>2.6238599999999994E-2</v>
      </c>
      <c r="M29" s="244">
        <f t="shared" ref="M29" si="70">G29+G30</f>
        <v>0</v>
      </c>
      <c r="N29" s="244">
        <f t="shared" ref="N29" si="71">L29+M29</f>
        <v>2.6238599999999994E-2</v>
      </c>
      <c r="O29" s="244">
        <f t="shared" ref="O29" si="72">I29+I30</f>
        <v>0</v>
      </c>
      <c r="P29" s="244">
        <f t="shared" ref="P29" si="73">N29-O29</f>
        <v>2.6238599999999994E-2</v>
      </c>
      <c r="Q29" s="245">
        <f t="shared" ref="Q29" si="74">O29/N29</f>
        <v>0</v>
      </c>
    </row>
    <row r="30" spans="2:17" ht="15" customHeight="1" x14ac:dyDescent="0.2">
      <c r="B30" s="302"/>
      <c r="C30" s="276"/>
      <c r="D30" s="175" t="s">
        <v>53</v>
      </c>
      <c r="E30" s="295"/>
      <c r="F30" s="168">
        <f t="shared" ref="F30" si="75">E29/100*$C$5</f>
        <v>2.6315999999999996E-3</v>
      </c>
      <c r="G30" s="168"/>
      <c r="H30" s="168">
        <f t="shared" ref="H30" si="76">F30+G30+J29</f>
        <v>2.6238599999999994E-2</v>
      </c>
      <c r="I30" s="75"/>
      <c r="J30" s="168">
        <f t="shared" si="13"/>
        <v>2.6238599999999994E-2</v>
      </c>
      <c r="K30" s="43">
        <f t="shared" si="10"/>
        <v>0</v>
      </c>
      <c r="L30" s="272"/>
      <c r="M30" s="272"/>
      <c r="N30" s="272"/>
      <c r="O30" s="272"/>
      <c r="P30" s="272"/>
      <c r="Q30" s="245"/>
    </row>
    <row r="31" spans="2:17" ht="15" customHeight="1" x14ac:dyDescent="0.2">
      <c r="B31" s="302"/>
      <c r="C31" s="276" t="s">
        <v>35</v>
      </c>
      <c r="D31" s="175" t="s">
        <v>52</v>
      </c>
      <c r="E31" s="295">
        <v>13.286137</v>
      </c>
      <c r="F31" s="168">
        <f t="shared" ref="F31" si="77">E31/100*$C$4</f>
        <v>121.56815355000001</v>
      </c>
      <c r="G31" s="168">
        <f>-63.156-56.185</f>
        <v>-119.34100000000001</v>
      </c>
      <c r="H31" s="168">
        <f>F31+G31</f>
        <v>2.227153549999997</v>
      </c>
      <c r="I31" s="75"/>
      <c r="J31" s="168">
        <f t="shared" si="13"/>
        <v>2.227153549999997</v>
      </c>
      <c r="K31" s="43">
        <f t="shared" si="10"/>
        <v>0</v>
      </c>
      <c r="L31" s="244">
        <f t="shared" ref="L31" si="78">F31+F32</f>
        <v>135.12001329</v>
      </c>
      <c r="M31" s="244">
        <f t="shared" ref="M31" si="79">G31+G32</f>
        <v>-119.34100000000001</v>
      </c>
      <c r="N31" s="244">
        <f t="shared" ref="N31" si="80">L31+M31</f>
        <v>15.779013289999995</v>
      </c>
      <c r="O31" s="244">
        <f t="shared" ref="O31" si="81">I31+I32</f>
        <v>0</v>
      </c>
      <c r="P31" s="244">
        <f t="shared" ref="P31" si="82">N31-O31</f>
        <v>15.779013289999995</v>
      </c>
      <c r="Q31" s="245">
        <f t="shared" ref="Q31" si="83">O31/N31</f>
        <v>0</v>
      </c>
    </row>
    <row r="32" spans="2:17" ht="15" customHeight="1" x14ac:dyDescent="0.2">
      <c r="B32" s="302"/>
      <c r="C32" s="276"/>
      <c r="D32" s="175" t="s">
        <v>53</v>
      </c>
      <c r="E32" s="295"/>
      <c r="F32" s="168">
        <f t="shared" ref="F32" si="84">E31/100*$C$5</f>
        <v>13.551859740000001</v>
      </c>
      <c r="G32" s="168"/>
      <c r="H32" s="168">
        <f t="shared" ref="H32" si="85">F32+G32+J31</f>
        <v>15.779013289999998</v>
      </c>
      <c r="I32" s="75"/>
      <c r="J32" s="168">
        <f t="shared" si="13"/>
        <v>15.779013289999998</v>
      </c>
      <c r="K32" s="43">
        <f t="shared" si="10"/>
        <v>0</v>
      </c>
      <c r="L32" s="272"/>
      <c r="M32" s="272"/>
      <c r="N32" s="272"/>
      <c r="O32" s="272"/>
      <c r="P32" s="272"/>
      <c r="Q32" s="245"/>
    </row>
    <row r="33" spans="2:17" ht="15" customHeight="1" x14ac:dyDescent="0.2">
      <c r="B33" s="302"/>
      <c r="C33" s="276" t="s">
        <v>36</v>
      </c>
      <c r="D33" s="175" t="s">
        <v>52</v>
      </c>
      <c r="E33" s="295">
        <v>2.0100000000000001E-3</v>
      </c>
      <c r="F33" s="168">
        <f t="shared" ref="F33" si="86">E33/100*$C$4</f>
        <v>1.8391500000000002E-2</v>
      </c>
      <c r="G33" s="168"/>
      <c r="H33" s="168">
        <f t="shared" ref="H33" si="87">F33+G33</f>
        <v>1.8391500000000002E-2</v>
      </c>
      <c r="I33" s="75"/>
      <c r="J33" s="168">
        <f t="shared" si="13"/>
        <v>1.8391500000000002E-2</v>
      </c>
      <c r="K33" s="43">
        <f t="shared" si="10"/>
        <v>0</v>
      </c>
      <c r="L33" s="244">
        <f t="shared" ref="L33" si="88">F33+F34</f>
        <v>2.04417E-2</v>
      </c>
      <c r="M33" s="244">
        <f t="shared" ref="M33" si="89">G33+G34</f>
        <v>0</v>
      </c>
      <c r="N33" s="244">
        <f t="shared" ref="N33" si="90">L33+M33</f>
        <v>2.04417E-2</v>
      </c>
      <c r="O33" s="244">
        <f t="shared" ref="O33" si="91">I33+I34</f>
        <v>0</v>
      </c>
      <c r="P33" s="244">
        <f t="shared" ref="P33" si="92">N33-O33</f>
        <v>2.04417E-2</v>
      </c>
      <c r="Q33" s="245">
        <f t="shared" ref="Q33" si="93">O33/N33</f>
        <v>0</v>
      </c>
    </row>
    <row r="34" spans="2:17" ht="15" customHeight="1" x14ac:dyDescent="0.2">
      <c r="B34" s="302"/>
      <c r="C34" s="276"/>
      <c r="D34" s="175" t="s">
        <v>53</v>
      </c>
      <c r="E34" s="295"/>
      <c r="F34" s="168">
        <f t="shared" ref="F34" si="94">E33/100*$C$5</f>
        <v>2.0502000000000003E-3</v>
      </c>
      <c r="G34" s="168"/>
      <c r="H34" s="168">
        <f t="shared" ref="H34" si="95">F34+G34+J33</f>
        <v>2.04417E-2</v>
      </c>
      <c r="I34" s="75"/>
      <c r="J34" s="168">
        <f t="shared" si="13"/>
        <v>2.04417E-2</v>
      </c>
      <c r="K34" s="43">
        <f t="shared" si="10"/>
        <v>0</v>
      </c>
      <c r="L34" s="272"/>
      <c r="M34" s="272"/>
      <c r="N34" s="272"/>
      <c r="O34" s="272"/>
      <c r="P34" s="272"/>
      <c r="Q34" s="245"/>
    </row>
    <row r="35" spans="2:17" ht="15" customHeight="1" x14ac:dyDescent="0.2">
      <c r="B35" s="302"/>
      <c r="C35" s="276" t="s">
        <v>179</v>
      </c>
      <c r="D35" s="175" t="s">
        <v>52</v>
      </c>
      <c r="E35" s="295">
        <v>0.35650500000000002</v>
      </c>
      <c r="F35" s="168">
        <f t="shared" ref="F35" si="96">E35/100*$C$4</f>
        <v>3.26202075</v>
      </c>
      <c r="G35" s="168"/>
      <c r="H35" s="168">
        <f t="shared" ref="H35" si="97">F35+G35</f>
        <v>3.26202075</v>
      </c>
      <c r="I35" s="184">
        <v>2.9000000000000001E-2</v>
      </c>
      <c r="J35" s="168">
        <f t="shared" si="13"/>
        <v>3.2330207500000001</v>
      </c>
      <c r="K35" s="43">
        <f t="shared" si="10"/>
        <v>8.890194827853257E-3</v>
      </c>
      <c r="L35" s="244">
        <f t="shared" ref="L35" si="98">F35+F36</f>
        <v>3.6256558500000002</v>
      </c>
      <c r="M35" s="244">
        <f t="shared" ref="M35" si="99">G35+G36</f>
        <v>0</v>
      </c>
      <c r="N35" s="244">
        <f t="shared" ref="N35" si="100">L35+M35</f>
        <v>3.6256558500000002</v>
      </c>
      <c r="O35" s="244">
        <f t="shared" ref="O35" si="101">I35+I36</f>
        <v>2.9000000000000001E-2</v>
      </c>
      <c r="P35" s="244">
        <f t="shared" ref="P35" si="102">N35-O35</f>
        <v>3.5966558500000003</v>
      </c>
      <c r="Q35" s="245">
        <f t="shared" ref="Q35" si="103">O35/N35</f>
        <v>7.998552868717531E-3</v>
      </c>
    </row>
    <row r="36" spans="2:17" ht="15" customHeight="1" x14ac:dyDescent="0.2">
      <c r="B36" s="302"/>
      <c r="C36" s="276"/>
      <c r="D36" s="175" t="s">
        <v>53</v>
      </c>
      <c r="E36" s="295"/>
      <c r="F36" s="168">
        <f t="shared" ref="F36" si="104">E35/100*$C$5</f>
        <v>0.36363509999999999</v>
      </c>
      <c r="G36" s="168"/>
      <c r="H36" s="168">
        <f t="shared" ref="H36" si="105">F36+G36+J35</f>
        <v>3.5966558500000003</v>
      </c>
      <c r="I36" s="75"/>
      <c r="J36" s="168">
        <f t="shared" si="13"/>
        <v>3.5966558500000003</v>
      </c>
      <c r="K36" s="43">
        <f t="shared" si="10"/>
        <v>0</v>
      </c>
      <c r="L36" s="272"/>
      <c r="M36" s="272"/>
      <c r="N36" s="272"/>
      <c r="O36" s="272"/>
      <c r="P36" s="272"/>
      <c r="Q36" s="245"/>
    </row>
    <row r="37" spans="2:17" ht="15" customHeight="1" x14ac:dyDescent="0.2">
      <c r="B37" s="302"/>
      <c r="C37" s="276" t="s">
        <v>38</v>
      </c>
      <c r="D37" s="175" t="s">
        <v>52</v>
      </c>
      <c r="E37" s="295">
        <v>0</v>
      </c>
      <c r="F37" s="168">
        <f t="shared" ref="F37" si="106">E37/100*$C$4</f>
        <v>0</v>
      </c>
      <c r="G37" s="168"/>
      <c r="H37" s="168">
        <f t="shared" ref="H37" si="107">F37+G37</f>
        <v>0</v>
      </c>
      <c r="I37" s="75"/>
      <c r="J37" s="168">
        <f t="shared" ref="J37:J38" si="108">H37-I37</f>
        <v>0</v>
      </c>
      <c r="K37" s="43" t="e">
        <f t="shared" ref="K37:K38" si="109">I37/H37</f>
        <v>#DIV/0!</v>
      </c>
      <c r="L37" s="244">
        <f t="shared" ref="L37" si="110">F37+F38</f>
        <v>0</v>
      </c>
      <c r="M37" s="244">
        <f t="shared" ref="M37" si="111">G37+G38</f>
        <v>0</v>
      </c>
      <c r="N37" s="244">
        <f t="shared" ref="N37" si="112">L37+M37</f>
        <v>0</v>
      </c>
      <c r="O37" s="244">
        <f t="shared" ref="O37" si="113">I37+I38</f>
        <v>0</v>
      </c>
      <c r="P37" s="244">
        <f t="shared" ref="P37" si="114">N37-O37</f>
        <v>0</v>
      </c>
      <c r="Q37" s="245" t="e">
        <f t="shared" ref="Q37" si="115">O37/N37</f>
        <v>#DIV/0!</v>
      </c>
    </row>
    <row r="38" spans="2:17" ht="15" customHeight="1" x14ac:dyDescent="0.2">
      <c r="B38" s="302"/>
      <c r="C38" s="276"/>
      <c r="D38" s="175" t="s">
        <v>53</v>
      </c>
      <c r="E38" s="295"/>
      <c r="F38" s="168">
        <f t="shared" ref="F38" si="116">E37/100*$C$5</f>
        <v>0</v>
      </c>
      <c r="G38" s="168"/>
      <c r="H38" s="168">
        <f t="shared" ref="H38" si="117">F38+G38+J37</f>
        <v>0</v>
      </c>
      <c r="I38" s="75"/>
      <c r="J38" s="168">
        <f t="shared" si="108"/>
        <v>0</v>
      </c>
      <c r="K38" s="43" t="e">
        <f t="shared" si="109"/>
        <v>#DIV/0!</v>
      </c>
      <c r="L38" s="272"/>
      <c r="M38" s="272"/>
      <c r="N38" s="272"/>
      <c r="O38" s="272"/>
      <c r="P38" s="272"/>
      <c r="Q38" s="245"/>
    </row>
    <row r="39" spans="2:17" ht="15" customHeight="1" x14ac:dyDescent="0.2">
      <c r="B39" s="302"/>
      <c r="C39" s="276" t="s">
        <v>147</v>
      </c>
      <c r="D39" s="175" t="s">
        <v>52</v>
      </c>
      <c r="E39" s="295">
        <v>5.4599999999999996E-3</v>
      </c>
      <c r="F39" s="168">
        <f t="shared" ref="F39" si="118">E39/100*$C$4</f>
        <v>4.9958999999999996E-2</v>
      </c>
      <c r="G39" s="168"/>
      <c r="H39" s="168">
        <f t="shared" ref="H39" si="119">F39+G39</f>
        <v>4.9958999999999996E-2</v>
      </c>
      <c r="I39" s="184">
        <v>3.6999999999999998E-2</v>
      </c>
      <c r="J39" s="168">
        <f t="shared" ref="J39:J40" si="120">H39-I39</f>
        <v>1.2958999999999998E-2</v>
      </c>
      <c r="K39" s="43">
        <f t="shared" ref="K39:K40" si="121">I39/H39</f>
        <v>0.74060729798434721</v>
      </c>
      <c r="L39" s="244">
        <f t="shared" ref="L39" si="122">F39+F40</f>
        <v>5.55282E-2</v>
      </c>
      <c r="M39" s="244">
        <f t="shared" ref="M39" si="123">G39+G40</f>
        <v>0</v>
      </c>
      <c r="N39" s="244">
        <f t="shared" ref="N39" si="124">L39+M39</f>
        <v>5.55282E-2</v>
      </c>
      <c r="O39" s="244">
        <f t="shared" ref="O39" si="125">I39+I40</f>
        <v>3.6999999999999998E-2</v>
      </c>
      <c r="P39" s="244">
        <f t="shared" ref="P39" si="126">N39-O39</f>
        <v>1.8528200000000002E-2</v>
      </c>
      <c r="Q39" s="245">
        <f t="shared" ref="Q39" si="127">O39/N39</f>
        <v>0.66632809995641851</v>
      </c>
    </row>
    <row r="40" spans="2:17" ht="15" customHeight="1" x14ac:dyDescent="0.2">
      <c r="B40" s="302"/>
      <c r="C40" s="276"/>
      <c r="D40" s="175" t="s">
        <v>53</v>
      </c>
      <c r="E40" s="295"/>
      <c r="F40" s="168">
        <f t="shared" ref="F40" si="128">E39/100*$C$5</f>
        <v>5.5691999999999998E-3</v>
      </c>
      <c r="G40" s="168"/>
      <c r="H40" s="168">
        <f t="shared" ref="H40" si="129">F40+G40+J39</f>
        <v>1.8528199999999998E-2</v>
      </c>
      <c r="I40" s="75"/>
      <c r="J40" s="168">
        <f t="shared" si="120"/>
        <v>1.8528199999999998E-2</v>
      </c>
      <c r="K40" s="43">
        <f t="shared" si="121"/>
        <v>0</v>
      </c>
      <c r="L40" s="272"/>
      <c r="M40" s="272"/>
      <c r="N40" s="272"/>
      <c r="O40" s="272"/>
      <c r="P40" s="272"/>
      <c r="Q40" s="245"/>
    </row>
    <row r="41" spans="2:17" ht="15" customHeight="1" x14ac:dyDescent="0.2">
      <c r="B41" s="302"/>
      <c r="C41" s="276" t="s">
        <v>164</v>
      </c>
      <c r="D41" s="175" t="s">
        <v>52</v>
      </c>
      <c r="E41" s="295">
        <v>6.3775499999999999E-2</v>
      </c>
      <c r="F41" s="168">
        <f t="shared" ref="F41" si="130">E41/100*$C$4</f>
        <v>0.58354582499999996</v>
      </c>
      <c r="G41" s="168"/>
      <c r="H41" s="168">
        <f t="shared" ref="H41" si="131">F41+G41</f>
        <v>0.58354582499999996</v>
      </c>
      <c r="I41" s="75"/>
      <c r="J41" s="168">
        <f t="shared" ref="J41:J42" si="132">H41-I41</f>
        <v>0.58354582499999996</v>
      </c>
      <c r="K41" s="43">
        <f t="shared" ref="K41:K42" si="133">I41/H41</f>
        <v>0</v>
      </c>
      <c r="L41" s="244">
        <f t="shared" ref="L41" si="134">F41+F42</f>
        <v>0.64859683499999998</v>
      </c>
      <c r="M41" s="244">
        <f t="shared" ref="M41" si="135">G41+G42</f>
        <v>0</v>
      </c>
      <c r="N41" s="244">
        <f t="shared" ref="N41" si="136">L41+M41</f>
        <v>0.64859683499999998</v>
      </c>
      <c r="O41" s="244">
        <f t="shared" ref="O41" si="137">I41+I42</f>
        <v>0</v>
      </c>
      <c r="P41" s="244">
        <f t="shared" ref="P41" si="138">N41-O41</f>
        <v>0.64859683499999998</v>
      </c>
      <c r="Q41" s="245">
        <f t="shared" ref="Q41" si="139">O41/N41</f>
        <v>0</v>
      </c>
    </row>
    <row r="42" spans="2:17" ht="15" customHeight="1" x14ac:dyDescent="0.2">
      <c r="B42" s="302"/>
      <c r="C42" s="276"/>
      <c r="D42" s="175" t="s">
        <v>53</v>
      </c>
      <c r="E42" s="296"/>
      <c r="F42" s="40">
        <f t="shared" ref="F42" si="140">E41/100*$C$5</f>
        <v>6.5051009999999992E-2</v>
      </c>
      <c r="G42" s="40"/>
      <c r="H42" s="40">
        <f t="shared" ref="H42" si="141">F42+G42+J41</f>
        <v>0.64859683499999998</v>
      </c>
      <c r="I42" s="172"/>
      <c r="J42" s="40">
        <f t="shared" si="132"/>
        <v>0.64859683499999998</v>
      </c>
      <c r="K42" s="148">
        <f t="shared" si="133"/>
        <v>0</v>
      </c>
      <c r="L42" s="279"/>
      <c r="M42" s="279"/>
      <c r="N42" s="279"/>
      <c r="O42" s="279"/>
      <c r="P42" s="279"/>
      <c r="Q42" s="300"/>
    </row>
    <row r="43" spans="2:17" ht="15" customHeight="1" x14ac:dyDescent="0.2">
      <c r="B43" s="302"/>
      <c r="C43" s="276" t="s">
        <v>145</v>
      </c>
      <c r="D43" s="175" t="s">
        <v>52</v>
      </c>
      <c r="E43" s="295">
        <v>4.48E-2</v>
      </c>
      <c r="F43" s="168">
        <f>E43/100*$C$4</f>
        <v>0.40992000000000001</v>
      </c>
      <c r="G43" s="168"/>
      <c r="H43" s="168">
        <f t="shared" ref="H43" si="142">F43+G43</f>
        <v>0.40992000000000001</v>
      </c>
      <c r="I43" s="75"/>
      <c r="J43" s="168">
        <f t="shared" si="13"/>
        <v>0.40992000000000001</v>
      </c>
      <c r="K43" s="43">
        <f t="shared" si="10"/>
        <v>0</v>
      </c>
      <c r="L43" s="244">
        <f>F43+F44</f>
        <v>0.45561600000000002</v>
      </c>
      <c r="M43" s="244">
        <f>G43+G44</f>
        <v>0</v>
      </c>
      <c r="N43" s="244">
        <f t="shared" ref="N43" si="143">L43+M43</f>
        <v>0.45561600000000002</v>
      </c>
      <c r="O43" s="244">
        <f>I43+I44</f>
        <v>0</v>
      </c>
      <c r="P43" s="244">
        <f t="shared" ref="P43" si="144">N43-O43</f>
        <v>0.45561600000000002</v>
      </c>
      <c r="Q43" s="245">
        <f t="shared" ref="Q43" si="145">O43/N43</f>
        <v>0</v>
      </c>
    </row>
    <row r="44" spans="2:17" ht="15.75" customHeight="1" x14ac:dyDescent="0.2">
      <c r="B44" s="302"/>
      <c r="C44" s="276"/>
      <c r="D44" s="175" t="s">
        <v>53</v>
      </c>
      <c r="E44" s="295"/>
      <c r="F44" s="168">
        <f>E43/100*$C$5</f>
        <v>4.5696000000000001E-2</v>
      </c>
      <c r="G44" s="168"/>
      <c r="H44" s="168">
        <f>F44+G44+J43</f>
        <v>0.45561600000000002</v>
      </c>
      <c r="I44" s="75"/>
      <c r="J44" s="168">
        <f t="shared" si="13"/>
        <v>0.45561600000000002</v>
      </c>
      <c r="K44" s="43">
        <f t="shared" si="10"/>
        <v>0</v>
      </c>
      <c r="L44" s="272"/>
      <c r="M44" s="272"/>
      <c r="N44" s="272"/>
      <c r="O44" s="272"/>
      <c r="P44" s="272"/>
      <c r="Q44" s="245"/>
    </row>
    <row r="45" spans="2:17" ht="15" customHeight="1" x14ac:dyDescent="0.2">
      <c r="B45" s="302"/>
      <c r="C45" s="276" t="s">
        <v>165</v>
      </c>
      <c r="D45" s="175" t="s">
        <v>52</v>
      </c>
      <c r="E45" s="306">
        <v>5.2266300000000001</v>
      </c>
      <c r="F45" s="168">
        <f>E45/100*$C$4</f>
        <v>47.8236645</v>
      </c>
      <c r="G45" s="168"/>
      <c r="H45" s="168">
        <f t="shared" ref="H45" si="146">F45+G45</f>
        <v>47.8236645</v>
      </c>
      <c r="I45" s="184">
        <v>8.5549999999999997</v>
      </c>
      <c r="J45" s="168">
        <f t="shared" ref="J45:J46" si="147">H45-I45</f>
        <v>39.2686645</v>
      </c>
      <c r="K45" s="43">
        <f t="shared" ref="K45:K46" si="148">I45/H45</f>
        <v>0.17888633356400366</v>
      </c>
      <c r="L45" s="244">
        <f>F45+F46</f>
        <v>53.154827099999999</v>
      </c>
      <c r="M45" s="244">
        <f>G45+G46</f>
        <v>0</v>
      </c>
      <c r="N45" s="244">
        <f t="shared" ref="N45" si="149">L45+M45</f>
        <v>53.154827099999999</v>
      </c>
      <c r="O45" s="244">
        <f>I45+I46</f>
        <v>8.5549999999999997</v>
      </c>
      <c r="P45" s="244">
        <f t="shared" ref="P45" si="150">N45-O45</f>
        <v>44.599827099999999</v>
      </c>
      <c r="Q45" s="245">
        <f t="shared" ref="Q45" si="151">O45/N45</f>
        <v>0.1609449313776434</v>
      </c>
    </row>
    <row r="46" spans="2:17" ht="15" customHeight="1" thickBot="1" x14ac:dyDescent="0.25">
      <c r="B46" s="303"/>
      <c r="C46" s="305"/>
      <c r="D46" s="176" t="s">
        <v>53</v>
      </c>
      <c r="E46" s="307"/>
      <c r="F46" s="169">
        <f>E45/100*$C$5</f>
        <v>5.3311625999999999</v>
      </c>
      <c r="G46" s="169"/>
      <c r="H46" s="169">
        <f>F46+G46+J45</f>
        <v>44.599827099999999</v>
      </c>
      <c r="I46" s="108"/>
      <c r="J46" s="169">
        <f t="shared" si="147"/>
        <v>44.599827099999999</v>
      </c>
      <c r="K46" s="90">
        <f t="shared" si="148"/>
        <v>0</v>
      </c>
      <c r="L46" s="299"/>
      <c r="M46" s="299"/>
      <c r="N46" s="299"/>
      <c r="O46" s="299"/>
      <c r="P46" s="299"/>
      <c r="Q46" s="251"/>
    </row>
    <row r="47" spans="2:17" ht="12" customHeight="1" x14ac:dyDescent="0.2">
      <c r="B47" s="304" t="s">
        <v>104</v>
      </c>
      <c r="C47" s="275" t="s">
        <v>24</v>
      </c>
      <c r="D47" s="107" t="s">
        <v>52</v>
      </c>
      <c r="E47" s="293">
        <v>9.5500000000000007</v>
      </c>
      <c r="F47" s="41">
        <f>E47/100*$D$4</f>
        <v>106.86450000000001</v>
      </c>
      <c r="G47" s="41"/>
      <c r="H47" s="41">
        <f t="shared" ref="H47" si="152">F47+G47</f>
        <v>106.86450000000001</v>
      </c>
      <c r="I47" s="184">
        <v>117.96899999999999</v>
      </c>
      <c r="J47" s="41">
        <f t="shared" si="13"/>
        <v>-11.104499999999987</v>
      </c>
      <c r="K47" s="39">
        <f t="shared" si="10"/>
        <v>1.1039119632806029</v>
      </c>
      <c r="L47" s="298">
        <f>F47+F48</f>
        <v>118.70650000000001</v>
      </c>
      <c r="M47" s="298">
        <f>G47+G48</f>
        <v>0</v>
      </c>
      <c r="N47" s="298">
        <f>L47+M47</f>
        <v>118.70650000000001</v>
      </c>
      <c r="O47" s="298">
        <f t="shared" ref="O47" si="153">I47+I48</f>
        <v>117.96899999999999</v>
      </c>
      <c r="P47" s="298">
        <f>N47-O47</f>
        <v>0.73750000000001137</v>
      </c>
      <c r="Q47" s="308">
        <f t="shared" ref="Q47" si="154">O47/N47</f>
        <v>0.99378719783668112</v>
      </c>
    </row>
    <row r="48" spans="2:17" ht="15" customHeight="1" x14ac:dyDescent="0.2">
      <c r="B48" s="304"/>
      <c r="C48" s="273"/>
      <c r="D48" s="102" t="s">
        <v>53</v>
      </c>
      <c r="E48" s="274"/>
      <c r="F48" s="42">
        <f>E47/100*$D$5</f>
        <v>11.842000000000001</v>
      </c>
      <c r="G48" s="42"/>
      <c r="H48" s="42">
        <f t="shared" ref="H48" si="155">F48+G48+J47</f>
        <v>0.73750000000001315</v>
      </c>
      <c r="I48" s="75"/>
      <c r="J48" s="42">
        <f t="shared" si="13"/>
        <v>0.73750000000001315</v>
      </c>
      <c r="K48" s="43">
        <f t="shared" si="10"/>
        <v>0</v>
      </c>
      <c r="L48" s="272"/>
      <c r="M48" s="272"/>
      <c r="N48" s="272"/>
      <c r="O48" s="272"/>
      <c r="P48" s="272"/>
      <c r="Q48" s="245"/>
    </row>
    <row r="49" spans="2:17" ht="15" customHeight="1" x14ac:dyDescent="0.2">
      <c r="B49" s="304"/>
      <c r="C49" s="273" t="s">
        <v>25</v>
      </c>
      <c r="D49" s="102" t="s">
        <v>52</v>
      </c>
      <c r="E49" s="274">
        <v>2.1226232</v>
      </c>
      <c r="F49" s="42">
        <f t="shared" ref="F49" si="156">E49/100*$D$4</f>
        <v>23.752153608</v>
      </c>
      <c r="G49" s="42"/>
      <c r="H49" s="42">
        <f t="shared" ref="H49" si="157">F49+G49</f>
        <v>23.752153608</v>
      </c>
      <c r="I49" s="184">
        <v>0.67100000000000004</v>
      </c>
      <c r="J49" s="42">
        <f>H49-I49</f>
        <v>23.081153608000001</v>
      </c>
      <c r="K49" s="43">
        <f>I49/H49</f>
        <v>2.8250069912565717E-2</v>
      </c>
      <c r="L49" s="244">
        <f t="shared" ref="L49" si="158">F49+F50</f>
        <v>26.384206376000002</v>
      </c>
      <c r="M49" s="244">
        <f t="shared" ref="M49" si="159">G49+G50</f>
        <v>0</v>
      </c>
      <c r="N49" s="244">
        <f t="shared" ref="N49" si="160">L49+M49</f>
        <v>26.384206376000002</v>
      </c>
      <c r="O49" s="244">
        <f>I49+I50</f>
        <v>0.67100000000000004</v>
      </c>
      <c r="P49" s="244">
        <f t="shared" ref="P49" si="161">N49-O49</f>
        <v>25.713206376000002</v>
      </c>
      <c r="Q49" s="245">
        <f t="shared" ref="Q49" si="162">O49/N49</f>
        <v>2.5431881120000832E-2</v>
      </c>
    </row>
    <row r="50" spans="2:17" ht="15" customHeight="1" x14ac:dyDescent="0.2">
      <c r="B50" s="304"/>
      <c r="C50" s="273"/>
      <c r="D50" s="102" t="s">
        <v>53</v>
      </c>
      <c r="E50" s="274"/>
      <c r="F50" s="42">
        <f t="shared" ref="F50" si="163">E49/100*$D$5</f>
        <v>2.6320527680000003</v>
      </c>
      <c r="G50" s="42"/>
      <c r="H50" s="42">
        <f t="shared" ref="H50" si="164">F50+G50+J49</f>
        <v>25.713206376000002</v>
      </c>
      <c r="I50" s="75"/>
      <c r="J50" s="42">
        <f t="shared" si="13"/>
        <v>25.713206376000002</v>
      </c>
      <c r="K50" s="43">
        <f t="shared" si="10"/>
        <v>0</v>
      </c>
      <c r="L50" s="272"/>
      <c r="M50" s="272"/>
      <c r="N50" s="272"/>
      <c r="O50" s="272"/>
      <c r="P50" s="272"/>
      <c r="Q50" s="245"/>
    </row>
    <row r="51" spans="2:17" ht="15" customHeight="1" x14ac:dyDescent="0.2">
      <c r="B51" s="304"/>
      <c r="C51" s="273" t="s">
        <v>27</v>
      </c>
      <c r="D51" s="102" t="s">
        <v>52</v>
      </c>
      <c r="E51" s="274">
        <v>26.334540000000001</v>
      </c>
      <c r="F51" s="42">
        <f t="shared" ref="F51" si="165">E51/100*$D$4</f>
        <v>294.6835026</v>
      </c>
      <c r="G51" s="42">
        <v>62</v>
      </c>
      <c r="H51" s="42">
        <f t="shared" ref="H51" si="166">F51+G51</f>
        <v>356.6835026</v>
      </c>
      <c r="I51" s="184">
        <v>271.33499999999998</v>
      </c>
      <c r="J51" s="42">
        <f t="shared" si="13"/>
        <v>85.348502600000018</v>
      </c>
      <c r="K51" s="43">
        <f t="shared" si="10"/>
        <v>0.76071642793159</v>
      </c>
      <c r="L51" s="244">
        <f t="shared" ref="L51" si="167">F51+F52</f>
        <v>327.33833219999997</v>
      </c>
      <c r="M51" s="244">
        <f t="shared" ref="M51" si="168">G51+G52</f>
        <v>-38</v>
      </c>
      <c r="N51" s="244">
        <f t="shared" ref="N51" si="169">L51+M51</f>
        <v>289.33833219999997</v>
      </c>
      <c r="O51" s="244">
        <f t="shared" ref="O51" si="170">I51+I52</f>
        <v>271.33499999999998</v>
      </c>
      <c r="P51" s="244">
        <f t="shared" ref="P51" si="171">N51-O51</f>
        <v>18.003332199999988</v>
      </c>
      <c r="Q51" s="245">
        <f t="shared" ref="Q51" si="172">O51/N51</f>
        <v>0.93777757664146788</v>
      </c>
    </row>
    <row r="52" spans="2:17" ht="15" customHeight="1" x14ac:dyDescent="0.2">
      <c r="B52" s="304"/>
      <c r="C52" s="273"/>
      <c r="D52" s="102" t="s">
        <v>53</v>
      </c>
      <c r="E52" s="274"/>
      <c r="F52" s="42">
        <f t="shared" ref="F52" si="173">E51/100*$D$5</f>
        <v>32.654829599999999</v>
      </c>
      <c r="G52" s="42">
        <v>-100</v>
      </c>
      <c r="H52" s="42">
        <f t="shared" ref="H52" si="174">F52+G52+J51</f>
        <v>18.003332200000017</v>
      </c>
      <c r="I52" s="75"/>
      <c r="J52" s="42">
        <f t="shared" si="13"/>
        <v>18.003332200000017</v>
      </c>
      <c r="K52" s="43">
        <f t="shared" si="10"/>
        <v>0</v>
      </c>
      <c r="L52" s="272"/>
      <c r="M52" s="272"/>
      <c r="N52" s="272"/>
      <c r="O52" s="272"/>
      <c r="P52" s="272"/>
      <c r="Q52" s="245"/>
    </row>
    <row r="53" spans="2:17" ht="15" customHeight="1" x14ac:dyDescent="0.2">
      <c r="B53" s="304"/>
      <c r="C53" s="273" t="s">
        <v>28</v>
      </c>
      <c r="D53" s="102" t="s">
        <v>52</v>
      </c>
      <c r="E53" s="274">
        <v>27.764251900000001</v>
      </c>
      <c r="F53" s="42">
        <f t="shared" ref="F53" si="175">E53/100*$D$4</f>
        <v>310.68197876100004</v>
      </c>
      <c r="G53" s="42">
        <f>77.19-141.25+68.671</f>
        <v>4.6110000000000042</v>
      </c>
      <c r="H53" s="42">
        <f t="shared" ref="H53" si="176">F53+G53</f>
        <v>315.29297876100003</v>
      </c>
      <c r="I53" s="184">
        <f>369.166+113.774</f>
        <v>482.94</v>
      </c>
      <c r="J53" s="42">
        <f t="shared" si="13"/>
        <v>-167.64702123899997</v>
      </c>
      <c r="K53" s="43">
        <f t="shared" si="10"/>
        <v>1.5317182193456982</v>
      </c>
      <c r="L53" s="244">
        <f t="shared" ref="L53" si="177">F53+F54</f>
        <v>345.10965111700006</v>
      </c>
      <c r="M53" s="244">
        <f t="shared" ref="M53" si="178">G53+G54</f>
        <v>138.51100000000002</v>
      </c>
      <c r="N53" s="244">
        <f t="shared" ref="N53" si="179">L53+M53</f>
        <v>483.62065111700008</v>
      </c>
      <c r="O53" s="244">
        <f t="shared" ref="O53" si="180">I53+I54</f>
        <v>482.94</v>
      </c>
      <c r="P53" s="244">
        <f t="shared" ref="P53" si="181">N53-O53</f>
        <v>0.68065111700008174</v>
      </c>
      <c r="Q53" s="245">
        <f t="shared" ref="Q53" si="182">O53/N53</f>
        <v>0.99859259294360569</v>
      </c>
    </row>
    <row r="54" spans="2:17" ht="15" customHeight="1" x14ac:dyDescent="0.2">
      <c r="B54" s="304"/>
      <c r="C54" s="273"/>
      <c r="D54" s="102" t="s">
        <v>53</v>
      </c>
      <c r="E54" s="274"/>
      <c r="F54" s="42">
        <f t="shared" ref="F54" si="183">E53/100*$D$5</f>
        <v>34.427672356000002</v>
      </c>
      <c r="G54" s="42">
        <f>100+33.9</f>
        <v>133.9</v>
      </c>
      <c r="H54" s="42">
        <f t="shared" ref="H54" si="184">F54+G54+J53</f>
        <v>0.6806511170000249</v>
      </c>
      <c r="I54" s="75"/>
      <c r="J54" s="42">
        <f t="shared" si="13"/>
        <v>0.6806511170000249</v>
      </c>
      <c r="K54" s="43">
        <f t="shared" si="10"/>
        <v>0</v>
      </c>
      <c r="L54" s="272"/>
      <c r="M54" s="272"/>
      <c r="N54" s="272"/>
      <c r="O54" s="272"/>
      <c r="P54" s="272"/>
      <c r="Q54" s="245"/>
    </row>
    <row r="55" spans="2:17" ht="15" customHeight="1" x14ac:dyDescent="0.2">
      <c r="B55" s="304"/>
      <c r="C55" s="273" t="s">
        <v>29</v>
      </c>
      <c r="D55" s="102" t="s">
        <v>52</v>
      </c>
      <c r="E55" s="274">
        <v>0.2049965</v>
      </c>
      <c r="F55" s="42">
        <f t="shared" ref="F55" si="185">E55/100*$D$4</f>
        <v>2.2939108350000001</v>
      </c>
      <c r="G55" s="42"/>
      <c r="H55" s="42">
        <f t="shared" ref="H55" si="186">F55+G55</f>
        <v>2.2939108350000001</v>
      </c>
      <c r="I55" s="75"/>
      <c r="J55" s="42">
        <f t="shared" si="13"/>
        <v>2.2939108350000001</v>
      </c>
      <c r="K55" s="43">
        <f t="shared" si="10"/>
        <v>0</v>
      </c>
      <c r="L55" s="244">
        <f t="shared" ref="L55" si="187">F55+F56</f>
        <v>2.5481064950000003</v>
      </c>
      <c r="M55" s="244">
        <f t="shared" ref="M55" si="188">G55+G56</f>
        <v>0</v>
      </c>
      <c r="N55" s="244">
        <f t="shared" ref="N55" si="189">L55+M55</f>
        <v>2.5481064950000003</v>
      </c>
      <c r="O55" s="244">
        <f t="shared" ref="O55" si="190">I55+I56</f>
        <v>0</v>
      </c>
      <c r="P55" s="244">
        <f t="shared" ref="P55" si="191">N55-O55</f>
        <v>2.5481064950000003</v>
      </c>
      <c r="Q55" s="245">
        <f t="shared" ref="Q55" si="192">O55/N55</f>
        <v>0</v>
      </c>
    </row>
    <row r="56" spans="2:17" ht="15" customHeight="1" x14ac:dyDescent="0.2">
      <c r="B56" s="304"/>
      <c r="C56" s="273"/>
      <c r="D56" s="102" t="s">
        <v>53</v>
      </c>
      <c r="E56" s="274"/>
      <c r="F56" s="42">
        <f t="shared" ref="F56" si="193">E55/100*$D$5</f>
        <v>0.25419565999999999</v>
      </c>
      <c r="G56" s="42"/>
      <c r="H56" s="42">
        <f t="shared" ref="H56" si="194">F56+G56+J55</f>
        <v>2.5481064950000003</v>
      </c>
      <c r="I56" s="75"/>
      <c r="J56" s="42">
        <f t="shared" si="13"/>
        <v>2.5481064950000003</v>
      </c>
      <c r="K56" s="43">
        <f t="shared" si="10"/>
        <v>0</v>
      </c>
      <c r="L56" s="272"/>
      <c r="M56" s="272"/>
      <c r="N56" s="272"/>
      <c r="O56" s="272"/>
      <c r="P56" s="272"/>
      <c r="Q56" s="245"/>
    </row>
    <row r="57" spans="2:17" ht="15" customHeight="1" x14ac:dyDescent="0.2">
      <c r="B57" s="304"/>
      <c r="C57" s="273" t="s">
        <v>30</v>
      </c>
      <c r="D57" s="102" t="s">
        <v>52</v>
      </c>
      <c r="E57" s="274">
        <v>8.0000000000000002E-3</v>
      </c>
      <c r="F57" s="42">
        <f t="shared" ref="F57" si="195">E57/100*$D$4</f>
        <v>8.9520000000000002E-2</v>
      </c>
      <c r="G57" s="42"/>
      <c r="H57" s="42">
        <f t="shared" ref="H57" si="196">F57+G57</f>
        <v>8.9520000000000002E-2</v>
      </c>
      <c r="I57" s="75"/>
      <c r="J57" s="42">
        <f t="shared" si="13"/>
        <v>8.9520000000000002E-2</v>
      </c>
      <c r="K57" s="43">
        <f t="shared" si="10"/>
        <v>0</v>
      </c>
      <c r="L57" s="244">
        <f t="shared" ref="L57" si="197">F57+F58</f>
        <v>9.9440000000000001E-2</v>
      </c>
      <c r="M57" s="244">
        <f t="shared" ref="M57" si="198">G57+G58</f>
        <v>0</v>
      </c>
      <c r="N57" s="244">
        <f t="shared" ref="N57" si="199">L57+M57</f>
        <v>9.9440000000000001E-2</v>
      </c>
      <c r="O57" s="244">
        <f t="shared" ref="O57" si="200">I57+I58</f>
        <v>0</v>
      </c>
      <c r="P57" s="244">
        <f t="shared" ref="P57" si="201">N57-O57</f>
        <v>9.9440000000000001E-2</v>
      </c>
      <c r="Q57" s="245">
        <f t="shared" ref="Q57" si="202">O57/N57</f>
        <v>0</v>
      </c>
    </row>
    <row r="58" spans="2:17" ht="15" customHeight="1" x14ac:dyDescent="0.2">
      <c r="B58" s="304"/>
      <c r="C58" s="273"/>
      <c r="D58" s="102" t="s">
        <v>53</v>
      </c>
      <c r="E58" s="274"/>
      <c r="F58" s="42">
        <f t="shared" ref="F58" si="203">E57/100*$D$5</f>
        <v>9.92E-3</v>
      </c>
      <c r="G58" s="42"/>
      <c r="H58" s="42">
        <f t="shared" ref="H58" si="204">F58+G58+J57</f>
        <v>9.9440000000000001E-2</v>
      </c>
      <c r="I58" s="75"/>
      <c r="J58" s="42">
        <f t="shared" si="13"/>
        <v>9.9440000000000001E-2</v>
      </c>
      <c r="K58" s="43">
        <f t="shared" si="10"/>
        <v>0</v>
      </c>
      <c r="L58" s="272"/>
      <c r="M58" s="272"/>
      <c r="N58" s="272"/>
      <c r="O58" s="272"/>
      <c r="P58" s="272"/>
      <c r="Q58" s="245"/>
    </row>
    <row r="59" spans="2:17" ht="15" customHeight="1" x14ac:dyDescent="0.2">
      <c r="B59" s="304"/>
      <c r="C59" s="273" t="s">
        <v>31</v>
      </c>
      <c r="D59" s="102" t="s">
        <v>52</v>
      </c>
      <c r="E59" s="274">
        <v>14.927989999999999</v>
      </c>
      <c r="F59" s="42">
        <f t="shared" ref="F59" si="205">E59/100*$D$4</f>
        <v>167.04420809999999</v>
      </c>
      <c r="G59" s="42"/>
      <c r="H59" s="42">
        <f t="shared" ref="H59" si="206">F59+G59</f>
        <v>167.04420809999999</v>
      </c>
      <c r="I59" s="184">
        <f>28.094+82.108+56.229</f>
        <v>166.43099999999998</v>
      </c>
      <c r="J59" s="42">
        <f t="shared" si="13"/>
        <v>0.61320810000000847</v>
      </c>
      <c r="K59" s="43">
        <f t="shared" si="10"/>
        <v>0.99632906697589352</v>
      </c>
      <c r="L59" s="244">
        <f t="shared" ref="L59" si="207">F59+F60</f>
        <v>185.55491569999998</v>
      </c>
      <c r="M59" s="244">
        <f t="shared" ref="M59" si="208">G59+G60</f>
        <v>0</v>
      </c>
      <c r="N59" s="244">
        <f t="shared" ref="N59" si="209">L59+M59</f>
        <v>185.55491569999998</v>
      </c>
      <c r="O59" s="244">
        <f t="shared" ref="O59" si="210">I59+I60</f>
        <v>166.43099999999998</v>
      </c>
      <c r="P59" s="244">
        <f t="shared" ref="P59" si="211">N59-O59</f>
        <v>19.123915699999998</v>
      </c>
      <c r="Q59" s="245">
        <f t="shared" ref="Q59" si="212">O59/N59</f>
        <v>0.89693662586164513</v>
      </c>
    </row>
    <row r="60" spans="2:17" ht="15" customHeight="1" x14ac:dyDescent="0.2">
      <c r="B60" s="304"/>
      <c r="C60" s="273"/>
      <c r="D60" s="102" t="s">
        <v>53</v>
      </c>
      <c r="E60" s="274"/>
      <c r="F60" s="42">
        <f t="shared" ref="F60" si="213">E59/100*$D$5</f>
        <v>18.5107076</v>
      </c>
      <c r="G60" s="42"/>
      <c r="H60" s="42">
        <f t="shared" ref="H60" si="214">F60+G60+J59</f>
        <v>19.123915700000008</v>
      </c>
      <c r="I60" s="75"/>
      <c r="J60" s="42">
        <f t="shared" si="13"/>
        <v>19.123915700000008</v>
      </c>
      <c r="K60" s="43">
        <f t="shared" si="10"/>
        <v>0</v>
      </c>
      <c r="L60" s="272"/>
      <c r="M60" s="272"/>
      <c r="N60" s="272"/>
      <c r="O60" s="272"/>
      <c r="P60" s="272"/>
      <c r="Q60" s="245"/>
    </row>
    <row r="61" spans="2:17" ht="15" customHeight="1" x14ac:dyDescent="0.2">
      <c r="B61" s="304"/>
      <c r="C61" s="273" t="s">
        <v>32</v>
      </c>
      <c r="D61" s="102" t="s">
        <v>52</v>
      </c>
      <c r="E61" s="274">
        <v>0.1</v>
      </c>
      <c r="F61" s="42">
        <f t="shared" ref="F61" si="215">E61/100*$D$4</f>
        <v>1.119</v>
      </c>
      <c r="G61" s="42"/>
      <c r="H61" s="42">
        <f t="shared" ref="H61" si="216">F61+G61</f>
        <v>1.119</v>
      </c>
      <c r="I61" s="75"/>
      <c r="J61" s="42">
        <f t="shared" si="13"/>
        <v>1.119</v>
      </c>
      <c r="K61" s="43">
        <f t="shared" si="10"/>
        <v>0</v>
      </c>
      <c r="L61" s="244">
        <f t="shared" ref="L61" si="217">F61+F62</f>
        <v>1.2429999999999999</v>
      </c>
      <c r="M61" s="244">
        <f t="shared" ref="M61" si="218">G61+G62</f>
        <v>0</v>
      </c>
      <c r="N61" s="244">
        <f t="shared" ref="N61" si="219">L61+M61</f>
        <v>1.2429999999999999</v>
      </c>
      <c r="O61" s="244">
        <f t="shared" ref="O61" si="220">I61+I62</f>
        <v>0</v>
      </c>
      <c r="P61" s="244">
        <f t="shared" ref="P61" si="221">N61-O61</f>
        <v>1.2429999999999999</v>
      </c>
      <c r="Q61" s="245">
        <f t="shared" ref="Q61" si="222">O61/N61</f>
        <v>0</v>
      </c>
    </row>
    <row r="62" spans="2:17" ht="15" customHeight="1" x14ac:dyDescent="0.2">
      <c r="B62" s="304"/>
      <c r="C62" s="273"/>
      <c r="D62" s="102" t="s">
        <v>53</v>
      </c>
      <c r="E62" s="274"/>
      <c r="F62" s="42">
        <f t="shared" ref="F62" si="223">E61/100*$D$5</f>
        <v>0.124</v>
      </c>
      <c r="G62" s="42"/>
      <c r="H62" s="42">
        <f t="shared" ref="H62" si="224">F62+G62+J61</f>
        <v>1.2429999999999999</v>
      </c>
      <c r="I62" s="75"/>
      <c r="J62" s="42">
        <f t="shared" si="13"/>
        <v>1.2429999999999999</v>
      </c>
      <c r="K62" s="43">
        <f t="shared" si="10"/>
        <v>0</v>
      </c>
      <c r="L62" s="272"/>
      <c r="M62" s="272"/>
      <c r="N62" s="272"/>
      <c r="O62" s="272"/>
      <c r="P62" s="272"/>
      <c r="Q62" s="245"/>
    </row>
    <row r="63" spans="2:17" ht="15" customHeight="1" x14ac:dyDescent="0.2">
      <c r="B63" s="304"/>
      <c r="C63" s="273" t="s">
        <v>33</v>
      </c>
      <c r="D63" s="102" t="s">
        <v>52</v>
      </c>
      <c r="E63" s="274">
        <v>2.5799999999999998E-3</v>
      </c>
      <c r="F63" s="42">
        <f t="shared" ref="F63" si="225">E63/100*$D$4</f>
        <v>2.8870199999999995E-2</v>
      </c>
      <c r="G63" s="42"/>
      <c r="H63" s="42">
        <f t="shared" ref="H63" si="226">F63+G63</f>
        <v>2.8870199999999995E-2</v>
      </c>
      <c r="I63" s="75"/>
      <c r="J63" s="42">
        <f t="shared" si="13"/>
        <v>2.8870199999999995E-2</v>
      </c>
      <c r="K63" s="43">
        <f t="shared" si="10"/>
        <v>0</v>
      </c>
      <c r="L63" s="244">
        <f t="shared" ref="L63" si="227">F63+F64</f>
        <v>3.2069399999999998E-2</v>
      </c>
      <c r="M63" s="244">
        <f t="shared" ref="M63" si="228">G63+G64</f>
        <v>0</v>
      </c>
      <c r="N63" s="244">
        <f t="shared" ref="N63" si="229">L63+M63</f>
        <v>3.2069399999999998E-2</v>
      </c>
      <c r="O63" s="244">
        <f t="shared" ref="O63" si="230">I63+I64</f>
        <v>0</v>
      </c>
      <c r="P63" s="244">
        <f t="shared" ref="P63" si="231">N63-O63</f>
        <v>3.2069399999999998E-2</v>
      </c>
      <c r="Q63" s="245">
        <f t="shared" ref="Q63" si="232">O63/N63</f>
        <v>0</v>
      </c>
    </row>
    <row r="64" spans="2:17" ht="15" customHeight="1" x14ac:dyDescent="0.2">
      <c r="B64" s="304"/>
      <c r="C64" s="273"/>
      <c r="D64" s="102" t="s">
        <v>53</v>
      </c>
      <c r="E64" s="274"/>
      <c r="F64" s="42">
        <f t="shared" ref="F64" si="233">E63/100*$D$5</f>
        <v>3.1991999999999997E-3</v>
      </c>
      <c r="G64" s="42"/>
      <c r="H64" s="42">
        <f t="shared" ref="H64" si="234">F64+G64+J63</f>
        <v>3.2069399999999998E-2</v>
      </c>
      <c r="I64" s="75"/>
      <c r="J64" s="42">
        <f t="shared" si="13"/>
        <v>3.2069399999999998E-2</v>
      </c>
      <c r="K64" s="43">
        <f t="shared" si="10"/>
        <v>0</v>
      </c>
      <c r="L64" s="272"/>
      <c r="M64" s="272"/>
      <c r="N64" s="272"/>
      <c r="O64" s="272"/>
      <c r="P64" s="272"/>
      <c r="Q64" s="245"/>
    </row>
    <row r="65" spans="2:17" ht="15" customHeight="1" x14ac:dyDescent="0.2">
      <c r="B65" s="304"/>
      <c r="C65" s="273" t="s">
        <v>35</v>
      </c>
      <c r="D65" s="102" t="s">
        <v>52</v>
      </c>
      <c r="E65" s="274">
        <v>13.286137</v>
      </c>
      <c r="F65" s="42">
        <f t="shared" ref="F65" si="235">E65/100*$D$4</f>
        <v>148.67187303</v>
      </c>
      <c r="G65" s="42">
        <f>-77.19-68.671</f>
        <v>-145.86099999999999</v>
      </c>
      <c r="H65" s="42">
        <f t="shared" ref="H65" si="236">F65+G65</f>
        <v>2.8108730300000104</v>
      </c>
      <c r="I65" s="185">
        <v>12.657</v>
      </c>
      <c r="J65" s="42">
        <f t="shared" si="13"/>
        <v>-9.8461269699999896</v>
      </c>
      <c r="K65" s="43">
        <f t="shared" si="10"/>
        <v>4.5028714797551537</v>
      </c>
      <c r="L65" s="244">
        <f t="shared" ref="L65" si="237">F65+F66</f>
        <v>165.14668291000001</v>
      </c>
      <c r="M65" s="244">
        <f t="shared" ref="M65" si="238">G65+G66</f>
        <v>-145.86099999999999</v>
      </c>
      <c r="N65" s="244">
        <f t="shared" ref="N65" si="239">L65+M65</f>
        <v>19.28568291000002</v>
      </c>
      <c r="O65" s="244">
        <f t="shared" ref="O65" si="240">I65+I66</f>
        <v>12.657</v>
      </c>
      <c r="P65" s="244">
        <f t="shared" ref="P65" si="241">N65-O65</f>
        <v>6.6286829100000197</v>
      </c>
      <c r="Q65" s="245">
        <f t="shared" ref="Q65" si="242">O65/N65</f>
        <v>0.65628995659972655</v>
      </c>
    </row>
    <row r="66" spans="2:17" ht="15" customHeight="1" x14ac:dyDescent="0.2">
      <c r="B66" s="304"/>
      <c r="C66" s="273"/>
      <c r="D66" s="102" t="s">
        <v>53</v>
      </c>
      <c r="E66" s="274"/>
      <c r="F66" s="42">
        <f t="shared" ref="F66" si="243">E65/100*$D$5</f>
        <v>16.474809880000002</v>
      </c>
      <c r="G66" s="42"/>
      <c r="H66" s="42">
        <f t="shared" ref="H66" si="244">F66+G66+J65</f>
        <v>6.6286829100000126</v>
      </c>
      <c r="I66" s="75"/>
      <c r="J66" s="42">
        <f t="shared" si="13"/>
        <v>6.6286829100000126</v>
      </c>
      <c r="K66" s="43">
        <f t="shared" si="10"/>
        <v>0</v>
      </c>
      <c r="L66" s="272"/>
      <c r="M66" s="272"/>
      <c r="N66" s="272"/>
      <c r="O66" s="272"/>
      <c r="P66" s="272"/>
      <c r="Q66" s="245"/>
    </row>
    <row r="67" spans="2:17" ht="15" customHeight="1" x14ac:dyDescent="0.2">
      <c r="B67" s="304"/>
      <c r="C67" s="273" t="s">
        <v>36</v>
      </c>
      <c r="D67" s="102" t="s">
        <v>52</v>
      </c>
      <c r="E67" s="274">
        <v>2.0100000000000001E-3</v>
      </c>
      <c r="F67" s="42">
        <f t="shared" ref="F67" si="245">E67/100*$D$4</f>
        <v>2.2491900000000002E-2</v>
      </c>
      <c r="G67" s="42"/>
      <c r="H67" s="42">
        <f t="shared" ref="H67" si="246">F67+G67</f>
        <v>2.2491900000000002E-2</v>
      </c>
      <c r="I67" s="75"/>
      <c r="J67" s="42">
        <f t="shared" si="13"/>
        <v>2.2491900000000002E-2</v>
      </c>
      <c r="K67" s="43">
        <f t="shared" si="10"/>
        <v>0</v>
      </c>
      <c r="L67" s="244">
        <f t="shared" ref="L67" si="247">F67+F68</f>
        <v>2.4984300000000001E-2</v>
      </c>
      <c r="M67" s="244">
        <f t="shared" ref="M67" si="248">G67+G68</f>
        <v>0</v>
      </c>
      <c r="N67" s="244">
        <f t="shared" ref="N67" si="249">L67+M67</f>
        <v>2.4984300000000001E-2</v>
      </c>
      <c r="O67" s="244">
        <f t="shared" ref="O67" si="250">I67+I68</f>
        <v>0</v>
      </c>
      <c r="P67" s="244">
        <f t="shared" ref="P67" si="251">N67-O67</f>
        <v>2.4984300000000001E-2</v>
      </c>
      <c r="Q67" s="245">
        <f t="shared" ref="Q67" si="252">O67/N67</f>
        <v>0</v>
      </c>
    </row>
    <row r="68" spans="2:17" ht="15" customHeight="1" x14ac:dyDescent="0.2">
      <c r="B68" s="304"/>
      <c r="C68" s="273"/>
      <c r="D68" s="102" t="s">
        <v>53</v>
      </c>
      <c r="E68" s="274"/>
      <c r="F68" s="42">
        <f t="shared" ref="F68" si="253">E67/100*$D$5</f>
        <v>2.4924000000000001E-3</v>
      </c>
      <c r="G68" s="42"/>
      <c r="H68" s="42">
        <f t="shared" ref="H68" si="254">F68+G68+J67</f>
        <v>2.4984300000000001E-2</v>
      </c>
      <c r="I68" s="75"/>
      <c r="J68" s="42">
        <f t="shared" si="13"/>
        <v>2.4984300000000001E-2</v>
      </c>
      <c r="K68" s="43">
        <f t="shared" si="10"/>
        <v>0</v>
      </c>
      <c r="L68" s="272"/>
      <c r="M68" s="272"/>
      <c r="N68" s="272"/>
      <c r="O68" s="272"/>
      <c r="P68" s="272"/>
      <c r="Q68" s="245"/>
    </row>
    <row r="69" spans="2:17" ht="15" customHeight="1" x14ac:dyDescent="0.2">
      <c r="B69" s="304"/>
      <c r="C69" s="273" t="s">
        <v>37</v>
      </c>
      <c r="D69" s="102" t="s">
        <v>52</v>
      </c>
      <c r="E69" s="274">
        <v>0</v>
      </c>
      <c r="F69" s="42">
        <f t="shared" ref="F69" si="255">E69/100*$D$4</f>
        <v>0</v>
      </c>
      <c r="G69" s="42"/>
      <c r="H69" s="42">
        <f t="shared" ref="H69" si="256">F69+G69</f>
        <v>0</v>
      </c>
      <c r="I69" s="75"/>
      <c r="J69" s="42">
        <f t="shared" si="13"/>
        <v>0</v>
      </c>
      <c r="K69" s="43" t="e">
        <f t="shared" si="10"/>
        <v>#DIV/0!</v>
      </c>
      <c r="L69" s="244">
        <f t="shared" ref="L69" si="257">F69+F70</f>
        <v>0</v>
      </c>
      <c r="M69" s="244">
        <f t="shared" ref="M69" si="258">G69+G70</f>
        <v>0</v>
      </c>
      <c r="N69" s="244">
        <f t="shared" ref="N69" si="259">L69+M69</f>
        <v>0</v>
      </c>
      <c r="O69" s="244">
        <f t="shared" ref="O69" si="260">I69+I70</f>
        <v>0</v>
      </c>
      <c r="P69" s="244">
        <f t="shared" ref="P69" si="261">N69-O69</f>
        <v>0</v>
      </c>
      <c r="Q69" s="245" t="e">
        <f t="shared" ref="Q69" si="262">O69/N69</f>
        <v>#DIV/0!</v>
      </c>
    </row>
    <row r="70" spans="2:17" ht="15" customHeight="1" x14ac:dyDescent="0.2">
      <c r="B70" s="304"/>
      <c r="C70" s="273"/>
      <c r="D70" s="102" t="s">
        <v>53</v>
      </c>
      <c r="E70" s="274"/>
      <c r="F70" s="42">
        <f t="shared" ref="F70" si="263">E69/100*$D$5</f>
        <v>0</v>
      </c>
      <c r="G70" s="42"/>
      <c r="H70" s="42">
        <f t="shared" ref="H70" si="264">F70+G70+J69</f>
        <v>0</v>
      </c>
      <c r="I70" s="75"/>
      <c r="J70" s="42">
        <f t="shared" si="13"/>
        <v>0</v>
      </c>
      <c r="K70" s="43" t="e">
        <f t="shared" si="10"/>
        <v>#DIV/0!</v>
      </c>
      <c r="L70" s="272"/>
      <c r="M70" s="272"/>
      <c r="N70" s="272"/>
      <c r="O70" s="272"/>
      <c r="P70" s="272"/>
      <c r="Q70" s="245"/>
    </row>
    <row r="71" spans="2:17" ht="15" customHeight="1" x14ac:dyDescent="0.2">
      <c r="B71" s="304"/>
      <c r="C71" s="273" t="s">
        <v>38</v>
      </c>
      <c r="D71" s="125" t="s">
        <v>52</v>
      </c>
      <c r="E71" s="274">
        <v>0.6</v>
      </c>
      <c r="F71" s="124">
        <f t="shared" ref="F71" si="265">E71/100*$D$4</f>
        <v>6.7140000000000004</v>
      </c>
      <c r="G71" s="124"/>
      <c r="H71" s="124">
        <f t="shared" ref="H71" si="266">F71+G71</f>
        <v>6.7140000000000004</v>
      </c>
      <c r="I71" s="75"/>
      <c r="J71" s="124">
        <f t="shared" ref="J71:J72" si="267">H71-I71</f>
        <v>6.7140000000000004</v>
      </c>
      <c r="K71" s="43">
        <f t="shared" ref="K71:K72" si="268">I71/H71</f>
        <v>0</v>
      </c>
      <c r="L71" s="244">
        <f t="shared" ref="L71" si="269">F71+F72</f>
        <v>7.4580000000000002</v>
      </c>
      <c r="M71" s="244">
        <f t="shared" ref="M71" si="270">G71+G72</f>
        <v>0</v>
      </c>
      <c r="N71" s="244">
        <f t="shared" ref="N71" si="271">L71+M71</f>
        <v>7.4580000000000002</v>
      </c>
      <c r="O71" s="244">
        <f t="shared" ref="O71" si="272">I71+I72</f>
        <v>0</v>
      </c>
      <c r="P71" s="244">
        <f t="shared" ref="P71" si="273">N71-O71</f>
        <v>7.4580000000000002</v>
      </c>
      <c r="Q71" s="245">
        <f t="shared" ref="Q71" si="274">O71/N71</f>
        <v>0</v>
      </c>
    </row>
    <row r="72" spans="2:17" ht="15" customHeight="1" x14ac:dyDescent="0.2">
      <c r="B72" s="304"/>
      <c r="C72" s="273"/>
      <c r="D72" s="125" t="s">
        <v>53</v>
      </c>
      <c r="E72" s="274"/>
      <c r="F72" s="124">
        <f t="shared" ref="F72" si="275">E71/100*$D$5</f>
        <v>0.74399999999999999</v>
      </c>
      <c r="G72" s="124"/>
      <c r="H72" s="124">
        <f t="shared" ref="H72" si="276">F72+G72+J71</f>
        <v>7.4580000000000002</v>
      </c>
      <c r="I72" s="75"/>
      <c r="J72" s="124">
        <f t="shared" si="267"/>
        <v>7.4580000000000002</v>
      </c>
      <c r="K72" s="43">
        <f t="shared" si="268"/>
        <v>0</v>
      </c>
      <c r="L72" s="272"/>
      <c r="M72" s="272"/>
      <c r="N72" s="272"/>
      <c r="O72" s="272"/>
      <c r="P72" s="272"/>
      <c r="Q72" s="245"/>
    </row>
    <row r="73" spans="2:17" ht="15" customHeight="1" x14ac:dyDescent="0.2">
      <c r="B73" s="304"/>
      <c r="C73" s="273" t="s">
        <v>147</v>
      </c>
      <c r="D73" s="127" t="s">
        <v>52</v>
      </c>
      <c r="E73" s="274">
        <v>5.4599999999999996E-3</v>
      </c>
      <c r="F73" s="126">
        <f t="shared" ref="F73" si="277">E73/100*$D$4</f>
        <v>6.1097399999999996E-2</v>
      </c>
      <c r="G73" s="126"/>
      <c r="H73" s="126">
        <f t="shared" ref="H73" si="278">F73+G73</f>
        <v>6.1097399999999996E-2</v>
      </c>
      <c r="I73" s="75"/>
      <c r="J73" s="126">
        <f t="shared" ref="J73:J74" si="279">H73-I73</f>
        <v>6.1097399999999996E-2</v>
      </c>
      <c r="K73" s="43">
        <f t="shared" ref="K73:K74" si="280">I73/H73</f>
        <v>0</v>
      </c>
      <c r="L73" s="244">
        <f t="shared" ref="L73" si="281">F73+F74</f>
        <v>6.7867799999999992E-2</v>
      </c>
      <c r="M73" s="244">
        <f t="shared" ref="M73" si="282">G73+G74</f>
        <v>0</v>
      </c>
      <c r="N73" s="244">
        <f t="shared" ref="N73" si="283">L73+M73</f>
        <v>6.7867799999999992E-2</v>
      </c>
      <c r="O73" s="244">
        <f t="shared" ref="O73" si="284">I73+I74</f>
        <v>0</v>
      </c>
      <c r="P73" s="244">
        <f t="shared" ref="P73" si="285">N73-O73</f>
        <v>6.7867799999999992E-2</v>
      </c>
      <c r="Q73" s="245">
        <f t="shared" ref="Q73" si="286">O73/N73</f>
        <v>0</v>
      </c>
    </row>
    <row r="74" spans="2:17" ht="15" customHeight="1" x14ac:dyDescent="0.2">
      <c r="B74" s="304"/>
      <c r="C74" s="273"/>
      <c r="D74" s="127" t="s">
        <v>53</v>
      </c>
      <c r="E74" s="274"/>
      <c r="F74" s="126">
        <f t="shared" ref="F74" si="287">E73/100*$D$5</f>
        <v>6.7704000000000002E-3</v>
      </c>
      <c r="G74" s="126"/>
      <c r="H74" s="126">
        <f t="shared" ref="H74" si="288">F74+G74+J73</f>
        <v>6.7867799999999992E-2</v>
      </c>
      <c r="I74" s="75"/>
      <c r="J74" s="126">
        <f t="shared" si="279"/>
        <v>6.7867799999999992E-2</v>
      </c>
      <c r="K74" s="43">
        <f t="shared" si="280"/>
        <v>0</v>
      </c>
      <c r="L74" s="272"/>
      <c r="M74" s="272"/>
      <c r="N74" s="272"/>
      <c r="O74" s="272"/>
      <c r="P74" s="272"/>
      <c r="Q74" s="245"/>
    </row>
    <row r="75" spans="2:17" ht="15" customHeight="1" x14ac:dyDescent="0.2">
      <c r="B75" s="304"/>
      <c r="C75" s="273" t="s">
        <v>164</v>
      </c>
      <c r="D75" s="137" t="s">
        <v>52</v>
      </c>
      <c r="E75" s="274">
        <v>6.3775499999999999E-2</v>
      </c>
      <c r="F75" s="136">
        <f t="shared" ref="F75" si="289">E75/100*$D$4</f>
        <v>0.71364784499999989</v>
      </c>
      <c r="G75" s="136"/>
      <c r="H75" s="136">
        <f t="shared" ref="H75" si="290">F75+G75</f>
        <v>0.71364784499999989</v>
      </c>
      <c r="I75" s="75"/>
      <c r="J75" s="136">
        <f t="shared" ref="J75:J76" si="291">H75-I75</f>
        <v>0.71364784499999989</v>
      </c>
      <c r="K75" s="43">
        <f t="shared" ref="K75:K76" si="292">I75/H75</f>
        <v>0</v>
      </c>
      <c r="L75" s="244">
        <f t="shared" ref="L75" si="293">F75+F76</f>
        <v>0.79272946499999986</v>
      </c>
      <c r="M75" s="244">
        <f t="shared" ref="M75" si="294">G75+G76</f>
        <v>0</v>
      </c>
      <c r="N75" s="244">
        <f t="shared" ref="N75" si="295">L75+M75</f>
        <v>0.79272946499999986</v>
      </c>
      <c r="O75" s="244">
        <f t="shared" ref="O75" si="296">I75+I76</f>
        <v>0</v>
      </c>
      <c r="P75" s="244">
        <f t="shared" ref="P75" si="297">N75-O75</f>
        <v>0.79272946499999986</v>
      </c>
      <c r="Q75" s="245">
        <f t="shared" ref="Q75" si="298">O75/N75</f>
        <v>0</v>
      </c>
    </row>
    <row r="76" spans="2:17" ht="15" customHeight="1" x14ac:dyDescent="0.2">
      <c r="B76" s="304"/>
      <c r="C76" s="273"/>
      <c r="D76" s="137" t="s">
        <v>53</v>
      </c>
      <c r="E76" s="292"/>
      <c r="F76" s="136">
        <f t="shared" ref="F76" si="299">E75/100*$D$5</f>
        <v>7.9081619999999991E-2</v>
      </c>
      <c r="G76" s="136"/>
      <c r="H76" s="136">
        <f t="shared" ref="H76" si="300">F76+G76+J75</f>
        <v>0.79272946499999986</v>
      </c>
      <c r="I76" s="75"/>
      <c r="J76" s="136">
        <f t="shared" si="291"/>
        <v>0.79272946499999986</v>
      </c>
      <c r="K76" s="43">
        <f t="shared" si="292"/>
        <v>0</v>
      </c>
      <c r="L76" s="272"/>
      <c r="M76" s="272"/>
      <c r="N76" s="272"/>
      <c r="O76" s="272"/>
      <c r="P76" s="272"/>
      <c r="Q76" s="245"/>
    </row>
    <row r="77" spans="2:17" ht="15" customHeight="1" x14ac:dyDescent="0.2">
      <c r="B77" s="304"/>
      <c r="C77" s="273" t="s">
        <v>145</v>
      </c>
      <c r="D77" s="102" t="s">
        <v>52</v>
      </c>
      <c r="E77" s="274">
        <v>4.48E-2</v>
      </c>
      <c r="F77" s="42">
        <f t="shared" ref="F77:F79" si="301">E77/100*$D$4</f>
        <v>0.50131199999999998</v>
      </c>
      <c r="G77" s="42"/>
      <c r="H77" s="42">
        <f t="shared" ref="H77:H79" si="302">F77+G77</f>
        <v>0.50131199999999998</v>
      </c>
      <c r="I77" s="184">
        <v>0.123</v>
      </c>
      <c r="J77" s="42">
        <f t="shared" si="13"/>
        <v>0.37831199999999998</v>
      </c>
      <c r="K77" s="43">
        <f t="shared" si="10"/>
        <v>0.2453561853695902</v>
      </c>
      <c r="L77" s="244">
        <f t="shared" ref="L77" si="303">F77+F78</f>
        <v>0.55686400000000003</v>
      </c>
      <c r="M77" s="244">
        <f t="shared" ref="M77" si="304">G77+G78</f>
        <v>0</v>
      </c>
      <c r="N77" s="244">
        <f t="shared" ref="N77" si="305">L77+M77</f>
        <v>0.55686400000000003</v>
      </c>
      <c r="O77" s="244">
        <f t="shared" ref="O77" si="306">I77+I78</f>
        <v>0.123</v>
      </c>
      <c r="P77" s="244">
        <f t="shared" ref="P77" si="307">N77-O77</f>
        <v>0.43386400000000003</v>
      </c>
      <c r="Q77" s="245">
        <f t="shared" ref="Q77" si="308">O77/N77</f>
        <v>0.22087978393288127</v>
      </c>
    </row>
    <row r="78" spans="2:17" ht="15.75" customHeight="1" x14ac:dyDescent="0.2">
      <c r="B78" s="304"/>
      <c r="C78" s="273"/>
      <c r="D78" s="102" t="s">
        <v>53</v>
      </c>
      <c r="E78" s="274"/>
      <c r="F78" s="42">
        <f t="shared" ref="F78:F80" si="309">E77/100*$D$5</f>
        <v>5.5551999999999997E-2</v>
      </c>
      <c r="G78" s="42"/>
      <c r="H78" s="42">
        <f t="shared" ref="H78:H80" si="310">F78+G78+J77</f>
        <v>0.43386399999999997</v>
      </c>
      <c r="I78" s="75"/>
      <c r="J78" s="42">
        <f>H78-I78</f>
        <v>0.43386399999999997</v>
      </c>
      <c r="K78" s="43">
        <f t="shared" si="10"/>
        <v>0</v>
      </c>
      <c r="L78" s="272"/>
      <c r="M78" s="272"/>
      <c r="N78" s="272"/>
      <c r="O78" s="272"/>
      <c r="P78" s="272"/>
      <c r="Q78" s="245"/>
    </row>
    <row r="79" spans="2:17" ht="15" customHeight="1" x14ac:dyDescent="0.2">
      <c r="B79" s="304"/>
      <c r="C79" s="273" t="s">
        <v>165</v>
      </c>
      <c r="D79" s="102" t="s">
        <v>52</v>
      </c>
      <c r="E79" s="288">
        <v>5.2266300000000001</v>
      </c>
      <c r="F79" s="168">
        <f t="shared" si="301"/>
        <v>58.485989700000005</v>
      </c>
      <c r="G79" s="42">
        <v>-62</v>
      </c>
      <c r="H79" s="42">
        <f t="shared" si="302"/>
        <v>-3.5140102999999954</v>
      </c>
      <c r="I79" s="14"/>
      <c r="J79" s="42">
        <f t="shared" si="13"/>
        <v>-3.5140102999999954</v>
      </c>
      <c r="K79" s="43">
        <f t="shared" si="10"/>
        <v>0</v>
      </c>
      <c r="L79" s="244">
        <f t="shared" ref="L79" si="311">F79+F80</f>
        <v>64.967010900000005</v>
      </c>
      <c r="M79" s="244">
        <f t="shared" ref="M79" si="312">G79+G80</f>
        <v>-62</v>
      </c>
      <c r="N79" s="244">
        <f t="shared" ref="N79" si="313">L79+M79</f>
        <v>2.9670109000000053</v>
      </c>
      <c r="O79" s="244">
        <f t="shared" ref="O79" si="314">I79+I80</f>
        <v>0</v>
      </c>
      <c r="P79" s="244">
        <f t="shared" ref="P79" si="315">N79-O79</f>
        <v>2.9670109000000053</v>
      </c>
      <c r="Q79" s="245">
        <f t="shared" ref="Q79" si="316">O79/N79</f>
        <v>0</v>
      </c>
    </row>
    <row r="80" spans="2:17" ht="15" customHeight="1" thickBot="1" x14ac:dyDescent="0.25">
      <c r="B80" s="304"/>
      <c r="C80" s="273"/>
      <c r="D80" s="102" t="s">
        <v>53</v>
      </c>
      <c r="E80" s="289"/>
      <c r="F80" s="168">
        <f t="shared" si="309"/>
        <v>6.4810211999999998</v>
      </c>
      <c r="G80" s="42"/>
      <c r="H80" s="42">
        <f t="shared" si="310"/>
        <v>2.9670109000000044</v>
      </c>
      <c r="I80" s="75"/>
      <c r="J80" s="42">
        <f t="shared" si="13"/>
        <v>2.9670109000000044</v>
      </c>
      <c r="K80" s="43">
        <f t="shared" si="10"/>
        <v>0</v>
      </c>
      <c r="L80" s="272"/>
      <c r="M80" s="272"/>
      <c r="N80" s="272"/>
      <c r="O80" s="272"/>
      <c r="P80" s="272"/>
      <c r="Q80" s="245"/>
    </row>
    <row r="81" spans="2:17" ht="15" customHeight="1" x14ac:dyDescent="0.2">
      <c r="B81" s="304"/>
      <c r="C81" s="286" t="s">
        <v>107</v>
      </c>
      <c r="D81" s="102" t="s">
        <v>52</v>
      </c>
      <c r="E81" s="290"/>
      <c r="F81" s="168">
        <v>0</v>
      </c>
      <c r="G81" s="168">
        <f>141.25-33.9</f>
        <v>107.35</v>
      </c>
      <c r="H81" s="168">
        <f t="shared" ref="H81" si="317">F81+G81</f>
        <v>107.35</v>
      </c>
      <c r="I81" s="185">
        <v>106.54900000000001</v>
      </c>
      <c r="J81" s="168">
        <f t="shared" ref="J81:J82" si="318">H81-I81</f>
        <v>0.80099999999998772</v>
      </c>
      <c r="K81" s="43">
        <f t="shared" ref="K81:K82" si="319">I81/H81</f>
        <v>0.99253842571029349</v>
      </c>
      <c r="L81" s="244">
        <f t="shared" ref="L81" si="320">F81+F82</f>
        <v>0</v>
      </c>
      <c r="M81" s="244">
        <f t="shared" ref="M81" si="321">G81+G82</f>
        <v>107.35</v>
      </c>
      <c r="N81" s="244">
        <f t="shared" ref="N81" si="322">L81+M81</f>
        <v>107.35</v>
      </c>
      <c r="O81" s="244">
        <f t="shared" ref="O81" si="323">I81+I82</f>
        <v>106.54900000000001</v>
      </c>
      <c r="P81" s="244">
        <f t="shared" ref="P81" si="324">N81-O81</f>
        <v>0.80099999999998772</v>
      </c>
      <c r="Q81" s="245">
        <f t="shared" ref="Q81" si="325">O81/N81</f>
        <v>0.99253842571029349</v>
      </c>
    </row>
    <row r="82" spans="2:17" ht="15.75" customHeight="1" thickBot="1" x14ac:dyDescent="0.25">
      <c r="B82" s="304"/>
      <c r="C82" s="287"/>
      <c r="D82" s="171" t="s">
        <v>53</v>
      </c>
      <c r="E82" s="291"/>
      <c r="F82" s="40">
        <v>0</v>
      </c>
      <c r="G82" s="40"/>
      <c r="H82" s="40">
        <f t="shared" ref="H82" si="326">F82+G82+J81</f>
        <v>0.80099999999998772</v>
      </c>
      <c r="I82" s="172"/>
      <c r="J82" s="40">
        <f t="shared" si="318"/>
        <v>0.80099999999998772</v>
      </c>
      <c r="K82" s="148">
        <f t="shared" si="319"/>
        <v>0</v>
      </c>
      <c r="L82" s="279"/>
      <c r="M82" s="279"/>
      <c r="N82" s="279"/>
      <c r="O82" s="279"/>
      <c r="P82" s="279"/>
      <c r="Q82" s="245"/>
    </row>
    <row r="83" spans="2:17" ht="12.75" thickBot="1" x14ac:dyDescent="0.25">
      <c r="B83" s="277" t="s">
        <v>13</v>
      </c>
      <c r="C83" s="278"/>
      <c r="D83" s="104" t="s">
        <v>54</v>
      </c>
      <c r="E83" s="178">
        <f>SUM(E47:E80)</f>
        <v>100.24379409999996</v>
      </c>
      <c r="F83" s="178">
        <f>SUM(F13:F82)</f>
        <v>2263.033402510001</v>
      </c>
      <c r="G83" s="178">
        <f>SUM(G13:G82)</f>
        <v>0</v>
      </c>
      <c r="H83" s="178">
        <f>F83+G83</f>
        <v>2263.033402510001</v>
      </c>
      <c r="I83" s="178">
        <f>SUM(I13:I82)</f>
        <v>2091.5370000000003</v>
      </c>
      <c r="J83" s="178">
        <f>H83-I83</f>
        <v>171.49640251000073</v>
      </c>
      <c r="K83" s="179">
        <f>I83/H83</f>
        <v>0.92421835120958062</v>
      </c>
      <c r="L83" s="178">
        <f>SUM(L13:L82)</f>
        <v>2263.0334025100005</v>
      </c>
      <c r="M83" s="178">
        <f>SUM(M13:M82)</f>
        <v>0</v>
      </c>
      <c r="N83" s="178">
        <f>L83+M83</f>
        <v>2263.0334025100005</v>
      </c>
      <c r="O83" s="178">
        <f>SUM(O13:O82)</f>
        <v>2091.5370000000003</v>
      </c>
      <c r="P83" s="180">
        <f>N83-O83</f>
        <v>171.49640251000028</v>
      </c>
      <c r="Q83" s="177">
        <f>O83/N83</f>
        <v>0.92421835120958074</v>
      </c>
    </row>
    <row r="84" spans="2:17" hidden="1" x14ac:dyDescent="0.2">
      <c r="Q84" s="190">
        <v>1</v>
      </c>
    </row>
    <row r="86" spans="2:17" x14ac:dyDescent="0.2">
      <c r="G86" s="12" t="s">
        <v>146</v>
      </c>
    </row>
  </sheetData>
  <mergeCells count="285">
    <mergeCell ref="Q51:Q52"/>
    <mergeCell ref="Q45:Q46"/>
    <mergeCell ref="C45:C46"/>
    <mergeCell ref="E45:E46"/>
    <mergeCell ref="C73:C74"/>
    <mergeCell ref="E73:E74"/>
    <mergeCell ref="C71:C72"/>
    <mergeCell ref="E63:E64"/>
    <mergeCell ref="E65:E66"/>
    <mergeCell ref="E67:E68"/>
    <mergeCell ref="E69:E70"/>
    <mergeCell ref="Q47:Q48"/>
    <mergeCell ref="L49:L50"/>
    <mergeCell ref="M49:M50"/>
    <mergeCell ref="N49:N50"/>
    <mergeCell ref="C49:C50"/>
    <mergeCell ref="C51:C52"/>
    <mergeCell ref="C53:C54"/>
    <mergeCell ref="E53:E54"/>
    <mergeCell ref="C57:C58"/>
    <mergeCell ref="C59:C60"/>
    <mergeCell ref="M47:M48"/>
    <mergeCell ref="N47:N48"/>
    <mergeCell ref="O47:O48"/>
    <mergeCell ref="Q41:Q42"/>
    <mergeCell ref="B13:B46"/>
    <mergeCell ref="B47:B82"/>
    <mergeCell ref="L45:L46"/>
    <mergeCell ref="M45:M46"/>
    <mergeCell ref="N45:N46"/>
    <mergeCell ref="O45:O46"/>
    <mergeCell ref="Q37:Q38"/>
    <mergeCell ref="M43:M44"/>
    <mergeCell ref="Q43:Q44"/>
    <mergeCell ref="E43:E44"/>
    <mergeCell ref="E55:E56"/>
    <mergeCell ref="E57:E58"/>
    <mergeCell ref="E59:E60"/>
    <mergeCell ref="M39:M40"/>
    <mergeCell ref="N39:N40"/>
    <mergeCell ref="O39:O40"/>
    <mergeCell ref="P39:P40"/>
    <mergeCell ref="Q39:Q40"/>
    <mergeCell ref="E37:E38"/>
    <mergeCell ref="E39:E40"/>
    <mergeCell ref="N51:N52"/>
    <mergeCell ref="O51:O52"/>
    <mergeCell ref="P51:P52"/>
    <mergeCell ref="P27:P28"/>
    <mergeCell ref="Q35:Q36"/>
    <mergeCell ref="Q31:Q32"/>
    <mergeCell ref="Q33:Q34"/>
    <mergeCell ref="P37:P38"/>
    <mergeCell ref="E31:E32"/>
    <mergeCell ref="E33:E34"/>
    <mergeCell ref="E35:E36"/>
    <mergeCell ref="M33:M34"/>
    <mergeCell ref="N33:N34"/>
    <mergeCell ref="O33:O34"/>
    <mergeCell ref="P33:P34"/>
    <mergeCell ref="M37:M38"/>
    <mergeCell ref="N37:N38"/>
    <mergeCell ref="O37:O38"/>
    <mergeCell ref="O27:O28"/>
    <mergeCell ref="Q49:Q50"/>
    <mergeCell ref="E49:E50"/>
    <mergeCell ref="L47:L48"/>
    <mergeCell ref="M17:M18"/>
    <mergeCell ref="N17:N18"/>
    <mergeCell ref="O17:O18"/>
    <mergeCell ref="P17:P18"/>
    <mergeCell ref="P19:P20"/>
    <mergeCell ref="L35:L36"/>
    <mergeCell ref="M35:M36"/>
    <mergeCell ref="L31:L32"/>
    <mergeCell ref="L33:L34"/>
    <mergeCell ref="L29:L30"/>
    <mergeCell ref="N35:N36"/>
    <mergeCell ref="O35:O36"/>
    <mergeCell ref="P35:P36"/>
    <mergeCell ref="M31:M32"/>
    <mergeCell ref="N31:N32"/>
    <mergeCell ref="O31:O32"/>
    <mergeCell ref="P31:P32"/>
    <mergeCell ref="E27:E28"/>
    <mergeCell ref="L17:L18"/>
    <mergeCell ref="L21:L22"/>
    <mergeCell ref="E29:E30"/>
    <mergeCell ref="Q81:Q82"/>
    <mergeCell ref="M25:M26"/>
    <mergeCell ref="N25:N26"/>
    <mergeCell ref="O25:O26"/>
    <mergeCell ref="P25:P26"/>
    <mergeCell ref="Q27:Q28"/>
    <mergeCell ref="M29:M30"/>
    <mergeCell ref="N29:N30"/>
    <mergeCell ref="O29:O30"/>
    <mergeCell ref="P29:P30"/>
    <mergeCell ref="Q29:Q30"/>
    <mergeCell ref="M73:M74"/>
    <mergeCell ref="N73:N74"/>
    <mergeCell ref="O73:O74"/>
    <mergeCell ref="P73:P74"/>
    <mergeCell ref="Q73:Q74"/>
    <mergeCell ref="M71:M72"/>
    <mergeCell ref="N71:N72"/>
    <mergeCell ref="O71:O72"/>
    <mergeCell ref="P71:P72"/>
    <mergeCell ref="P47:P48"/>
    <mergeCell ref="P45:P46"/>
    <mergeCell ref="Q53:Q54"/>
    <mergeCell ref="M55:M56"/>
    <mergeCell ref="Q13:Q14"/>
    <mergeCell ref="L15:L16"/>
    <mergeCell ref="M15:M16"/>
    <mergeCell ref="N15:N16"/>
    <mergeCell ref="O15:O16"/>
    <mergeCell ref="P15:P16"/>
    <mergeCell ref="Q15:Q16"/>
    <mergeCell ref="L13:L14"/>
    <mergeCell ref="Q79:Q80"/>
    <mergeCell ref="L73:L74"/>
    <mergeCell ref="L51:L52"/>
    <mergeCell ref="Q23:Q24"/>
    <mergeCell ref="M19:M20"/>
    <mergeCell ref="N19:N20"/>
    <mergeCell ref="O19:O20"/>
    <mergeCell ref="L71:L72"/>
    <mergeCell ref="L43:L44"/>
    <mergeCell ref="L37:L38"/>
    <mergeCell ref="L39:L40"/>
    <mergeCell ref="L55:L56"/>
    <mergeCell ref="N55:N56"/>
    <mergeCell ref="O55:O56"/>
    <mergeCell ref="P55:P56"/>
    <mergeCell ref="Q55:Q56"/>
    <mergeCell ref="P21:P22"/>
    <mergeCell ref="L19:L20"/>
    <mergeCell ref="M23:M24"/>
    <mergeCell ref="N23:N24"/>
    <mergeCell ref="O23:O24"/>
    <mergeCell ref="P23:P24"/>
    <mergeCell ref="M13:M14"/>
    <mergeCell ref="N13:N14"/>
    <mergeCell ref="O13:O14"/>
    <mergeCell ref="P13:P14"/>
    <mergeCell ref="N21:N22"/>
    <mergeCell ref="O21:O22"/>
    <mergeCell ref="Q17:Q18"/>
    <mergeCell ref="Q21:Q22"/>
    <mergeCell ref="L23:L24"/>
    <mergeCell ref="N41:N42"/>
    <mergeCell ref="O41:O42"/>
    <mergeCell ref="P41:P42"/>
    <mergeCell ref="E15:E16"/>
    <mergeCell ref="C33:C34"/>
    <mergeCell ref="C35:C36"/>
    <mergeCell ref="C31:C32"/>
    <mergeCell ref="C37:C38"/>
    <mergeCell ref="C39:C40"/>
    <mergeCell ref="C41:C42"/>
    <mergeCell ref="E17:E18"/>
    <mergeCell ref="E19:E20"/>
    <mergeCell ref="E21:E22"/>
    <mergeCell ref="E23:E24"/>
    <mergeCell ref="E25:E26"/>
    <mergeCell ref="Q19:Q20"/>
    <mergeCell ref="Q25:Q26"/>
    <mergeCell ref="L27:L28"/>
    <mergeCell ref="M27:M28"/>
    <mergeCell ref="N27:N28"/>
    <mergeCell ref="M21:M22"/>
    <mergeCell ref="C13:C14"/>
    <mergeCell ref="C15:C16"/>
    <mergeCell ref="C17:C18"/>
    <mergeCell ref="C19:C20"/>
    <mergeCell ref="C21:C22"/>
    <mergeCell ref="C23:C24"/>
    <mergeCell ref="C25:C26"/>
    <mergeCell ref="C27:C28"/>
    <mergeCell ref="L25:L26"/>
    <mergeCell ref="C29:C30"/>
    <mergeCell ref="Q69:Q70"/>
    <mergeCell ref="Q59:Q60"/>
    <mergeCell ref="L61:L62"/>
    <mergeCell ref="N61:N62"/>
    <mergeCell ref="E13:E14"/>
    <mergeCell ref="N65:N66"/>
    <mergeCell ref="O65:O66"/>
    <mergeCell ref="P65:P66"/>
    <mergeCell ref="M61:M62"/>
    <mergeCell ref="L63:L64"/>
    <mergeCell ref="M63:M64"/>
    <mergeCell ref="N63:N64"/>
    <mergeCell ref="O63:O64"/>
    <mergeCell ref="P63:P64"/>
    <mergeCell ref="L57:L58"/>
    <mergeCell ref="M57:M58"/>
    <mergeCell ref="N57:N58"/>
    <mergeCell ref="O57:O58"/>
    <mergeCell ref="P57:P58"/>
    <mergeCell ref="L59:L60"/>
    <mergeCell ref="M59:M60"/>
    <mergeCell ref="E41:E42"/>
    <mergeCell ref="L41:L42"/>
    <mergeCell ref="M41:M42"/>
    <mergeCell ref="C79:C80"/>
    <mergeCell ref="C81:C82"/>
    <mergeCell ref="E79:E80"/>
    <mergeCell ref="E81:E82"/>
    <mergeCell ref="E61:E62"/>
    <mergeCell ref="C75:C76"/>
    <mergeCell ref="E75:E76"/>
    <mergeCell ref="L75:L76"/>
    <mergeCell ref="E47:E48"/>
    <mergeCell ref="L81:L82"/>
    <mergeCell ref="M81:M82"/>
    <mergeCell ref="B9:Q9"/>
    <mergeCell ref="B10:Q10"/>
    <mergeCell ref="L77:L78"/>
    <mergeCell ref="M77:M78"/>
    <mergeCell ref="N77:N78"/>
    <mergeCell ref="O77:O78"/>
    <mergeCell ref="P77:P78"/>
    <mergeCell ref="Q77:Q78"/>
    <mergeCell ref="Q65:Q66"/>
    <mergeCell ref="L67:L68"/>
    <mergeCell ref="M67:M68"/>
    <mergeCell ref="N67:N68"/>
    <mergeCell ref="O67:O68"/>
    <mergeCell ref="P67:P68"/>
    <mergeCell ref="Q67:Q68"/>
    <mergeCell ref="L69:L70"/>
    <mergeCell ref="Q75:Q76"/>
    <mergeCell ref="Q71:Q72"/>
    <mergeCell ref="Q61:Q62"/>
    <mergeCell ref="Q63:Q64"/>
    <mergeCell ref="Q57:Q58"/>
    <mergeCell ref="N59:N60"/>
    <mergeCell ref="O59:O60"/>
    <mergeCell ref="P59:P60"/>
    <mergeCell ref="B83:C83"/>
    <mergeCell ref="L79:L80"/>
    <mergeCell ref="M79:M80"/>
    <mergeCell ref="N79:N80"/>
    <mergeCell ref="O79:O80"/>
    <mergeCell ref="P79:P80"/>
    <mergeCell ref="C61:C62"/>
    <mergeCell ref="C63:C64"/>
    <mergeCell ref="C65:C66"/>
    <mergeCell ref="C67:C68"/>
    <mergeCell ref="C69:C70"/>
    <mergeCell ref="C77:C78"/>
    <mergeCell ref="O61:O62"/>
    <mergeCell ref="P61:P62"/>
    <mergeCell ref="E77:E78"/>
    <mergeCell ref="E71:E72"/>
    <mergeCell ref="L65:L66"/>
    <mergeCell ref="M65:M66"/>
    <mergeCell ref="N81:N82"/>
    <mergeCell ref="O81:O82"/>
    <mergeCell ref="P81:P82"/>
    <mergeCell ref="N43:N44"/>
    <mergeCell ref="O43:O44"/>
    <mergeCell ref="P43:P44"/>
    <mergeCell ref="C55:C56"/>
    <mergeCell ref="E51:E52"/>
    <mergeCell ref="M75:M76"/>
    <mergeCell ref="N75:N76"/>
    <mergeCell ref="O75:O76"/>
    <mergeCell ref="P75:P76"/>
    <mergeCell ref="M69:M70"/>
    <mergeCell ref="N69:N70"/>
    <mergeCell ref="O69:O70"/>
    <mergeCell ref="P69:P70"/>
    <mergeCell ref="C47:C48"/>
    <mergeCell ref="C43:C44"/>
    <mergeCell ref="M51:M52"/>
    <mergeCell ref="L53:L54"/>
    <mergeCell ref="M53:M54"/>
    <mergeCell ref="N53:N54"/>
    <mergeCell ref="O53:O54"/>
    <mergeCell ref="P53:P54"/>
    <mergeCell ref="O49:O50"/>
    <mergeCell ref="P49:P50"/>
  </mergeCells>
  <conditionalFormatting sqref="K13:K82">
    <cfRule type="cellIs" dxfId="2" priority="7" operator="greaterThan">
      <formula>0.95</formula>
    </cfRule>
  </conditionalFormatting>
  <conditionalFormatting sqref="Q13:Q82">
    <cfRule type="cellIs" dxfId="1" priority="5" operator="greaterThan">
      <formula>1</formula>
    </cfRule>
  </conditionalFormatting>
  <conditionalFormatting sqref="Q13:Q83">
    <cfRule type="cellIs" dxfId="0" priority="8" operator="greaterThan">
      <formula>1</formula>
    </cfRule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{E306D713-3B5F-4993-BA84-978D96DC8A33}</x14:id>
        </ext>
      </extLst>
    </cfRule>
  </conditionalFormatting>
  <conditionalFormatting sqref="K13:K83">
    <cfRule type="colorScale" priority="2">
      <colorScale>
        <cfvo type="min"/>
        <cfvo type="max"/>
        <color rgb="FFFCFCFF"/>
        <color rgb="FFF8696B"/>
      </colorScale>
    </cfRule>
  </conditionalFormatting>
  <conditionalFormatting sqref="Q13:Q84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orientation="portrait" r:id="rId1"/>
  <ignoredErrors>
    <ignoredError sqref="F43:F44 N77:N78 H14:H18 F77 H20:H24 H77:H78 H26:H30 H32:H36 N13:N36 F14:F26 H47:H70 F48:F70 N47:N70 F28:F36 N43:N44 H43:H44" 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06D713-3B5F-4993-BA84-978D96DC8A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Q13:Q83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showGridLines="0" workbookViewId="0">
      <selection activeCell="H28" sqref="H28"/>
    </sheetView>
  </sheetViews>
  <sheetFormatPr baseColWidth="10" defaultRowHeight="15" x14ac:dyDescent="0.25"/>
  <cols>
    <col min="1" max="1" width="18.140625" customWidth="1"/>
    <col min="2" max="2" width="12.42578125" bestFit="1" customWidth="1"/>
    <col min="3" max="3" width="18.28515625" bestFit="1" customWidth="1"/>
    <col min="4" max="4" width="11" bestFit="1" customWidth="1"/>
    <col min="5" max="5" width="12.7109375" bestFit="1" customWidth="1"/>
    <col min="6" max="7" width="11" bestFit="1" customWidth="1"/>
    <col min="8" max="8" width="12" bestFit="1" customWidth="1"/>
    <col min="9" max="9" width="12.7109375" bestFit="1" customWidth="1"/>
    <col min="10" max="10" width="9.140625" bestFit="1" customWidth="1"/>
    <col min="11" max="11" width="10.140625" bestFit="1" customWidth="1"/>
    <col min="12" max="12" width="10.85546875" bestFit="1" customWidth="1"/>
    <col min="13" max="13" width="8.7109375" bestFit="1" customWidth="1"/>
  </cols>
  <sheetData>
    <row r="4" spans="2:13" x14ac:dyDescent="0.25">
      <c r="B4" s="312" t="s">
        <v>108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4"/>
    </row>
    <row r="5" spans="2:13" x14ac:dyDescent="0.25">
      <c r="B5" s="309">
        <f>'RESUMEN '!B4:J4</f>
        <v>44926</v>
      </c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1"/>
    </row>
    <row r="6" spans="2:13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2:13" x14ac:dyDescent="0.25">
      <c r="B7" s="37" t="s">
        <v>109</v>
      </c>
      <c r="C7" s="37" t="s">
        <v>148</v>
      </c>
      <c r="D7" s="37" t="s">
        <v>113</v>
      </c>
      <c r="E7" s="37" t="s">
        <v>114</v>
      </c>
      <c r="F7" s="37" t="s">
        <v>115</v>
      </c>
      <c r="G7" s="37" t="s">
        <v>116</v>
      </c>
      <c r="H7" s="37" t="s">
        <v>117</v>
      </c>
      <c r="I7" s="37" t="s">
        <v>111</v>
      </c>
      <c r="J7" s="37" t="s">
        <v>118</v>
      </c>
      <c r="K7" s="37" t="s">
        <v>119</v>
      </c>
      <c r="L7" s="37" t="s">
        <v>120</v>
      </c>
      <c r="M7" s="37" t="s">
        <v>112</v>
      </c>
    </row>
    <row r="8" spans="2:13" x14ac:dyDescent="0.25">
      <c r="B8" s="272" t="s">
        <v>153</v>
      </c>
      <c r="C8" s="34" t="s">
        <v>56</v>
      </c>
      <c r="D8" s="244"/>
      <c r="E8" s="244"/>
      <c r="F8" s="244">
        <f>D8+E8</f>
        <v>0</v>
      </c>
      <c r="G8" s="75"/>
      <c r="H8" s="75"/>
      <c r="I8" s="244">
        <f>G13+H13</f>
        <v>0</v>
      </c>
      <c r="J8" s="244">
        <f>D13-G13</f>
        <v>0</v>
      </c>
      <c r="K8" s="244">
        <f>E13-H13</f>
        <v>0</v>
      </c>
      <c r="L8" s="244">
        <f>F13-I13</f>
        <v>0</v>
      </c>
      <c r="M8" s="315" t="e">
        <f>I13/F13</f>
        <v>#DIV/0!</v>
      </c>
    </row>
    <row r="9" spans="2:13" x14ac:dyDescent="0.25">
      <c r="B9" s="272"/>
      <c r="C9" s="34" t="s">
        <v>149</v>
      </c>
      <c r="D9" s="244"/>
      <c r="E9" s="244"/>
      <c r="F9" s="244"/>
      <c r="G9" s="75"/>
      <c r="H9" s="75"/>
      <c r="I9" s="244"/>
      <c r="J9" s="244"/>
      <c r="K9" s="244"/>
      <c r="L9" s="244"/>
      <c r="M9" s="315"/>
    </row>
    <row r="10" spans="2:13" x14ac:dyDescent="0.25">
      <c r="B10" s="272"/>
      <c r="C10" s="128" t="s">
        <v>151</v>
      </c>
      <c r="D10" s="244"/>
      <c r="E10" s="244"/>
      <c r="F10" s="244"/>
      <c r="G10" s="75"/>
      <c r="H10" s="75"/>
      <c r="I10" s="244"/>
      <c r="J10" s="244"/>
      <c r="K10" s="244"/>
      <c r="L10" s="244"/>
      <c r="M10" s="315"/>
    </row>
    <row r="11" spans="2:13" x14ac:dyDescent="0.25">
      <c r="B11" s="272"/>
      <c r="C11" s="128" t="s">
        <v>152</v>
      </c>
      <c r="D11" s="244"/>
      <c r="E11" s="244"/>
      <c r="F11" s="244"/>
      <c r="G11" s="75"/>
      <c r="H11" s="75"/>
      <c r="I11" s="244"/>
      <c r="J11" s="244"/>
      <c r="K11" s="244"/>
      <c r="L11" s="244"/>
      <c r="M11" s="315"/>
    </row>
    <row r="12" spans="2:13" x14ac:dyDescent="0.25">
      <c r="B12" s="272"/>
      <c r="C12" s="34" t="s">
        <v>150</v>
      </c>
      <c r="D12" s="244"/>
      <c r="E12" s="244"/>
      <c r="F12" s="244"/>
      <c r="G12" s="75"/>
      <c r="H12" s="75"/>
      <c r="I12" s="244"/>
      <c r="J12" s="244"/>
      <c r="K12" s="244"/>
      <c r="L12" s="244"/>
      <c r="M12" s="315"/>
    </row>
    <row r="13" spans="2:13" x14ac:dyDescent="0.25">
      <c r="B13" s="272"/>
      <c r="C13" s="129" t="s">
        <v>60</v>
      </c>
      <c r="D13" s="21">
        <f>D8</f>
        <v>0</v>
      </c>
      <c r="E13" s="21">
        <f>E8</f>
        <v>0</v>
      </c>
      <c r="F13" s="21">
        <f>SUM(F8)</f>
        <v>0</v>
      </c>
      <c r="G13" s="21">
        <f>G8+G9+G12</f>
        <v>0</v>
      </c>
      <c r="H13" s="21">
        <f>SUM(H8:H12)</f>
        <v>0</v>
      </c>
      <c r="I13" s="21">
        <f>I8</f>
        <v>0</v>
      </c>
      <c r="J13" s="21">
        <f>J8</f>
        <v>0</v>
      </c>
      <c r="K13" s="21">
        <f>K8</f>
        <v>0</v>
      </c>
      <c r="L13" s="21">
        <f>L8</f>
        <v>0</v>
      </c>
      <c r="M13" s="32" t="e">
        <f>M8</f>
        <v>#DIV/0!</v>
      </c>
    </row>
    <row r="15" spans="2:13" x14ac:dyDescent="0.25">
      <c r="B15" s="38"/>
      <c r="C15" s="38" t="s">
        <v>110</v>
      </c>
      <c r="D15" s="38" t="s">
        <v>115</v>
      </c>
      <c r="E15" s="38" t="s">
        <v>111</v>
      </c>
      <c r="F15" s="38" t="s">
        <v>120</v>
      </c>
      <c r="G15" s="38" t="s">
        <v>112</v>
      </c>
    </row>
    <row r="16" spans="2:13" x14ac:dyDescent="0.25">
      <c r="B16" s="279"/>
      <c r="C16" s="189" t="s">
        <v>92</v>
      </c>
      <c r="D16" s="189"/>
      <c r="E16" s="77"/>
      <c r="F16" s="189">
        <f>D16-E16</f>
        <v>0</v>
      </c>
      <c r="G16" s="35" t="e">
        <f>E16/D16</f>
        <v>#DIV/0!</v>
      </c>
    </row>
    <row r="17" spans="2:13" x14ac:dyDescent="0.25">
      <c r="B17" s="316"/>
      <c r="C17" s="129" t="s">
        <v>60</v>
      </c>
      <c r="D17" s="189"/>
      <c r="E17" s="189"/>
      <c r="F17" s="189">
        <f>D17-E17</f>
        <v>0</v>
      </c>
      <c r="G17" s="35" t="e">
        <f>E17/D17</f>
        <v>#DIV/0!</v>
      </c>
    </row>
    <row r="19" spans="2:13" x14ac:dyDescent="0.25">
      <c r="B19" s="37" t="s">
        <v>109</v>
      </c>
      <c r="C19" s="37" t="s">
        <v>148</v>
      </c>
      <c r="D19" s="37" t="s">
        <v>113</v>
      </c>
      <c r="E19" s="37" t="s">
        <v>172</v>
      </c>
      <c r="F19" s="37" t="s">
        <v>115</v>
      </c>
      <c r="G19" s="37" t="s">
        <v>116</v>
      </c>
      <c r="H19" s="37" t="s">
        <v>117</v>
      </c>
      <c r="I19" s="37" t="s">
        <v>111</v>
      </c>
      <c r="J19" s="37" t="s">
        <v>118</v>
      </c>
      <c r="K19" s="37" t="s">
        <v>119</v>
      </c>
      <c r="L19" s="37" t="s">
        <v>120</v>
      </c>
      <c r="M19" s="37" t="s">
        <v>112</v>
      </c>
    </row>
    <row r="20" spans="2:13" x14ac:dyDescent="0.25">
      <c r="B20" s="272" t="s">
        <v>170</v>
      </c>
      <c r="C20" s="189" t="s">
        <v>56</v>
      </c>
      <c r="D20" s="244">
        <v>26</v>
      </c>
      <c r="E20" s="244">
        <v>36</v>
      </c>
      <c r="F20" s="244">
        <f>D20+E20</f>
        <v>62</v>
      </c>
      <c r="G20" s="75">
        <v>7.9820000000000002</v>
      </c>
      <c r="H20" s="75"/>
      <c r="I20" s="244">
        <f>G24+H24</f>
        <v>45.463999999999999</v>
      </c>
      <c r="J20" s="244">
        <f>D24-G24</f>
        <v>-0.49399999999999977</v>
      </c>
      <c r="K20" s="244">
        <f>E24-H24</f>
        <v>17.03</v>
      </c>
      <c r="L20" s="244">
        <f>F24-I24</f>
        <v>16.536000000000001</v>
      </c>
      <c r="M20" s="315">
        <f>I24/F24</f>
        <v>0.73329032258064519</v>
      </c>
    </row>
    <row r="21" spans="2:13" x14ac:dyDescent="0.25">
      <c r="B21" s="272"/>
      <c r="C21" s="189" t="s">
        <v>151</v>
      </c>
      <c r="D21" s="244"/>
      <c r="E21" s="244"/>
      <c r="F21" s="244"/>
      <c r="G21" s="75">
        <v>13.269</v>
      </c>
      <c r="H21" s="75">
        <v>18.922999999999998</v>
      </c>
      <c r="I21" s="244"/>
      <c r="J21" s="244"/>
      <c r="K21" s="244"/>
      <c r="L21" s="244"/>
      <c r="M21" s="315"/>
    </row>
    <row r="22" spans="2:13" x14ac:dyDescent="0.25">
      <c r="B22" s="272"/>
      <c r="C22" s="189" t="s">
        <v>149</v>
      </c>
      <c r="D22" s="244"/>
      <c r="E22" s="244"/>
      <c r="F22" s="244"/>
      <c r="G22" s="75">
        <v>5.2430000000000003</v>
      </c>
      <c r="H22" s="75"/>
      <c r="I22" s="244"/>
      <c r="J22" s="244"/>
      <c r="K22" s="244"/>
      <c r="L22" s="244"/>
      <c r="M22" s="315"/>
    </row>
    <row r="23" spans="2:13" x14ac:dyDescent="0.25">
      <c r="B23" s="272"/>
      <c r="C23" s="189" t="s">
        <v>171</v>
      </c>
      <c r="D23" s="244"/>
      <c r="E23" s="244"/>
      <c r="F23" s="244"/>
      <c r="G23" s="75"/>
      <c r="H23" s="75">
        <v>4.7E-2</v>
      </c>
      <c r="I23" s="244"/>
      <c r="J23" s="244"/>
      <c r="K23" s="244"/>
      <c r="L23" s="244"/>
      <c r="M23" s="315"/>
    </row>
    <row r="24" spans="2:13" x14ac:dyDescent="0.25">
      <c r="B24" s="272"/>
      <c r="C24" s="129" t="s">
        <v>60</v>
      </c>
      <c r="D24" s="21">
        <f>D20</f>
        <v>26</v>
      </c>
      <c r="E24" s="21">
        <f>E20</f>
        <v>36</v>
      </c>
      <c r="F24" s="21">
        <f>SUM(F20)</f>
        <v>62</v>
      </c>
      <c r="G24" s="21">
        <f>SUM(G20:G23)</f>
        <v>26.494</v>
      </c>
      <c r="H24" s="21">
        <f>SUM(H21:H23)</f>
        <v>18.97</v>
      </c>
      <c r="I24" s="21">
        <f>I20</f>
        <v>45.463999999999999</v>
      </c>
      <c r="J24" s="21">
        <f>J20</f>
        <v>-0.49399999999999977</v>
      </c>
      <c r="K24" s="21">
        <f>K20</f>
        <v>17.03</v>
      </c>
      <c r="L24" s="21">
        <f>L20</f>
        <v>16.536000000000001</v>
      </c>
      <c r="M24" s="32">
        <f>M20</f>
        <v>0.73329032258064519</v>
      </c>
    </row>
  </sheetData>
  <mergeCells count="21">
    <mergeCell ref="I20:I23"/>
    <mergeCell ref="J20:J23"/>
    <mergeCell ref="K20:K23"/>
    <mergeCell ref="L20:L23"/>
    <mergeCell ref="M20:M23"/>
    <mergeCell ref="B20:B24"/>
    <mergeCell ref="D20:D23"/>
    <mergeCell ref="E20:E23"/>
    <mergeCell ref="F20:F23"/>
    <mergeCell ref="B16:B17"/>
    <mergeCell ref="B5:M5"/>
    <mergeCell ref="E8:E12"/>
    <mergeCell ref="F8:F12"/>
    <mergeCell ref="B4:M4"/>
    <mergeCell ref="D8:D12"/>
    <mergeCell ref="I8:I12"/>
    <mergeCell ref="L8:L12"/>
    <mergeCell ref="M8:M12"/>
    <mergeCell ref="J8:J12"/>
    <mergeCell ref="K8:K12"/>
    <mergeCell ref="B8:B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6"/>
  <sheetViews>
    <sheetView showGridLines="0" workbookViewId="0">
      <selection activeCell="E191" sqref="E191"/>
    </sheetView>
  </sheetViews>
  <sheetFormatPr baseColWidth="10" defaultColWidth="11.42578125" defaultRowHeight="12" x14ac:dyDescent="0.2"/>
  <cols>
    <col min="1" max="1" width="23.28515625" style="15" bestFit="1" customWidth="1"/>
    <col min="2" max="2" width="18.85546875" style="15" bestFit="1" customWidth="1"/>
    <col min="3" max="3" width="4.85546875" style="15" bestFit="1" customWidth="1"/>
    <col min="4" max="4" width="14.42578125" style="15" bestFit="1" customWidth="1"/>
    <col min="5" max="5" width="33" style="15" bestFit="1" customWidth="1"/>
    <col min="6" max="6" width="10.85546875" style="15" bestFit="1" customWidth="1"/>
    <col min="7" max="7" width="10.28515625" style="15" bestFit="1" customWidth="1"/>
    <col min="8" max="8" width="8.140625" style="16" bestFit="1" customWidth="1"/>
    <col min="9" max="9" width="16" style="16" bestFit="1" customWidth="1"/>
    <col min="10" max="10" width="11.7109375" style="16" bestFit="1" customWidth="1"/>
    <col min="11" max="11" width="6.5703125" style="16" bestFit="1" customWidth="1"/>
    <col min="12" max="12" width="7.42578125" style="16" bestFit="1" customWidth="1"/>
    <col min="13" max="13" width="15.85546875" style="28" bestFit="1" customWidth="1"/>
    <col min="14" max="14" width="10.85546875" style="33" customWidth="1"/>
    <col min="15" max="15" width="9" style="15" bestFit="1" customWidth="1"/>
    <col min="16" max="16" width="4.42578125" style="15" bestFit="1" customWidth="1"/>
    <col min="17" max="16384" width="11.42578125" style="15"/>
  </cols>
  <sheetData>
    <row r="1" spans="1:17" x14ac:dyDescent="0.2">
      <c r="A1" s="5" t="s">
        <v>65</v>
      </c>
      <c r="B1" s="5" t="s">
        <v>66</v>
      </c>
      <c r="C1" s="5" t="s">
        <v>67</v>
      </c>
      <c r="D1" s="6" t="s">
        <v>68</v>
      </c>
      <c r="E1" s="5" t="s">
        <v>69</v>
      </c>
      <c r="F1" s="5" t="s">
        <v>70</v>
      </c>
      <c r="G1" s="5" t="s">
        <v>71</v>
      </c>
      <c r="H1" s="7" t="s">
        <v>72</v>
      </c>
      <c r="I1" s="7" t="s">
        <v>73</v>
      </c>
      <c r="J1" s="7" t="s">
        <v>74</v>
      </c>
      <c r="K1" s="7" t="s">
        <v>75</v>
      </c>
      <c r="L1" s="7" t="s">
        <v>76</v>
      </c>
      <c r="M1" s="25" t="s">
        <v>77</v>
      </c>
      <c r="N1" s="8" t="s">
        <v>78</v>
      </c>
      <c r="O1" s="9" t="s">
        <v>79</v>
      </c>
      <c r="P1" s="10" t="s">
        <v>80</v>
      </c>
      <c r="Q1" s="10" t="s">
        <v>81</v>
      </c>
    </row>
    <row r="2" spans="1:17" x14ac:dyDescent="0.2">
      <c r="A2" s="17" t="s">
        <v>47</v>
      </c>
      <c r="B2" s="17" t="s">
        <v>82</v>
      </c>
      <c r="C2" s="17" t="s">
        <v>83</v>
      </c>
      <c r="D2" s="17" t="s">
        <v>84</v>
      </c>
      <c r="E2" s="17" t="s">
        <v>84</v>
      </c>
      <c r="F2" s="17" t="s">
        <v>85</v>
      </c>
      <c r="G2" s="17" t="s">
        <v>86</v>
      </c>
      <c r="H2" s="18">
        <f>'CUOTA ARTESANAL'!E6</f>
        <v>8</v>
      </c>
      <c r="I2" s="18">
        <f>'CUOTA ARTESANAL'!F6</f>
        <v>0</v>
      </c>
      <c r="J2" s="18">
        <f>'CUOTA ARTESANAL'!G6</f>
        <v>8</v>
      </c>
      <c r="K2" s="18">
        <f>'CUOTA ARTESANAL'!H6</f>
        <v>0</v>
      </c>
      <c r="L2" s="18">
        <f>'CUOTA ARTESANAL'!I6</f>
        <v>8</v>
      </c>
      <c r="M2" s="26">
        <f>'CUOTA ARTESANAL'!J6</f>
        <v>0</v>
      </c>
      <c r="N2" s="19" t="str">
        <f>'CUOTA ARTESANAL'!K6</f>
        <v>-</v>
      </c>
      <c r="O2" s="19">
        <f>'RESUMEN '!$B$4</f>
        <v>44926</v>
      </c>
      <c r="P2" s="17">
        <v>2022</v>
      </c>
      <c r="Q2" s="17"/>
    </row>
    <row r="3" spans="1:17" x14ac:dyDescent="0.2">
      <c r="A3" s="17" t="s">
        <v>47</v>
      </c>
      <c r="B3" s="17" t="s">
        <v>82</v>
      </c>
      <c r="C3" s="17" t="s">
        <v>83</v>
      </c>
      <c r="D3" s="17" t="s">
        <v>84</v>
      </c>
      <c r="E3" s="17" t="s">
        <v>84</v>
      </c>
      <c r="F3" s="17" t="s">
        <v>87</v>
      </c>
      <c r="G3" s="17" t="s">
        <v>88</v>
      </c>
      <c r="H3" s="18">
        <f>'CUOTA ARTESANAL'!E7</f>
        <v>2</v>
      </c>
      <c r="I3" s="18">
        <f>'CUOTA ARTESANAL'!F7</f>
        <v>0</v>
      </c>
      <c r="J3" s="18">
        <f>'CUOTA ARTESANAL'!G7</f>
        <v>10</v>
      </c>
      <c r="K3" s="18">
        <f>'CUOTA ARTESANAL'!H7</f>
        <v>0</v>
      </c>
      <c r="L3" s="18">
        <f>'CUOTA ARTESANAL'!I7</f>
        <v>10</v>
      </c>
      <c r="M3" s="26">
        <f>'CUOTA ARTESANAL'!J7</f>
        <v>0</v>
      </c>
      <c r="N3" s="19" t="str">
        <f>'CUOTA ARTESANAL'!K7</f>
        <v>-</v>
      </c>
      <c r="O3" s="19">
        <f>'RESUMEN '!$B$4</f>
        <v>44926</v>
      </c>
      <c r="P3" s="17">
        <v>2022</v>
      </c>
      <c r="Q3" s="17"/>
    </row>
    <row r="4" spans="1:17" x14ac:dyDescent="0.2">
      <c r="A4" s="17" t="s">
        <v>47</v>
      </c>
      <c r="B4" s="17" t="s">
        <v>82</v>
      </c>
      <c r="C4" s="17" t="s">
        <v>83</v>
      </c>
      <c r="D4" s="17" t="s">
        <v>84</v>
      </c>
      <c r="E4" s="17" t="s">
        <v>84</v>
      </c>
      <c r="F4" s="17" t="s">
        <v>89</v>
      </c>
      <c r="G4" s="17" t="s">
        <v>88</v>
      </c>
      <c r="H4" s="18">
        <f>'CUOTA ARTESANAL'!L6</f>
        <v>10</v>
      </c>
      <c r="I4" s="18">
        <f>'CUOTA ARTESANAL'!M6</f>
        <v>0</v>
      </c>
      <c r="J4" s="18">
        <f>'CUOTA ARTESANAL'!N6</f>
        <v>10</v>
      </c>
      <c r="K4" s="18">
        <f>'CUOTA ARTESANAL'!O6</f>
        <v>0</v>
      </c>
      <c r="L4" s="18">
        <f>'CUOTA ARTESANAL'!P6</f>
        <v>10</v>
      </c>
      <c r="M4" s="26">
        <f>'CUOTA ARTESANAL'!Q6</f>
        <v>0</v>
      </c>
      <c r="N4" s="19" t="s">
        <v>92</v>
      </c>
      <c r="O4" s="19">
        <f>'RESUMEN '!$B$4</f>
        <v>44926</v>
      </c>
      <c r="P4" s="17">
        <v>2022</v>
      </c>
      <c r="Q4" s="17"/>
    </row>
    <row r="5" spans="1:17" x14ac:dyDescent="0.2">
      <c r="A5" s="17" t="s">
        <v>47</v>
      </c>
      <c r="B5" s="17" t="s">
        <v>82</v>
      </c>
      <c r="C5" s="17" t="s">
        <v>90</v>
      </c>
      <c r="D5" s="17" t="s">
        <v>91</v>
      </c>
      <c r="E5" s="17" t="str">
        <f>'CUOTA ARTESANAL'!C8</f>
        <v>PUNTA TALCA</v>
      </c>
      <c r="F5" s="17" t="s">
        <v>85</v>
      </c>
      <c r="G5" s="17" t="s">
        <v>86</v>
      </c>
      <c r="H5" s="18">
        <f>'CUOTA ARTESANAL'!E8</f>
        <v>134.51400000000001</v>
      </c>
      <c r="I5" s="18">
        <f>'CUOTA ARTESANAL'!F8</f>
        <v>158.41</v>
      </c>
      <c r="J5" s="18">
        <f>'CUOTA ARTESANAL'!G8</f>
        <v>292.92399999999998</v>
      </c>
      <c r="K5" s="18">
        <f>'CUOTA ARTESANAL'!H8</f>
        <v>306.47500000000002</v>
      </c>
      <c r="L5" s="18">
        <f>'CUOTA ARTESANAL'!I8</f>
        <v>-13.551000000000045</v>
      </c>
      <c r="M5" s="26">
        <f>'CUOTA ARTESANAL'!J8</f>
        <v>1.046261146235884</v>
      </c>
      <c r="N5" s="19">
        <f>'CUOTA ARTESANAL'!K8</f>
        <v>44686</v>
      </c>
      <c r="O5" s="19">
        <f>'RESUMEN '!$B$4</f>
        <v>44926</v>
      </c>
      <c r="P5" s="17">
        <v>2022</v>
      </c>
      <c r="Q5" s="17"/>
    </row>
    <row r="6" spans="1:17" x14ac:dyDescent="0.2">
      <c r="A6" s="17" t="s">
        <v>47</v>
      </c>
      <c r="B6" s="17" t="s">
        <v>82</v>
      </c>
      <c r="C6" s="17" t="s">
        <v>90</v>
      </c>
      <c r="D6" s="17" t="s">
        <v>91</v>
      </c>
      <c r="E6" s="17" t="str">
        <f>'CUOTA ARTESANAL'!C8</f>
        <v>PUNTA TALCA</v>
      </c>
      <c r="F6" s="17" t="s">
        <v>87</v>
      </c>
      <c r="G6" s="17" t="s">
        <v>88</v>
      </c>
      <c r="H6" s="18">
        <f>'CUOTA ARTESANAL'!E9</f>
        <v>14.664</v>
      </c>
      <c r="I6" s="18">
        <f>'CUOTA ARTESANAL'!F9</f>
        <v>0</v>
      </c>
      <c r="J6" s="18">
        <f>'CUOTA ARTESANAL'!G9</f>
        <v>1.1129999999999551</v>
      </c>
      <c r="K6" s="18">
        <f>'CUOTA ARTESANAL'!H9</f>
        <v>0</v>
      </c>
      <c r="L6" s="18">
        <f>'CUOTA ARTESANAL'!I9</f>
        <v>1.1129999999999551</v>
      </c>
      <c r="M6" s="26">
        <f>'CUOTA ARTESANAL'!J9</f>
        <v>0</v>
      </c>
      <c r="N6" s="19" t="str">
        <f>'CUOTA ARTESANAL'!K9</f>
        <v>-</v>
      </c>
      <c r="O6" s="19">
        <f>'RESUMEN '!$B$4</f>
        <v>44926</v>
      </c>
      <c r="P6" s="17">
        <v>2022</v>
      </c>
      <c r="Q6" s="17"/>
    </row>
    <row r="7" spans="1:17" x14ac:dyDescent="0.2">
      <c r="A7" s="17" t="s">
        <v>47</v>
      </c>
      <c r="B7" s="17" t="s">
        <v>82</v>
      </c>
      <c r="C7" s="17" t="s">
        <v>90</v>
      </c>
      <c r="D7" s="17" t="s">
        <v>91</v>
      </c>
      <c r="E7" s="17" t="str">
        <f>'CUOTA ARTESANAL'!C8</f>
        <v>PUNTA TALCA</v>
      </c>
      <c r="F7" s="17" t="s">
        <v>89</v>
      </c>
      <c r="G7" s="17" t="s">
        <v>88</v>
      </c>
      <c r="H7" s="18">
        <f>'CUOTA ARTESANAL'!L8</f>
        <v>149.178</v>
      </c>
      <c r="I7" s="18">
        <f>'CUOTA ARTESANAL'!M8</f>
        <v>158.41</v>
      </c>
      <c r="J7" s="18">
        <f>'CUOTA ARTESANAL'!N8</f>
        <v>307.58799999999997</v>
      </c>
      <c r="K7" s="18">
        <f>'CUOTA ARTESANAL'!O8</f>
        <v>306.47500000000002</v>
      </c>
      <c r="L7" s="18">
        <f>'CUOTA ARTESANAL'!P8</f>
        <v>1.1129999999999427</v>
      </c>
      <c r="M7" s="26">
        <f>'CUOTA ARTESANAL'!Q8</f>
        <v>0.99638152333641128</v>
      </c>
      <c r="N7" s="19" t="s">
        <v>92</v>
      </c>
      <c r="O7" s="19">
        <f>'RESUMEN '!$B$4</f>
        <v>44926</v>
      </c>
      <c r="P7" s="17">
        <v>2022</v>
      </c>
      <c r="Q7" s="17"/>
    </row>
    <row r="8" spans="1:17" x14ac:dyDescent="0.2">
      <c r="A8" s="17" t="s">
        <v>47</v>
      </c>
      <c r="B8" s="17" t="s">
        <v>82</v>
      </c>
      <c r="C8" s="17" t="s">
        <v>90</v>
      </c>
      <c r="D8" s="17" t="s">
        <v>91</v>
      </c>
      <c r="E8" s="17" t="str">
        <f>'CUOTA ARTESANAL'!C10</f>
        <v>TRAUWUN I</v>
      </c>
      <c r="F8" s="17" t="s">
        <v>85</v>
      </c>
      <c r="G8" s="17" t="s">
        <v>86</v>
      </c>
      <c r="H8" s="18">
        <f>'CUOTA ARTESANAL'!E10</f>
        <v>125.45099999999999</v>
      </c>
      <c r="I8" s="18">
        <f>'CUOTA ARTESANAL'!F10</f>
        <v>0</v>
      </c>
      <c r="J8" s="18">
        <f>'CUOTA ARTESANAL'!G10</f>
        <v>125.45099999999999</v>
      </c>
      <c r="K8" s="18">
        <f>'CUOTA ARTESANAL'!H10</f>
        <v>135.57900000000001</v>
      </c>
      <c r="L8" s="18">
        <f>'CUOTA ARTESANAL'!I10</f>
        <v>-10.128000000000014</v>
      </c>
      <c r="M8" s="26">
        <f>'CUOTA ARTESANAL'!J10</f>
        <v>1.0807327163593754</v>
      </c>
      <c r="N8" s="19" t="str">
        <f>'CUOTA ARTESANAL'!K10</f>
        <v>-</v>
      </c>
      <c r="O8" s="19">
        <f>'RESUMEN '!$B$4</f>
        <v>44926</v>
      </c>
      <c r="P8" s="17">
        <v>2022</v>
      </c>
      <c r="Q8" s="17"/>
    </row>
    <row r="9" spans="1:17" x14ac:dyDescent="0.2">
      <c r="A9" s="17" t="s">
        <v>47</v>
      </c>
      <c r="B9" s="17" t="s">
        <v>82</v>
      </c>
      <c r="C9" s="17" t="s">
        <v>90</v>
      </c>
      <c r="D9" s="17" t="s">
        <v>91</v>
      </c>
      <c r="E9" s="17" t="str">
        <f>'CUOTA ARTESANAL'!C10</f>
        <v>TRAUWUN I</v>
      </c>
      <c r="F9" s="17" t="s">
        <v>87</v>
      </c>
      <c r="G9" s="17" t="s">
        <v>88</v>
      </c>
      <c r="H9" s="18">
        <f>'CUOTA ARTESANAL'!E11</f>
        <v>13.676</v>
      </c>
      <c r="I9" s="18">
        <f>'CUOTA ARTESANAL'!F11</f>
        <v>0</v>
      </c>
      <c r="J9" s="18">
        <f>'CUOTA ARTESANAL'!G11</f>
        <v>3.5479999999999858</v>
      </c>
      <c r="K9" s="18">
        <f>'CUOTA ARTESANAL'!H11</f>
        <v>0</v>
      </c>
      <c r="L9" s="18">
        <f>'CUOTA ARTESANAL'!I11</f>
        <v>3.5479999999999858</v>
      </c>
      <c r="M9" s="26">
        <f>'CUOTA ARTESANAL'!J11</f>
        <v>0</v>
      </c>
      <c r="N9" s="19" t="str">
        <f>'CUOTA ARTESANAL'!K11</f>
        <v>-</v>
      </c>
      <c r="O9" s="19">
        <f>'RESUMEN '!$B$4</f>
        <v>44926</v>
      </c>
      <c r="P9" s="17">
        <v>2022</v>
      </c>
      <c r="Q9" s="17"/>
    </row>
    <row r="10" spans="1:17" x14ac:dyDescent="0.2">
      <c r="A10" s="17" t="s">
        <v>47</v>
      </c>
      <c r="B10" s="17" t="s">
        <v>82</v>
      </c>
      <c r="C10" s="17" t="s">
        <v>90</v>
      </c>
      <c r="D10" s="17" t="s">
        <v>91</v>
      </c>
      <c r="E10" s="17" t="str">
        <f>'CUOTA ARTESANAL'!C10</f>
        <v>TRAUWUN I</v>
      </c>
      <c r="F10" s="17" t="s">
        <v>89</v>
      </c>
      <c r="G10" s="17" t="s">
        <v>88</v>
      </c>
      <c r="H10" s="18">
        <f>'CUOTA ARTESANAL'!L10</f>
        <v>139.12699999999998</v>
      </c>
      <c r="I10" s="18">
        <f>'CUOTA ARTESANAL'!M10</f>
        <v>0</v>
      </c>
      <c r="J10" s="18">
        <f>'CUOTA ARTESANAL'!N10</f>
        <v>139.12699999999998</v>
      </c>
      <c r="K10" s="18">
        <f>'CUOTA ARTESANAL'!O10</f>
        <v>135.57900000000001</v>
      </c>
      <c r="L10" s="18">
        <f>'CUOTA ARTESANAL'!P10</f>
        <v>3.5479999999999734</v>
      </c>
      <c r="M10" s="26">
        <f>'CUOTA ARTESANAL'!Q10</f>
        <v>0.97449812042234807</v>
      </c>
      <c r="N10" s="19" t="s">
        <v>92</v>
      </c>
      <c r="O10" s="19">
        <f>'RESUMEN '!$B$4</f>
        <v>44926</v>
      </c>
      <c r="P10" s="17">
        <v>2022</v>
      </c>
      <c r="Q10" s="17"/>
    </row>
    <row r="11" spans="1:17" x14ac:dyDescent="0.2">
      <c r="A11" s="17" t="s">
        <v>47</v>
      </c>
      <c r="B11" s="17" t="s">
        <v>82</v>
      </c>
      <c r="C11" s="17" t="s">
        <v>90</v>
      </c>
      <c r="D11" s="17" t="s">
        <v>91</v>
      </c>
      <c r="E11" s="17" t="str">
        <f>'CUOTA ARTESANAL'!C12</f>
        <v>CHAFIC I</v>
      </c>
      <c r="F11" s="17" t="s">
        <v>85</v>
      </c>
      <c r="G11" s="17" t="s">
        <v>86</v>
      </c>
      <c r="H11" s="18">
        <f>'CUOTA ARTESANAL'!E12</f>
        <v>96.831000000000003</v>
      </c>
      <c r="I11" s="18">
        <f>'CUOTA ARTESANAL'!F12</f>
        <v>140.5</v>
      </c>
      <c r="J11" s="18">
        <f>'CUOTA ARTESANAL'!G12</f>
        <v>237.33100000000002</v>
      </c>
      <c r="K11" s="18">
        <f>'CUOTA ARTESANAL'!H12</f>
        <v>228.78800000000001</v>
      </c>
      <c r="L11" s="18">
        <f>'CUOTA ARTESANAL'!I12</f>
        <v>8.5430000000000064</v>
      </c>
      <c r="M11" s="26">
        <f>'CUOTA ARTESANAL'!J12</f>
        <v>0.96400385958850721</v>
      </c>
      <c r="N11" s="19" t="str">
        <f>'CUOTA ARTESANAL'!K12</f>
        <v>-</v>
      </c>
      <c r="O11" s="19">
        <f>'RESUMEN '!$B$4</f>
        <v>44926</v>
      </c>
      <c r="P11" s="17">
        <v>2022</v>
      </c>
      <c r="Q11" s="17"/>
    </row>
    <row r="12" spans="1:17" x14ac:dyDescent="0.2">
      <c r="A12" s="17" t="s">
        <v>47</v>
      </c>
      <c r="B12" s="17" t="s">
        <v>82</v>
      </c>
      <c r="C12" s="17" t="s">
        <v>90</v>
      </c>
      <c r="D12" s="17" t="s">
        <v>91</v>
      </c>
      <c r="E12" s="17" t="str">
        <f>'CUOTA ARTESANAL'!C12</f>
        <v>CHAFIC I</v>
      </c>
      <c r="F12" s="17" t="s">
        <v>87</v>
      </c>
      <c r="G12" s="17" t="s">
        <v>88</v>
      </c>
      <c r="H12" s="18">
        <f>'CUOTA ARTESANAL'!E13</f>
        <v>10.555999999999999</v>
      </c>
      <c r="I12" s="18">
        <f>'CUOTA ARTESANAL'!F13</f>
        <v>0</v>
      </c>
      <c r="J12" s="18">
        <f>'CUOTA ARTESANAL'!G13</f>
        <v>19.099000000000004</v>
      </c>
      <c r="K12" s="18">
        <f>'CUOTA ARTESANAL'!H13</f>
        <v>11.055999999999999</v>
      </c>
      <c r="L12" s="18">
        <f>'CUOTA ARTESANAL'!I13</f>
        <v>8.0430000000000046</v>
      </c>
      <c r="M12" s="26">
        <f>'CUOTA ARTESANAL'!J13</f>
        <v>0.57887847531284342</v>
      </c>
      <c r="N12" s="19" t="str">
        <f>'CUOTA ARTESANAL'!K13</f>
        <v>-</v>
      </c>
      <c r="O12" s="19">
        <f>'RESUMEN '!$B$4</f>
        <v>44926</v>
      </c>
      <c r="P12" s="17">
        <v>2022</v>
      </c>
      <c r="Q12" s="17"/>
    </row>
    <row r="13" spans="1:17" x14ac:dyDescent="0.2">
      <c r="A13" s="17" t="s">
        <v>47</v>
      </c>
      <c r="B13" s="17" t="s">
        <v>82</v>
      </c>
      <c r="C13" s="17" t="s">
        <v>90</v>
      </c>
      <c r="D13" s="17" t="s">
        <v>91</v>
      </c>
      <c r="E13" s="17" t="str">
        <f>'CUOTA ARTESANAL'!C12</f>
        <v>CHAFIC I</v>
      </c>
      <c r="F13" s="17" t="s">
        <v>89</v>
      </c>
      <c r="G13" s="17" t="s">
        <v>88</v>
      </c>
      <c r="H13" s="18">
        <f>'CUOTA ARTESANAL'!L12</f>
        <v>107.387</v>
      </c>
      <c r="I13" s="18">
        <f>'CUOTA ARTESANAL'!M12</f>
        <v>140.5</v>
      </c>
      <c r="J13" s="18">
        <f>'CUOTA ARTESANAL'!N12</f>
        <v>247.887</v>
      </c>
      <c r="K13" s="18">
        <f>'CUOTA ARTESANAL'!O12</f>
        <v>239.84400000000002</v>
      </c>
      <c r="L13" s="18">
        <f>'CUOTA ARTESANAL'!P12</f>
        <v>8.0429999999999779</v>
      </c>
      <c r="M13" s="26">
        <f>'CUOTA ARTESANAL'!Q12</f>
        <v>0.96755376441685137</v>
      </c>
      <c r="N13" s="19" t="s">
        <v>92</v>
      </c>
      <c r="O13" s="19">
        <f>'RESUMEN '!$B$4</f>
        <v>44926</v>
      </c>
      <c r="P13" s="17">
        <v>2022</v>
      </c>
      <c r="Q13" s="17"/>
    </row>
    <row r="14" spans="1:17" x14ac:dyDescent="0.2">
      <c r="A14" s="17" t="s">
        <v>47</v>
      </c>
      <c r="B14" s="17" t="s">
        <v>82</v>
      </c>
      <c r="C14" s="17" t="s">
        <v>90</v>
      </c>
      <c r="D14" s="17" t="s">
        <v>91</v>
      </c>
      <c r="E14" s="17" t="str">
        <f>'CUOTA ARTESANAL'!C14:C15</f>
        <v>ISLA TABON</v>
      </c>
      <c r="F14" s="17" t="s">
        <v>85</v>
      </c>
      <c r="G14" s="17" t="s">
        <v>86</v>
      </c>
      <c r="H14" s="18">
        <f>'CUOTA ARTESANAL'!E14</f>
        <v>101.568</v>
      </c>
      <c r="I14" s="18">
        <f>'CUOTA ARTESANAL'!F14</f>
        <v>-60</v>
      </c>
      <c r="J14" s="18">
        <f>'CUOTA ARTESANAL'!G14</f>
        <v>41.567999999999998</v>
      </c>
      <c r="K14" s="18">
        <f>'CUOTA ARTESANAL'!H14</f>
        <v>39.426000000000002</v>
      </c>
      <c r="L14" s="18">
        <f>'CUOTA ARTESANAL'!I14</f>
        <v>2.1419999999999959</v>
      </c>
      <c r="M14" s="26">
        <f>'CUOTA ARTESANAL'!J14</f>
        <v>0.94846997690531187</v>
      </c>
      <c r="N14" s="19" t="str">
        <f>'CUOTA ARTESANAL'!K14</f>
        <v>-</v>
      </c>
      <c r="O14" s="19">
        <f>'RESUMEN '!$B$4</f>
        <v>44926</v>
      </c>
      <c r="P14" s="17">
        <v>2022</v>
      </c>
      <c r="Q14" s="17"/>
    </row>
    <row r="15" spans="1:17" x14ac:dyDescent="0.2">
      <c r="A15" s="17" t="s">
        <v>47</v>
      </c>
      <c r="B15" s="17" t="s">
        <v>82</v>
      </c>
      <c r="C15" s="17" t="s">
        <v>90</v>
      </c>
      <c r="D15" s="17" t="s">
        <v>91</v>
      </c>
      <c r="E15" s="17" t="str">
        <f>'CUOTA ARTESANAL'!C14</f>
        <v>ISLA TABON</v>
      </c>
      <c r="F15" s="17" t="s">
        <v>87</v>
      </c>
      <c r="G15" s="17" t="s">
        <v>88</v>
      </c>
      <c r="H15" s="18">
        <f>'CUOTA ARTESANAL'!E15</f>
        <v>0</v>
      </c>
      <c r="I15" s="18">
        <f>'CUOTA ARTESANAL'!F15</f>
        <v>0</v>
      </c>
      <c r="J15" s="18">
        <f>'CUOTA ARTESANAL'!G15</f>
        <v>2.1419999999999959</v>
      </c>
      <c r="K15" s="18">
        <f>'CUOTA ARTESANAL'!H15</f>
        <v>0</v>
      </c>
      <c r="L15" s="18">
        <f>'CUOTA ARTESANAL'!I15</f>
        <v>2.1419999999999959</v>
      </c>
      <c r="M15" s="26">
        <f>'CUOTA ARTESANAL'!J15</f>
        <v>0</v>
      </c>
      <c r="N15" s="19" t="str">
        <f>'CUOTA ARTESANAL'!K15</f>
        <v>-</v>
      </c>
      <c r="O15" s="19">
        <f>'RESUMEN '!$B$4</f>
        <v>44926</v>
      </c>
      <c r="P15" s="17">
        <v>2022</v>
      </c>
      <c r="Q15" s="17"/>
    </row>
    <row r="16" spans="1:17" x14ac:dyDescent="0.2">
      <c r="A16" s="17" t="s">
        <v>47</v>
      </c>
      <c r="B16" s="17" t="s">
        <v>82</v>
      </c>
      <c r="C16" s="17" t="s">
        <v>90</v>
      </c>
      <c r="D16" s="17" t="s">
        <v>91</v>
      </c>
      <c r="E16" s="17" t="str">
        <f>'CUOTA ARTESANAL'!C14</f>
        <v>ISLA TABON</v>
      </c>
      <c r="F16" s="17" t="s">
        <v>89</v>
      </c>
      <c r="G16" s="17" t="s">
        <v>88</v>
      </c>
      <c r="H16" s="18">
        <f>'CUOTA ARTESANAL'!L14</f>
        <v>101.568</v>
      </c>
      <c r="I16" s="18">
        <f>'CUOTA ARTESANAL'!M14</f>
        <v>-60</v>
      </c>
      <c r="J16" s="18">
        <f>'CUOTA ARTESANAL'!N14</f>
        <v>41.567999999999998</v>
      </c>
      <c r="K16" s="18">
        <f>'CUOTA ARTESANAL'!O14</f>
        <v>39.426000000000002</v>
      </c>
      <c r="L16" s="18">
        <f>'CUOTA ARTESANAL'!P14</f>
        <v>2.1419999999999959</v>
      </c>
      <c r="M16" s="26">
        <f>'CUOTA ARTESANAL'!Q14</f>
        <v>0.94846997690531187</v>
      </c>
      <c r="N16" s="19" t="s">
        <v>92</v>
      </c>
      <c r="O16" s="19">
        <f>'RESUMEN '!$B$4</f>
        <v>44926</v>
      </c>
      <c r="P16" s="17">
        <v>2022</v>
      </c>
      <c r="Q16" s="17"/>
    </row>
    <row r="17" spans="1:17" x14ac:dyDescent="0.2">
      <c r="A17" s="17" t="s">
        <v>47</v>
      </c>
      <c r="B17" s="17" t="s">
        <v>82</v>
      </c>
      <c r="C17" s="17" t="s">
        <v>90</v>
      </c>
      <c r="D17" s="17" t="s">
        <v>91</v>
      </c>
      <c r="E17" s="17" t="str">
        <f>'CUOTA ARTESANAL'!C16</f>
        <v>RESIDUAL</v>
      </c>
      <c r="F17" s="17" t="s">
        <v>85</v>
      </c>
      <c r="G17" s="17" t="s">
        <v>86</v>
      </c>
      <c r="H17" s="18">
        <f>'CUOTA ARTESANAL'!E16</f>
        <v>28.62</v>
      </c>
      <c r="I17" s="18">
        <f>'CUOTA ARTESANAL'!F16</f>
        <v>0</v>
      </c>
      <c r="J17" s="18">
        <f>'CUOTA ARTESANAL'!G16</f>
        <v>28.62</v>
      </c>
      <c r="K17" s="18">
        <f>'CUOTA ARTESANAL'!H16</f>
        <v>26.646999999999998</v>
      </c>
      <c r="L17" s="18">
        <f>'CUOTA ARTESANAL'!I16</f>
        <v>1.9730000000000025</v>
      </c>
      <c r="M17" s="26">
        <f>'CUOTA ARTESANAL'!J16</f>
        <v>0.93106219426974135</v>
      </c>
      <c r="N17" s="19" t="str">
        <f>'CUOTA ARTESANAL'!K16</f>
        <v>-</v>
      </c>
      <c r="O17" s="19">
        <f>'RESUMEN '!$B$4</f>
        <v>44926</v>
      </c>
      <c r="P17" s="17">
        <v>2022</v>
      </c>
      <c r="Q17" s="17"/>
    </row>
    <row r="18" spans="1:17" x14ac:dyDescent="0.2">
      <c r="A18" s="17" t="s">
        <v>47</v>
      </c>
      <c r="B18" s="17" t="s">
        <v>82</v>
      </c>
      <c r="C18" s="17" t="s">
        <v>90</v>
      </c>
      <c r="D18" s="17" t="s">
        <v>91</v>
      </c>
      <c r="E18" s="17" t="str">
        <f>'CUOTA ARTESANAL'!C16</f>
        <v>RESIDUAL</v>
      </c>
      <c r="F18" s="17" t="s">
        <v>87</v>
      </c>
      <c r="G18" s="17" t="s">
        <v>88</v>
      </c>
      <c r="H18" s="18">
        <f>'CUOTA ARTESANAL'!E17</f>
        <v>3.12</v>
      </c>
      <c r="I18" s="18">
        <f>'CUOTA ARTESANAL'!F17</f>
        <v>0</v>
      </c>
      <c r="J18" s="18">
        <f>'CUOTA ARTESANAL'!G17</f>
        <v>5.0930000000000026</v>
      </c>
      <c r="K18" s="18">
        <f>'CUOTA ARTESANAL'!H17</f>
        <v>4.7320000000000002</v>
      </c>
      <c r="L18" s="18">
        <f>'CUOTA ARTESANAL'!I17</f>
        <v>0.36100000000000243</v>
      </c>
      <c r="M18" s="26">
        <f>'CUOTA ARTESANAL'!J17</f>
        <v>0.92911839780090277</v>
      </c>
      <c r="N18" s="19" t="str">
        <f>'CUOTA ARTESANAL'!K17</f>
        <v>-</v>
      </c>
      <c r="O18" s="19">
        <f>'RESUMEN '!$B$4</f>
        <v>44926</v>
      </c>
      <c r="P18" s="17">
        <v>2022</v>
      </c>
      <c r="Q18" s="17"/>
    </row>
    <row r="19" spans="1:17" x14ac:dyDescent="0.2">
      <c r="A19" s="17" t="s">
        <v>47</v>
      </c>
      <c r="B19" s="17" t="s">
        <v>82</v>
      </c>
      <c r="C19" s="17" t="s">
        <v>90</v>
      </c>
      <c r="D19" s="17" t="s">
        <v>91</v>
      </c>
      <c r="E19" s="17" t="str">
        <f>'CUOTA ARTESANAL'!C16</f>
        <v>RESIDUAL</v>
      </c>
      <c r="F19" s="17" t="s">
        <v>89</v>
      </c>
      <c r="G19" s="17" t="s">
        <v>88</v>
      </c>
      <c r="H19" s="18">
        <f>'CUOTA ARTESANAL'!L16</f>
        <v>31.740000000000002</v>
      </c>
      <c r="I19" s="18">
        <f>'CUOTA ARTESANAL'!M16</f>
        <v>0</v>
      </c>
      <c r="J19" s="18">
        <f>'CUOTA ARTESANAL'!N16</f>
        <v>31.740000000000002</v>
      </c>
      <c r="K19" s="18">
        <f>'CUOTA ARTESANAL'!O16</f>
        <v>31.378999999999998</v>
      </c>
      <c r="L19" s="18">
        <f>'CUOTA ARTESANAL'!P16</f>
        <v>0.36100000000000421</v>
      </c>
      <c r="M19" s="26">
        <f>'CUOTA ARTESANAL'!Q16</f>
        <v>0.98862633900441066</v>
      </c>
      <c r="N19" s="19" t="s">
        <v>92</v>
      </c>
      <c r="O19" s="19">
        <f>'RESUMEN '!$B$4</f>
        <v>44926</v>
      </c>
      <c r="P19" s="17">
        <v>2022</v>
      </c>
      <c r="Q19" s="17"/>
    </row>
    <row r="20" spans="1:17" x14ac:dyDescent="0.2">
      <c r="A20" s="17" t="s">
        <v>47</v>
      </c>
      <c r="B20" s="17" t="s">
        <v>82</v>
      </c>
      <c r="C20" s="17" t="s">
        <v>93</v>
      </c>
      <c r="D20" s="17" t="s">
        <v>14</v>
      </c>
      <c r="E20" s="17" t="s">
        <v>10</v>
      </c>
      <c r="F20" s="17" t="s">
        <v>89</v>
      </c>
      <c r="G20" s="17" t="s">
        <v>88</v>
      </c>
      <c r="H20" s="18">
        <f>'CUOTA ARTESANAL'!E18</f>
        <v>15</v>
      </c>
      <c r="I20" s="18">
        <f>'CUOTA ARTESANAL'!F18</f>
        <v>0</v>
      </c>
      <c r="J20" s="18">
        <f>'CUOTA ARTESANAL'!G18</f>
        <v>15</v>
      </c>
      <c r="K20" s="18">
        <f>'CUOTA ARTESANAL'!H18</f>
        <v>0</v>
      </c>
      <c r="L20" s="18">
        <f>'CUOTA ARTESANAL'!I18</f>
        <v>15</v>
      </c>
      <c r="M20" s="26">
        <f>'CUOTA ARTESANAL'!J18</f>
        <v>0</v>
      </c>
      <c r="N20" s="19" t="str">
        <f>'CUOTA ARTESANAL'!K18</f>
        <v>-</v>
      </c>
      <c r="O20" s="19">
        <f>'RESUMEN '!$B$4</f>
        <v>44926</v>
      </c>
      <c r="P20" s="17">
        <v>2022</v>
      </c>
      <c r="Q20" s="17"/>
    </row>
    <row r="21" spans="1:17" x14ac:dyDescent="0.2">
      <c r="A21" s="22" t="s">
        <v>47</v>
      </c>
      <c r="B21" s="22" t="s">
        <v>82</v>
      </c>
      <c r="C21" s="22" t="s">
        <v>93</v>
      </c>
      <c r="D21" s="22" t="s">
        <v>94</v>
      </c>
      <c r="E21" s="22" t="s">
        <v>95</v>
      </c>
      <c r="F21" s="22" t="s">
        <v>89</v>
      </c>
      <c r="G21" s="22" t="s">
        <v>88</v>
      </c>
      <c r="H21" s="23">
        <f>'CUOTA ARTESANAL'!E19</f>
        <v>554</v>
      </c>
      <c r="I21" s="23">
        <f>'CUOTA ARTESANAL'!F19</f>
        <v>238.90999999999997</v>
      </c>
      <c r="J21" s="23">
        <f>'CUOTA ARTESANAL'!G19</f>
        <v>792.91</v>
      </c>
      <c r="K21" s="23">
        <f>'CUOTA ARTESANAL'!H19</f>
        <v>752.7030000000002</v>
      </c>
      <c r="L21" s="23">
        <f>'CUOTA ARTESANAL'!I19</f>
        <v>40.206999999999766</v>
      </c>
      <c r="M21" s="27">
        <f>'CUOTA ARTESANAL'!J19</f>
        <v>0.94929184901186792</v>
      </c>
      <c r="N21" s="24" t="str">
        <f>'CUOTA ARTESANAL'!K19</f>
        <v>-</v>
      </c>
      <c r="O21" s="24">
        <f>'RESUMEN '!$B$4</f>
        <v>44926</v>
      </c>
      <c r="P21" s="17">
        <v>2022</v>
      </c>
      <c r="Q21" s="17"/>
    </row>
    <row r="22" spans="1:17" x14ac:dyDescent="0.2">
      <c r="A22" s="17" t="s">
        <v>47</v>
      </c>
      <c r="B22" s="17" t="s">
        <v>82</v>
      </c>
      <c r="C22" s="17" t="s">
        <v>83</v>
      </c>
      <c r="D22" s="17" t="s">
        <v>96</v>
      </c>
      <c r="E22" s="17" t="str">
        <f>'CUOTA LTP'!C6</f>
        <v>ANTARTIC SEAFOOD S.A.</v>
      </c>
      <c r="F22" s="17" t="s">
        <v>85</v>
      </c>
      <c r="G22" s="17" t="s">
        <v>86</v>
      </c>
      <c r="H22" s="18">
        <f>'CUOTA LTP'!E6</f>
        <v>18.411520000000003</v>
      </c>
      <c r="I22" s="18">
        <f>'CUOTA LTP'!F6</f>
        <v>-11.587999999999999</v>
      </c>
      <c r="J22" s="18">
        <f>'CUOTA LTP'!G6</f>
        <v>6.8235200000000038</v>
      </c>
      <c r="K22" s="18">
        <f>'CUOTA LTP'!H6</f>
        <v>0</v>
      </c>
      <c r="L22" s="18">
        <f>'CUOTA LTP'!I6</f>
        <v>6.8235200000000038</v>
      </c>
      <c r="M22" s="26">
        <f>'CUOTA LTP'!J6</f>
        <v>0</v>
      </c>
      <c r="N22" s="19" t="s">
        <v>92</v>
      </c>
      <c r="O22" s="19">
        <f>'RESUMEN '!$B$4</f>
        <v>44926</v>
      </c>
      <c r="P22" s="17">
        <v>2022</v>
      </c>
      <c r="Q22" s="17"/>
    </row>
    <row r="23" spans="1:17" x14ac:dyDescent="0.2">
      <c r="A23" s="17" t="s">
        <v>47</v>
      </c>
      <c r="B23" s="17" t="s">
        <v>82</v>
      </c>
      <c r="C23" s="17" t="s">
        <v>83</v>
      </c>
      <c r="D23" s="17" t="s">
        <v>96</v>
      </c>
      <c r="E23" s="17" t="str">
        <f>'CUOTA LTP'!C6</f>
        <v>ANTARTIC SEAFOOD S.A.</v>
      </c>
      <c r="F23" s="17" t="s">
        <v>87</v>
      </c>
      <c r="G23" s="17" t="s">
        <v>88</v>
      </c>
      <c r="H23" s="18">
        <f>'CUOTA LTP'!E7</f>
        <v>2.2093800000000003</v>
      </c>
      <c r="I23" s="18">
        <f>'CUOTA LTP'!F7</f>
        <v>0</v>
      </c>
      <c r="J23" s="18">
        <f>'CUOTA LTP'!G7</f>
        <v>9.032900000000005</v>
      </c>
      <c r="K23" s="18">
        <f>'CUOTA LTP'!H7</f>
        <v>0</v>
      </c>
      <c r="L23" s="18">
        <f>'CUOTA LTP'!I7</f>
        <v>9.032900000000005</v>
      </c>
      <c r="M23" s="26">
        <f>'CUOTA LTP'!J7</f>
        <v>0</v>
      </c>
      <c r="N23" s="19" t="s">
        <v>92</v>
      </c>
      <c r="O23" s="19">
        <f>'RESUMEN '!$B$4</f>
        <v>44926</v>
      </c>
      <c r="P23" s="17">
        <v>2022</v>
      </c>
      <c r="Q23" s="17"/>
    </row>
    <row r="24" spans="1:17" x14ac:dyDescent="0.2">
      <c r="A24" s="17" t="s">
        <v>47</v>
      </c>
      <c r="B24" s="17" t="s">
        <v>82</v>
      </c>
      <c r="C24" s="17" t="s">
        <v>83</v>
      </c>
      <c r="D24" s="17" t="s">
        <v>96</v>
      </c>
      <c r="E24" s="17" t="str">
        <f>'CUOTA LTP'!C6</f>
        <v>ANTARTIC SEAFOOD S.A.</v>
      </c>
      <c r="F24" s="17" t="s">
        <v>89</v>
      </c>
      <c r="G24" s="17" t="s">
        <v>88</v>
      </c>
      <c r="H24" s="18">
        <f>'CUOTA LTP'!K6</f>
        <v>20.620900000000002</v>
      </c>
      <c r="I24" s="18">
        <f>'CUOTA LTP'!L6</f>
        <v>-11.587999999999999</v>
      </c>
      <c r="J24" s="18">
        <f>'CUOTA LTP'!M6</f>
        <v>9.0329000000000033</v>
      </c>
      <c r="K24" s="18">
        <f>'CUOTA LTP'!N6</f>
        <v>0</v>
      </c>
      <c r="L24" s="18">
        <f>'CUOTA LTP'!O6</f>
        <v>9.0329000000000033</v>
      </c>
      <c r="M24" s="26">
        <f>'CUOTA LTP'!P6</f>
        <v>0</v>
      </c>
      <c r="N24" s="19" t="s">
        <v>92</v>
      </c>
      <c r="O24" s="19">
        <f>'RESUMEN '!$B$4</f>
        <v>44926</v>
      </c>
      <c r="P24" s="17">
        <v>2022</v>
      </c>
      <c r="Q24" s="17"/>
    </row>
    <row r="25" spans="1:17" x14ac:dyDescent="0.2">
      <c r="A25" s="17" t="s">
        <v>47</v>
      </c>
      <c r="B25" s="17" t="s">
        <v>82</v>
      </c>
      <c r="C25" s="17" t="s">
        <v>83</v>
      </c>
      <c r="D25" s="17" t="s">
        <v>96</v>
      </c>
      <c r="E25" s="17" t="str">
        <f>'CUOTA LTP'!C8</f>
        <v>QUINTERO S.A. PESQ.</v>
      </c>
      <c r="F25" s="17" t="s">
        <v>85</v>
      </c>
      <c r="G25" s="17" t="s">
        <v>86</v>
      </c>
      <c r="H25" s="18">
        <f>'CUOTA LTP'!E8</f>
        <v>3.3288599999999997</v>
      </c>
      <c r="I25" s="18">
        <f>'CUOTA LTP'!F8</f>
        <v>0</v>
      </c>
      <c r="J25" s="18">
        <f>'CUOTA LTP'!G8</f>
        <v>3.3288599999999997</v>
      </c>
      <c r="K25" s="18">
        <f>'CUOTA LTP'!H8</f>
        <v>0</v>
      </c>
      <c r="L25" s="18">
        <f>'CUOTA LTP'!I8</f>
        <v>3.3288599999999997</v>
      </c>
      <c r="M25" s="26">
        <f>'CUOTA LTP'!J8</f>
        <v>0</v>
      </c>
      <c r="N25" s="19" t="s">
        <v>92</v>
      </c>
      <c r="O25" s="19">
        <f>'RESUMEN '!$B$4</f>
        <v>44926</v>
      </c>
      <c r="P25" s="17">
        <v>2022</v>
      </c>
      <c r="Q25" s="17"/>
    </row>
    <row r="26" spans="1:17" x14ac:dyDescent="0.2">
      <c r="A26" s="17" t="s">
        <v>47</v>
      </c>
      <c r="B26" s="17" t="s">
        <v>82</v>
      </c>
      <c r="C26" s="17" t="s">
        <v>83</v>
      </c>
      <c r="D26" s="17" t="s">
        <v>96</v>
      </c>
      <c r="E26" s="17" t="str">
        <f>'CUOTA LTP'!C8</f>
        <v>QUINTERO S.A. PESQ.</v>
      </c>
      <c r="F26" s="17" t="s">
        <v>87</v>
      </c>
      <c r="G26" s="17" t="s">
        <v>88</v>
      </c>
      <c r="H26" s="18">
        <f>'CUOTA LTP'!E9</f>
        <v>0.39945999999999998</v>
      </c>
      <c r="I26" s="18">
        <f>'CUOTA LTP'!F9</f>
        <v>0</v>
      </c>
      <c r="J26" s="18">
        <f>'CUOTA LTP'!G9</f>
        <v>3.7283199999999996</v>
      </c>
      <c r="K26" s="18">
        <f>'CUOTA LTP'!H9</f>
        <v>0</v>
      </c>
      <c r="L26" s="18">
        <f>'CUOTA LTP'!I9</f>
        <v>3.7283199999999996</v>
      </c>
      <c r="M26" s="26">
        <f>'CUOTA LTP'!J9</f>
        <v>0</v>
      </c>
      <c r="N26" s="19" t="s">
        <v>92</v>
      </c>
      <c r="O26" s="19">
        <f>'RESUMEN '!$B$4</f>
        <v>44926</v>
      </c>
      <c r="P26" s="17">
        <v>2022</v>
      </c>
      <c r="Q26" s="17"/>
    </row>
    <row r="27" spans="1:17" x14ac:dyDescent="0.2">
      <c r="A27" s="17" t="s">
        <v>47</v>
      </c>
      <c r="B27" s="17" t="s">
        <v>82</v>
      </c>
      <c r="C27" s="17" t="s">
        <v>83</v>
      </c>
      <c r="D27" s="17" t="s">
        <v>96</v>
      </c>
      <c r="E27" s="17" t="str">
        <f>'CUOTA LTP'!C8</f>
        <v>QUINTERO S.A. PESQ.</v>
      </c>
      <c r="F27" s="17" t="s">
        <v>89</v>
      </c>
      <c r="G27" s="17" t="s">
        <v>88</v>
      </c>
      <c r="H27" s="18">
        <f>'CUOTA LTP'!K8</f>
        <v>3.7283199999999996</v>
      </c>
      <c r="I27" s="18">
        <f>'CUOTA LTP'!L8</f>
        <v>0</v>
      </c>
      <c r="J27" s="18">
        <f>'CUOTA LTP'!M8</f>
        <v>3.7283199999999996</v>
      </c>
      <c r="K27" s="18">
        <f>'CUOTA LTP'!N8</f>
        <v>0</v>
      </c>
      <c r="L27" s="18">
        <f>'CUOTA LTP'!O8</f>
        <v>3.7283199999999996</v>
      </c>
      <c r="M27" s="26">
        <f>'CUOTA LTP'!P8</f>
        <v>0</v>
      </c>
      <c r="N27" s="19" t="s">
        <v>92</v>
      </c>
      <c r="O27" s="19">
        <f>'RESUMEN '!$B$4</f>
        <v>44926</v>
      </c>
      <c r="P27" s="17">
        <v>2022</v>
      </c>
      <c r="Q27" s="17"/>
    </row>
    <row r="28" spans="1:17" x14ac:dyDescent="0.2">
      <c r="A28" s="17" t="s">
        <v>47</v>
      </c>
      <c r="B28" s="17" t="s">
        <v>82</v>
      </c>
      <c r="C28" s="17" t="s">
        <v>83</v>
      </c>
      <c r="D28" s="17" t="s">
        <v>96</v>
      </c>
      <c r="E28" s="17" t="str">
        <f>'CUOTA LTP'!C10</f>
        <v>BAYCIC BAYCIC MARIA</v>
      </c>
      <c r="F28" s="17" t="s">
        <v>85</v>
      </c>
      <c r="G28" s="17" t="s">
        <v>86</v>
      </c>
      <c r="H28" s="18">
        <f>'CUOTA LTP'!E10</f>
        <v>1.5E-3</v>
      </c>
      <c r="I28" s="18">
        <f>'CUOTA LTP'!F10</f>
        <v>0</v>
      </c>
      <c r="J28" s="18">
        <f>'CUOTA LTP'!G10</f>
        <v>1.5E-3</v>
      </c>
      <c r="K28" s="18">
        <f>'CUOTA LTP'!H10</f>
        <v>0</v>
      </c>
      <c r="L28" s="18">
        <f>'CUOTA LTP'!I10</f>
        <v>1.5E-3</v>
      </c>
      <c r="M28" s="26">
        <f>'CUOTA LTP'!J10</f>
        <v>0</v>
      </c>
      <c r="N28" s="19" t="s">
        <v>92</v>
      </c>
      <c r="O28" s="19">
        <f>'RESUMEN '!$B$4</f>
        <v>44926</v>
      </c>
      <c r="P28" s="17">
        <v>2022</v>
      </c>
      <c r="Q28" s="17"/>
    </row>
    <row r="29" spans="1:17" x14ac:dyDescent="0.2">
      <c r="A29" s="17" t="s">
        <v>47</v>
      </c>
      <c r="B29" s="17" t="s">
        <v>82</v>
      </c>
      <c r="C29" s="17" t="s">
        <v>83</v>
      </c>
      <c r="D29" s="17" t="s">
        <v>96</v>
      </c>
      <c r="E29" s="17" t="str">
        <f>'CUOTA LTP'!C10</f>
        <v>BAYCIC BAYCIC MARIA</v>
      </c>
      <c r="F29" s="17" t="s">
        <v>87</v>
      </c>
      <c r="G29" s="17" t="s">
        <v>88</v>
      </c>
      <c r="H29" s="18">
        <f>'CUOTA LTP'!E11</f>
        <v>1.8000000000000001E-4</v>
      </c>
      <c r="I29" s="18">
        <f>'CUOTA LTP'!F11</f>
        <v>0</v>
      </c>
      <c r="J29" s="18">
        <f>'CUOTA LTP'!G11</f>
        <v>1.6800000000000001E-3</v>
      </c>
      <c r="K29" s="18">
        <f>'CUOTA LTP'!H11</f>
        <v>0</v>
      </c>
      <c r="L29" s="18">
        <f>'CUOTA LTP'!I11</f>
        <v>1.6800000000000001E-3</v>
      </c>
      <c r="M29" s="26">
        <f>'CUOTA LTP'!J11</f>
        <v>0</v>
      </c>
      <c r="N29" s="19" t="s">
        <v>92</v>
      </c>
      <c r="O29" s="19">
        <f>'RESUMEN '!$B$4</f>
        <v>44926</v>
      </c>
      <c r="P29" s="17">
        <v>2022</v>
      </c>
      <c r="Q29" s="17"/>
    </row>
    <row r="30" spans="1:17" x14ac:dyDescent="0.2">
      <c r="A30" s="17" t="s">
        <v>47</v>
      </c>
      <c r="B30" s="17" t="s">
        <v>82</v>
      </c>
      <c r="C30" s="17" t="s">
        <v>83</v>
      </c>
      <c r="D30" s="17" t="s">
        <v>96</v>
      </c>
      <c r="E30" s="17" t="str">
        <f>'CUOTA LTP'!C10</f>
        <v>BAYCIC BAYCIC MARIA</v>
      </c>
      <c r="F30" s="17" t="s">
        <v>89</v>
      </c>
      <c r="G30" s="17" t="s">
        <v>88</v>
      </c>
      <c r="H30" s="18">
        <f>'CUOTA LTP'!K10</f>
        <v>1.6800000000000001E-3</v>
      </c>
      <c r="I30" s="18">
        <f>'CUOTA LTP'!L10</f>
        <v>0</v>
      </c>
      <c r="J30" s="18">
        <f>'CUOTA LTP'!M10</f>
        <v>1.6800000000000001E-3</v>
      </c>
      <c r="K30" s="18">
        <f>'CUOTA LTP'!N10</f>
        <v>0</v>
      </c>
      <c r="L30" s="18">
        <f>'CUOTA LTP'!O10</f>
        <v>1.6800000000000001E-3</v>
      </c>
      <c r="M30" s="26">
        <f>'CUOTA LTP'!P10</f>
        <v>0</v>
      </c>
      <c r="N30" s="19" t="s">
        <v>92</v>
      </c>
      <c r="O30" s="19">
        <f>'RESUMEN '!$B$4</f>
        <v>44926</v>
      </c>
      <c r="P30" s="17">
        <v>2022</v>
      </c>
      <c r="Q30" s="17"/>
    </row>
    <row r="31" spans="1:17" x14ac:dyDescent="0.2">
      <c r="A31" s="17" t="s">
        <v>47</v>
      </c>
      <c r="B31" s="17" t="s">
        <v>82</v>
      </c>
      <c r="C31" s="17" t="s">
        <v>83</v>
      </c>
      <c r="D31" s="17" t="s">
        <v>96</v>
      </c>
      <c r="E31" s="17" t="str">
        <f>'CUOTA LTP'!C12</f>
        <v>BRACPESCA S.A.</v>
      </c>
      <c r="F31" s="17" t="s">
        <v>85</v>
      </c>
      <c r="G31" s="17" t="s">
        <v>86</v>
      </c>
      <c r="H31" s="18">
        <f>'CUOTA LTP'!E12</f>
        <v>19.14631</v>
      </c>
      <c r="I31" s="18">
        <f>'CUOTA LTP'!F12</f>
        <v>-6.9880000000000004</v>
      </c>
      <c r="J31" s="18">
        <f>'CUOTA LTP'!G12</f>
        <v>12.15831</v>
      </c>
      <c r="K31" s="18">
        <f>'CUOTA LTP'!H12</f>
        <v>0</v>
      </c>
      <c r="L31" s="18">
        <f>'CUOTA LTP'!I12</f>
        <v>12.15831</v>
      </c>
      <c r="M31" s="26">
        <f>'CUOTA LTP'!J12</f>
        <v>0</v>
      </c>
      <c r="N31" s="19" t="s">
        <v>92</v>
      </c>
      <c r="O31" s="19">
        <f>'RESUMEN '!$B$4</f>
        <v>44926</v>
      </c>
      <c r="P31" s="17">
        <v>2022</v>
      </c>
      <c r="Q31" s="17"/>
    </row>
    <row r="32" spans="1:17" x14ac:dyDescent="0.2">
      <c r="A32" s="17" t="s">
        <v>47</v>
      </c>
      <c r="B32" s="17" t="s">
        <v>82</v>
      </c>
      <c r="C32" s="17" t="s">
        <v>83</v>
      </c>
      <c r="D32" s="17" t="s">
        <v>96</v>
      </c>
      <c r="E32" s="17" t="str">
        <f>'CUOTA LTP'!C12</f>
        <v>BRACPESCA S.A.</v>
      </c>
      <c r="F32" s="17" t="s">
        <v>87</v>
      </c>
      <c r="G32" s="17" t="s">
        <v>88</v>
      </c>
      <c r="H32" s="18">
        <f>'CUOTA LTP'!E13</f>
        <v>2.2975600000000003</v>
      </c>
      <c r="I32" s="18">
        <f>'CUOTA LTP'!F13</f>
        <v>0</v>
      </c>
      <c r="J32" s="18">
        <f>'CUOTA LTP'!G13</f>
        <v>14.455870000000001</v>
      </c>
      <c r="K32" s="18">
        <f>'CUOTA LTP'!H13</f>
        <v>0</v>
      </c>
      <c r="L32" s="18">
        <f>'CUOTA LTP'!I13</f>
        <v>14.455870000000001</v>
      </c>
      <c r="M32" s="26">
        <f>'CUOTA LTP'!J13</f>
        <v>0</v>
      </c>
      <c r="N32" s="19" t="s">
        <v>92</v>
      </c>
      <c r="O32" s="19">
        <f>'RESUMEN '!$B$4</f>
        <v>44926</v>
      </c>
      <c r="P32" s="17">
        <v>2022</v>
      </c>
      <c r="Q32" s="17"/>
    </row>
    <row r="33" spans="1:17" x14ac:dyDescent="0.2">
      <c r="A33" s="17" t="s">
        <v>47</v>
      </c>
      <c r="B33" s="17" t="s">
        <v>82</v>
      </c>
      <c r="C33" s="17" t="s">
        <v>83</v>
      </c>
      <c r="D33" s="17" t="s">
        <v>96</v>
      </c>
      <c r="E33" s="17" t="str">
        <f>'CUOTA LTP'!C12</f>
        <v>BRACPESCA S.A.</v>
      </c>
      <c r="F33" s="17" t="s">
        <v>89</v>
      </c>
      <c r="G33" s="17" t="s">
        <v>88</v>
      </c>
      <c r="H33" s="18">
        <f>'CUOTA LTP'!K12</f>
        <v>21.44387</v>
      </c>
      <c r="I33" s="18">
        <f>'CUOTA LTP'!L12</f>
        <v>-6.9880000000000004</v>
      </c>
      <c r="J33" s="18">
        <f>'CUOTA LTP'!M12</f>
        <v>14.455870000000001</v>
      </c>
      <c r="K33" s="18">
        <f>'CUOTA LTP'!N12</f>
        <v>0</v>
      </c>
      <c r="L33" s="18">
        <f>'CUOTA LTP'!O12</f>
        <v>14.455870000000001</v>
      </c>
      <c r="M33" s="26">
        <f>'CUOTA LTP'!P12</f>
        <v>0</v>
      </c>
      <c r="N33" s="19" t="s">
        <v>92</v>
      </c>
      <c r="O33" s="19">
        <f>'RESUMEN '!$B$4</f>
        <v>44926</v>
      </c>
      <c r="P33" s="17">
        <v>2022</v>
      </c>
      <c r="Q33" s="17"/>
    </row>
    <row r="34" spans="1:17" x14ac:dyDescent="0.2">
      <c r="A34" s="17" t="s">
        <v>47</v>
      </c>
      <c r="B34" s="17" t="s">
        <v>82</v>
      </c>
      <c r="C34" s="17" t="s">
        <v>83</v>
      </c>
      <c r="D34" s="17" t="s">
        <v>96</v>
      </c>
      <c r="E34" s="17" t="str">
        <f>'CUOTA LTP'!C14</f>
        <v>GRIMAR S.A. PESQ.</v>
      </c>
      <c r="F34" s="17" t="s">
        <v>85</v>
      </c>
      <c r="G34" s="17" t="s">
        <v>86</v>
      </c>
      <c r="H34" s="18">
        <f>'CUOTA LTP'!E14</f>
        <v>8.6599999999999993E-3</v>
      </c>
      <c r="I34" s="18">
        <f>'CUOTA LTP'!F14</f>
        <v>0</v>
      </c>
      <c r="J34" s="18">
        <f>'CUOTA LTP'!G14</f>
        <v>8.6599999999999993E-3</v>
      </c>
      <c r="K34" s="18">
        <f>'CUOTA LTP'!H14</f>
        <v>0</v>
      </c>
      <c r="L34" s="18">
        <f>'CUOTA LTP'!I14</f>
        <v>8.6599999999999993E-3</v>
      </c>
      <c r="M34" s="26">
        <f>'CUOTA LTP'!J14</f>
        <v>0</v>
      </c>
      <c r="N34" s="19" t="s">
        <v>92</v>
      </c>
      <c r="O34" s="19">
        <f>'RESUMEN '!$B$4</f>
        <v>44926</v>
      </c>
      <c r="P34" s="17">
        <v>2022</v>
      </c>
      <c r="Q34" s="17"/>
    </row>
    <row r="35" spans="1:17" x14ac:dyDescent="0.2">
      <c r="A35" s="17" t="s">
        <v>47</v>
      </c>
      <c r="B35" s="17" t="s">
        <v>82</v>
      </c>
      <c r="C35" s="17" t="s">
        <v>83</v>
      </c>
      <c r="D35" s="17" t="s">
        <v>96</v>
      </c>
      <c r="E35" s="17" t="str">
        <f>'CUOTA LTP'!C14</f>
        <v>GRIMAR S.A. PESQ.</v>
      </c>
      <c r="F35" s="17" t="s">
        <v>87</v>
      </c>
      <c r="G35" s="17" t="s">
        <v>88</v>
      </c>
      <c r="H35" s="18">
        <f>'CUOTA LTP'!E15</f>
        <v>1.0399999999999999E-3</v>
      </c>
      <c r="I35" s="18">
        <f>'CUOTA LTP'!F15</f>
        <v>0</v>
      </c>
      <c r="J35" s="18">
        <f>'CUOTA LTP'!G15</f>
        <v>9.6999999999999986E-3</v>
      </c>
      <c r="K35" s="18">
        <f>'CUOTA LTP'!H15</f>
        <v>0</v>
      </c>
      <c r="L35" s="18">
        <f>'CUOTA LTP'!I15</f>
        <v>9.6999999999999986E-3</v>
      </c>
      <c r="M35" s="26">
        <f>'CUOTA LTP'!J15</f>
        <v>0</v>
      </c>
      <c r="N35" s="19" t="s">
        <v>92</v>
      </c>
      <c r="O35" s="19">
        <f>'RESUMEN '!$B$4</f>
        <v>44926</v>
      </c>
      <c r="P35" s="17">
        <v>2022</v>
      </c>
      <c r="Q35" s="17"/>
    </row>
    <row r="36" spans="1:17" x14ac:dyDescent="0.2">
      <c r="A36" s="17" t="s">
        <v>47</v>
      </c>
      <c r="B36" s="17" t="s">
        <v>82</v>
      </c>
      <c r="C36" s="17" t="s">
        <v>83</v>
      </c>
      <c r="D36" s="17" t="s">
        <v>96</v>
      </c>
      <c r="E36" s="17" t="str">
        <f>'CUOTA LTP'!C14</f>
        <v>GRIMAR S.A. PESQ.</v>
      </c>
      <c r="F36" s="17" t="s">
        <v>89</v>
      </c>
      <c r="G36" s="17" t="s">
        <v>88</v>
      </c>
      <c r="H36" s="18">
        <f>'CUOTA LTP'!K14</f>
        <v>9.6999999999999986E-3</v>
      </c>
      <c r="I36" s="18">
        <f>'CUOTA LTP'!L14</f>
        <v>0</v>
      </c>
      <c r="J36" s="18">
        <f>'CUOTA LTP'!M14</f>
        <v>9.6999999999999986E-3</v>
      </c>
      <c r="K36" s="18">
        <f>'CUOTA LTP'!N14</f>
        <v>0</v>
      </c>
      <c r="L36" s="18">
        <f>'CUOTA LTP'!O14</f>
        <v>9.6999999999999986E-3</v>
      </c>
      <c r="M36" s="26">
        <f>'CUOTA LTP'!P14</f>
        <v>0</v>
      </c>
      <c r="N36" s="19" t="s">
        <v>92</v>
      </c>
      <c r="O36" s="19">
        <f>'RESUMEN '!$B$4</f>
        <v>44926</v>
      </c>
      <c r="P36" s="17">
        <v>2022</v>
      </c>
      <c r="Q36" s="17"/>
    </row>
    <row r="37" spans="1:17" x14ac:dyDescent="0.2">
      <c r="A37" s="17" t="s">
        <v>47</v>
      </c>
      <c r="B37" s="17" t="s">
        <v>82</v>
      </c>
      <c r="C37" s="17" t="s">
        <v>83</v>
      </c>
      <c r="D37" s="17" t="s">
        <v>96</v>
      </c>
      <c r="E37" s="17" t="str">
        <f>'CUOTA LTP'!C16</f>
        <v>ISLADAMAS S.A. PESQ.</v>
      </c>
      <c r="F37" s="17" t="s">
        <v>85</v>
      </c>
      <c r="G37" s="17" t="s">
        <v>86</v>
      </c>
      <c r="H37" s="18">
        <f>'CUOTA LTP'!E16</f>
        <v>5.29162</v>
      </c>
      <c r="I37" s="18">
        <f>'CUOTA LTP'!F16</f>
        <v>-0.3528</v>
      </c>
      <c r="J37" s="18">
        <f>'CUOTA LTP'!G16</f>
        <v>4.9388199999999998</v>
      </c>
      <c r="K37" s="18">
        <f>'CUOTA LTP'!H16</f>
        <v>0</v>
      </c>
      <c r="L37" s="18">
        <f>'CUOTA LTP'!I16</f>
        <v>4.9388199999999998</v>
      </c>
      <c r="M37" s="26">
        <f>'CUOTA LTP'!J16</f>
        <v>0</v>
      </c>
      <c r="N37" s="19" t="s">
        <v>92</v>
      </c>
      <c r="O37" s="19">
        <f>'RESUMEN '!$B$4</f>
        <v>44926</v>
      </c>
      <c r="P37" s="17">
        <v>2022</v>
      </c>
      <c r="Q37" s="17"/>
    </row>
    <row r="38" spans="1:17" x14ac:dyDescent="0.2">
      <c r="A38" s="17" t="s">
        <v>47</v>
      </c>
      <c r="B38" s="17" t="s">
        <v>82</v>
      </c>
      <c r="C38" s="17" t="s">
        <v>83</v>
      </c>
      <c r="D38" s="17" t="s">
        <v>96</v>
      </c>
      <c r="E38" s="17" t="str">
        <f>'CUOTA LTP'!C16</f>
        <v>ISLADAMAS S.A. PESQ.</v>
      </c>
      <c r="F38" s="17" t="s">
        <v>87</v>
      </c>
      <c r="G38" s="17" t="s">
        <v>88</v>
      </c>
      <c r="H38" s="18">
        <f>'CUOTA LTP'!E17</f>
        <v>0.63499000000000005</v>
      </c>
      <c r="I38" s="18">
        <f>'CUOTA LTP'!F17</f>
        <v>0</v>
      </c>
      <c r="J38" s="18">
        <f>'CUOTA LTP'!G17</f>
        <v>5.5738099999999999</v>
      </c>
      <c r="K38" s="18">
        <f>'CUOTA LTP'!H17</f>
        <v>0</v>
      </c>
      <c r="L38" s="18">
        <f>'CUOTA LTP'!I17</f>
        <v>5.5738099999999999</v>
      </c>
      <c r="M38" s="26">
        <f>'CUOTA LTP'!J17</f>
        <v>0</v>
      </c>
      <c r="N38" s="19" t="s">
        <v>92</v>
      </c>
      <c r="O38" s="19">
        <f>'RESUMEN '!$B$4</f>
        <v>44926</v>
      </c>
      <c r="P38" s="17">
        <v>2022</v>
      </c>
      <c r="Q38" s="17"/>
    </row>
    <row r="39" spans="1:17" x14ac:dyDescent="0.2">
      <c r="A39" s="17" t="s">
        <v>47</v>
      </c>
      <c r="B39" s="17" t="s">
        <v>82</v>
      </c>
      <c r="C39" s="17" t="s">
        <v>83</v>
      </c>
      <c r="D39" s="17" t="s">
        <v>96</v>
      </c>
      <c r="E39" s="17" t="str">
        <f>'CUOTA LTP'!C16</f>
        <v>ISLADAMAS S.A. PESQ.</v>
      </c>
      <c r="F39" s="17" t="s">
        <v>89</v>
      </c>
      <c r="G39" s="17" t="s">
        <v>88</v>
      </c>
      <c r="H39" s="18">
        <f>'CUOTA LTP'!K16</f>
        <v>5.9266100000000002</v>
      </c>
      <c r="I39" s="18">
        <f>'CUOTA LTP'!L16</f>
        <v>-0.3528</v>
      </c>
      <c r="J39" s="18">
        <f>'CUOTA LTP'!M16</f>
        <v>5.5738099999999999</v>
      </c>
      <c r="K39" s="18">
        <f>'CUOTA LTP'!N16</f>
        <v>0</v>
      </c>
      <c r="L39" s="18">
        <f>'CUOTA LTP'!O16</f>
        <v>5.5738099999999999</v>
      </c>
      <c r="M39" s="26">
        <f>'CUOTA LTP'!P16</f>
        <v>0</v>
      </c>
      <c r="N39" s="19" t="s">
        <v>92</v>
      </c>
      <c r="O39" s="19">
        <f>'RESUMEN '!$B$4</f>
        <v>44926</v>
      </c>
      <c r="P39" s="17">
        <v>2022</v>
      </c>
      <c r="Q39" s="17"/>
    </row>
    <row r="40" spans="1:17" x14ac:dyDescent="0.2">
      <c r="A40" s="17" t="s">
        <v>47</v>
      </c>
      <c r="B40" s="17" t="s">
        <v>82</v>
      </c>
      <c r="C40" s="17" t="s">
        <v>83</v>
      </c>
      <c r="D40" s="17" t="s">
        <v>96</v>
      </c>
      <c r="E40" s="17" t="str">
        <f>'CUOTA LTP'!C18</f>
        <v>MOROZIN BAYCIC MARIA ANA</v>
      </c>
      <c r="F40" s="17" t="s">
        <v>85</v>
      </c>
      <c r="G40" s="17" t="s">
        <v>86</v>
      </c>
      <c r="H40" s="18">
        <f>'CUOTA LTP'!E18</f>
        <v>5.0099999999999997E-3</v>
      </c>
      <c r="I40" s="18">
        <f>'CUOTA LTP'!F18</f>
        <v>0</v>
      </c>
      <c r="J40" s="18">
        <f>'CUOTA LTP'!G18</f>
        <v>5.0099999999999997E-3</v>
      </c>
      <c r="K40" s="18">
        <f>'CUOTA LTP'!H18</f>
        <v>0</v>
      </c>
      <c r="L40" s="18">
        <f>'CUOTA LTP'!I18</f>
        <v>5.0099999999999997E-3</v>
      </c>
      <c r="M40" s="26">
        <f>'CUOTA LTP'!J18</f>
        <v>0</v>
      </c>
      <c r="N40" s="19" t="s">
        <v>92</v>
      </c>
      <c r="O40" s="19">
        <f>'RESUMEN '!$B$4</f>
        <v>44926</v>
      </c>
      <c r="P40" s="17">
        <v>2022</v>
      </c>
      <c r="Q40" s="17"/>
    </row>
    <row r="41" spans="1:17" x14ac:dyDescent="0.2">
      <c r="A41" s="17" t="s">
        <v>47</v>
      </c>
      <c r="B41" s="17" t="s">
        <v>82</v>
      </c>
      <c r="C41" s="17" t="s">
        <v>83</v>
      </c>
      <c r="D41" s="17" t="s">
        <v>96</v>
      </c>
      <c r="E41" s="17" t="str">
        <f>'CUOTA LTP'!C18</f>
        <v>MOROZIN BAYCIC MARIA ANA</v>
      </c>
      <c r="F41" s="17" t="s">
        <v>87</v>
      </c>
      <c r="G41" s="17" t="s">
        <v>88</v>
      </c>
      <c r="H41" s="18">
        <f>'CUOTA LTP'!E19</f>
        <v>5.9999999999999995E-4</v>
      </c>
      <c r="I41" s="18">
        <f>'CUOTA LTP'!F19</f>
        <v>0</v>
      </c>
      <c r="J41" s="18">
        <f>'CUOTA LTP'!G19</f>
        <v>5.6099999999999995E-3</v>
      </c>
      <c r="K41" s="18">
        <f>'CUOTA LTP'!H19</f>
        <v>0</v>
      </c>
      <c r="L41" s="18">
        <f>'CUOTA LTP'!I19</f>
        <v>5.6099999999999995E-3</v>
      </c>
      <c r="M41" s="26">
        <f>'CUOTA LTP'!J19</f>
        <v>0</v>
      </c>
      <c r="N41" s="19" t="s">
        <v>92</v>
      </c>
      <c r="O41" s="19">
        <f>'RESUMEN '!$B$4</f>
        <v>44926</v>
      </c>
      <c r="P41" s="17">
        <v>2022</v>
      </c>
      <c r="Q41" s="17"/>
    </row>
    <row r="42" spans="1:17" x14ac:dyDescent="0.2">
      <c r="A42" s="17" t="s">
        <v>47</v>
      </c>
      <c r="B42" s="17" t="s">
        <v>82</v>
      </c>
      <c r="C42" s="17" t="s">
        <v>83</v>
      </c>
      <c r="D42" s="17" t="s">
        <v>96</v>
      </c>
      <c r="E42" s="17" t="str">
        <f>'CUOTA LTP'!C18</f>
        <v>MOROZIN BAYCIC MARIA ANA</v>
      </c>
      <c r="F42" s="17" t="s">
        <v>89</v>
      </c>
      <c r="G42" s="17" t="s">
        <v>88</v>
      </c>
      <c r="H42" s="18">
        <f>'CUOTA LTP'!K18</f>
        <v>5.6099999999999995E-3</v>
      </c>
      <c r="I42" s="18">
        <f>'CUOTA LTP'!L18</f>
        <v>0</v>
      </c>
      <c r="J42" s="18">
        <f>'CUOTA LTP'!M18</f>
        <v>5.6099999999999995E-3</v>
      </c>
      <c r="K42" s="18">
        <f>'CUOTA LTP'!N18</f>
        <v>0</v>
      </c>
      <c r="L42" s="18">
        <f>'CUOTA LTP'!O18</f>
        <v>5.6099999999999995E-3</v>
      </c>
      <c r="M42" s="26">
        <f>'CUOTA LTP'!P18</f>
        <v>0</v>
      </c>
      <c r="N42" s="19" t="s">
        <v>92</v>
      </c>
      <c r="O42" s="19">
        <f>'RESUMEN '!$B$4</f>
        <v>44926</v>
      </c>
      <c r="P42" s="17">
        <v>2022</v>
      </c>
      <c r="Q42" s="17"/>
    </row>
    <row r="43" spans="1:17" x14ac:dyDescent="0.2">
      <c r="A43" s="17" t="s">
        <v>47</v>
      </c>
      <c r="B43" s="17" t="s">
        <v>82</v>
      </c>
      <c r="C43" s="17" t="s">
        <v>83</v>
      </c>
      <c r="D43" s="17" t="s">
        <v>96</v>
      </c>
      <c r="E43" s="17" t="str">
        <f>'CUOTA LTP'!C20</f>
        <v>MOROZIN YURECIC MARIO</v>
      </c>
      <c r="F43" s="17" t="s">
        <v>85</v>
      </c>
      <c r="G43" s="17" t="s">
        <v>86</v>
      </c>
      <c r="H43" s="18">
        <f>'CUOTA LTP'!E20</f>
        <v>1.01E-3</v>
      </c>
      <c r="I43" s="18">
        <f>'CUOTA LTP'!F20</f>
        <v>0</v>
      </c>
      <c r="J43" s="18">
        <f>'CUOTA LTP'!G20</f>
        <v>1.01E-3</v>
      </c>
      <c r="K43" s="18">
        <f>'CUOTA LTP'!H20</f>
        <v>0</v>
      </c>
      <c r="L43" s="18">
        <f>'CUOTA LTP'!I20</f>
        <v>1.01E-3</v>
      </c>
      <c r="M43" s="26">
        <f>'CUOTA LTP'!J20</f>
        <v>0</v>
      </c>
      <c r="N43" s="19" t="s">
        <v>92</v>
      </c>
      <c r="O43" s="19">
        <f>'RESUMEN '!$B$4</f>
        <v>44926</v>
      </c>
      <c r="P43" s="17">
        <v>2022</v>
      </c>
      <c r="Q43" s="17"/>
    </row>
    <row r="44" spans="1:17" x14ac:dyDescent="0.2">
      <c r="A44" s="17" t="s">
        <v>47</v>
      </c>
      <c r="B44" s="17" t="s">
        <v>82</v>
      </c>
      <c r="C44" s="17" t="s">
        <v>83</v>
      </c>
      <c r="D44" s="17" t="s">
        <v>96</v>
      </c>
      <c r="E44" s="17" t="str">
        <f>'CUOTA LTP'!C20</f>
        <v>MOROZIN YURECIC MARIO</v>
      </c>
      <c r="F44" s="17" t="s">
        <v>87</v>
      </c>
      <c r="G44" s="17" t="s">
        <v>88</v>
      </c>
      <c r="H44" s="18">
        <f>'CUOTA LTP'!E21</f>
        <v>1.2E-4</v>
      </c>
      <c r="I44" s="18">
        <f>'CUOTA LTP'!F21</f>
        <v>0</v>
      </c>
      <c r="J44" s="18">
        <f>'CUOTA LTP'!G21</f>
        <v>1.1300000000000001E-3</v>
      </c>
      <c r="K44" s="18">
        <f>'CUOTA LTP'!H21</f>
        <v>0</v>
      </c>
      <c r="L44" s="18">
        <f>'CUOTA LTP'!I21</f>
        <v>1.1300000000000001E-3</v>
      </c>
      <c r="M44" s="26">
        <f>'CUOTA LTP'!J21</f>
        <v>0</v>
      </c>
      <c r="N44" s="19" t="s">
        <v>92</v>
      </c>
      <c r="O44" s="19">
        <f>'RESUMEN '!$B$4</f>
        <v>44926</v>
      </c>
      <c r="P44" s="17">
        <v>2022</v>
      </c>
      <c r="Q44" s="17"/>
    </row>
    <row r="45" spans="1:17" x14ac:dyDescent="0.2">
      <c r="A45" s="17" t="s">
        <v>47</v>
      </c>
      <c r="B45" s="17" t="s">
        <v>82</v>
      </c>
      <c r="C45" s="17" t="s">
        <v>83</v>
      </c>
      <c r="D45" s="17" t="s">
        <v>96</v>
      </c>
      <c r="E45" s="17" t="str">
        <f>'CUOTA LTP'!C20</f>
        <v>MOROZIN YURECIC MARIO</v>
      </c>
      <c r="F45" s="17" t="s">
        <v>89</v>
      </c>
      <c r="G45" s="17" t="s">
        <v>88</v>
      </c>
      <c r="H45" s="18">
        <f>'CUOTA LTP'!K20</f>
        <v>1.1300000000000001E-3</v>
      </c>
      <c r="I45" s="18">
        <f>'CUOTA LTP'!L20</f>
        <v>0</v>
      </c>
      <c r="J45" s="18">
        <f>'CUOTA LTP'!M20</f>
        <v>1.1300000000000001E-3</v>
      </c>
      <c r="K45" s="18">
        <f>'CUOTA LTP'!N20</f>
        <v>0</v>
      </c>
      <c r="L45" s="18">
        <f>'CUOTA LTP'!O20</f>
        <v>1.1300000000000001E-3</v>
      </c>
      <c r="M45" s="26">
        <f>'CUOTA LTP'!P20</f>
        <v>0</v>
      </c>
      <c r="N45" s="19" t="s">
        <v>92</v>
      </c>
      <c r="O45" s="19">
        <f>'RESUMEN '!$B$4</f>
        <v>44926</v>
      </c>
      <c r="P45" s="17">
        <v>2022</v>
      </c>
      <c r="Q45" s="17"/>
    </row>
    <row r="46" spans="1:17" x14ac:dyDescent="0.2">
      <c r="A46" s="17" t="s">
        <v>47</v>
      </c>
      <c r="B46" s="17" t="s">
        <v>82</v>
      </c>
      <c r="C46" s="17" t="s">
        <v>83</v>
      </c>
      <c r="D46" s="17" t="s">
        <v>96</v>
      </c>
      <c r="E46" s="17" t="str">
        <f>'CUOTA LTP'!C22</f>
        <v>ZUÑIGA ROMERO GONZALO</v>
      </c>
      <c r="F46" s="17" t="s">
        <v>85</v>
      </c>
      <c r="G46" s="17" t="s">
        <v>86</v>
      </c>
      <c r="H46" s="18">
        <f>'CUOTA LTP'!E22</f>
        <v>3.0000000000000001E-3</v>
      </c>
      <c r="I46" s="18">
        <f>'CUOTA LTP'!F22</f>
        <v>0</v>
      </c>
      <c r="J46" s="18">
        <f>'CUOTA LTP'!G22</f>
        <v>3.0000000000000001E-3</v>
      </c>
      <c r="K46" s="18">
        <f>'CUOTA LTP'!H22</f>
        <v>0</v>
      </c>
      <c r="L46" s="18">
        <f>'CUOTA LTP'!I22</f>
        <v>3.0000000000000001E-3</v>
      </c>
      <c r="M46" s="26">
        <f>'CUOTA LTP'!J22</f>
        <v>0</v>
      </c>
      <c r="N46" s="19" t="s">
        <v>92</v>
      </c>
      <c r="O46" s="19">
        <f>'RESUMEN '!$B$4</f>
        <v>44926</v>
      </c>
      <c r="P46" s="17">
        <v>2022</v>
      </c>
      <c r="Q46" s="17"/>
    </row>
    <row r="47" spans="1:17" x14ac:dyDescent="0.2">
      <c r="A47" s="17" t="s">
        <v>47</v>
      </c>
      <c r="B47" s="17" t="s">
        <v>82</v>
      </c>
      <c r="C47" s="17" t="s">
        <v>83</v>
      </c>
      <c r="D47" s="17" t="s">
        <v>96</v>
      </c>
      <c r="E47" s="17" t="str">
        <f>'CUOTA LTP'!C22</f>
        <v>ZUÑIGA ROMERO GONZALO</v>
      </c>
      <c r="F47" s="17" t="s">
        <v>87</v>
      </c>
      <c r="G47" s="17" t="s">
        <v>88</v>
      </c>
      <c r="H47" s="18">
        <f>'CUOTA LTP'!E23</f>
        <v>3.6000000000000002E-4</v>
      </c>
      <c r="I47" s="18">
        <f>'CUOTA LTP'!F23</f>
        <v>0</v>
      </c>
      <c r="J47" s="18">
        <f>'CUOTA LTP'!G23</f>
        <v>3.3600000000000001E-3</v>
      </c>
      <c r="K47" s="18">
        <f>'CUOTA LTP'!H23</f>
        <v>0</v>
      </c>
      <c r="L47" s="18">
        <f>'CUOTA LTP'!I23</f>
        <v>3.3600000000000001E-3</v>
      </c>
      <c r="M47" s="26">
        <f>'CUOTA LTP'!J23</f>
        <v>0</v>
      </c>
      <c r="N47" s="19" t="s">
        <v>92</v>
      </c>
      <c r="O47" s="19">
        <f>'RESUMEN '!$B$4</f>
        <v>44926</v>
      </c>
      <c r="P47" s="17">
        <v>2022</v>
      </c>
      <c r="Q47" s="17"/>
    </row>
    <row r="48" spans="1:17" x14ac:dyDescent="0.2">
      <c r="A48" s="17" t="s">
        <v>47</v>
      </c>
      <c r="B48" s="17" t="s">
        <v>82</v>
      </c>
      <c r="C48" s="17" t="s">
        <v>83</v>
      </c>
      <c r="D48" s="17" t="s">
        <v>96</v>
      </c>
      <c r="E48" s="17" t="str">
        <f>'CUOTA LTP'!C22</f>
        <v>ZUÑIGA ROMERO GONZALO</v>
      </c>
      <c r="F48" s="17" t="s">
        <v>89</v>
      </c>
      <c r="G48" s="17" t="s">
        <v>88</v>
      </c>
      <c r="H48" s="18">
        <f>'CUOTA LTP'!K22</f>
        <v>3.3600000000000001E-3</v>
      </c>
      <c r="I48" s="18">
        <f>'CUOTA LTP'!L22</f>
        <v>0</v>
      </c>
      <c r="J48" s="18">
        <f>'CUOTA LTP'!M22</f>
        <v>3.3600000000000001E-3</v>
      </c>
      <c r="K48" s="18">
        <f>'CUOTA LTP'!N22</f>
        <v>0</v>
      </c>
      <c r="L48" s="18">
        <f>'CUOTA LTP'!O22</f>
        <v>3.3600000000000001E-3</v>
      </c>
      <c r="M48" s="26">
        <f>'CUOTA LTP'!P22</f>
        <v>0</v>
      </c>
      <c r="N48" s="19" t="s">
        <v>92</v>
      </c>
      <c r="O48" s="19">
        <f>'RESUMEN '!$B$4</f>
        <v>44926</v>
      </c>
      <c r="P48" s="17">
        <v>2022</v>
      </c>
      <c r="Q48" s="17"/>
    </row>
    <row r="49" spans="1:17" x14ac:dyDescent="0.2">
      <c r="A49" s="17" t="s">
        <v>47</v>
      </c>
      <c r="B49" s="17" t="s">
        <v>82</v>
      </c>
      <c r="C49" s="17" t="s">
        <v>83</v>
      </c>
      <c r="D49" s="17" t="s">
        <v>96</v>
      </c>
      <c r="E49" s="17" t="str">
        <f>'CUOTA LTP'!C24</f>
        <v>RUBIO Y MAUAD LTDA.</v>
      </c>
      <c r="F49" s="17" t="s">
        <v>85</v>
      </c>
      <c r="G49" s="17" t="s">
        <v>86</v>
      </c>
      <c r="H49" s="18">
        <f>'CUOTA LTP'!E24</f>
        <v>3.7620300000000002</v>
      </c>
      <c r="I49" s="18">
        <f>'CUOTA LTP'!F24</f>
        <v>-3.8608399999999996</v>
      </c>
      <c r="J49" s="18">
        <f>'CUOTA LTP'!G24</f>
        <v>-9.8809999999999398E-2</v>
      </c>
      <c r="K49" s="18">
        <f>'CUOTA LTP'!H24</f>
        <v>0</v>
      </c>
      <c r="L49" s="18">
        <f>'CUOTA LTP'!I24</f>
        <v>-9.8809999999999398E-2</v>
      </c>
      <c r="M49" s="26">
        <f>'CUOTA LTP'!J24</f>
        <v>0</v>
      </c>
      <c r="N49" s="19" t="s">
        <v>92</v>
      </c>
      <c r="O49" s="19">
        <f>'RESUMEN '!$B$4</f>
        <v>44926</v>
      </c>
      <c r="P49" s="17">
        <v>2022</v>
      </c>
      <c r="Q49" s="17"/>
    </row>
    <row r="50" spans="1:17" x14ac:dyDescent="0.2">
      <c r="A50" s="17" t="s">
        <v>47</v>
      </c>
      <c r="B50" s="17" t="s">
        <v>82</v>
      </c>
      <c r="C50" s="17" t="s">
        <v>83</v>
      </c>
      <c r="D50" s="17" t="s">
        <v>96</v>
      </c>
      <c r="E50" s="17" t="str">
        <f>'CUOTA LTP'!C24</f>
        <v>RUBIO Y MAUAD LTDA.</v>
      </c>
      <c r="F50" s="17" t="s">
        <v>87</v>
      </c>
      <c r="G50" s="17" t="s">
        <v>88</v>
      </c>
      <c r="H50" s="18">
        <f>'CUOTA LTP'!E25</f>
        <v>0.45144000000000001</v>
      </c>
      <c r="I50" s="18">
        <f>'CUOTA LTP'!F25</f>
        <v>0</v>
      </c>
      <c r="J50" s="18">
        <f>'CUOTA LTP'!G25</f>
        <v>0.35263000000000061</v>
      </c>
      <c r="K50" s="18">
        <f>'CUOTA LTP'!H25</f>
        <v>0</v>
      </c>
      <c r="L50" s="18">
        <f>'CUOTA LTP'!I25</f>
        <v>0.35263000000000061</v>
      </c>
      <c r="M50" s="26">
        <f>'CUOTA LTP'!J25</f>
        <v>0</v>
      </c>
      <c r="N50" s="19" t="s">
        <v>92</v>
      </c>
      <c r="O50" s="19">
        <f>'RESUMEN '!$B$4</f>
        <v>44926</v>
      </c>
      <c r="P50" s="17">
        <v>2022</v>
      </c>
      <c r="Q50" s="17"/>
    </row>
    <row r="51" spans="1:17" x14ac:dyDescent="0.2">
      <c r="A51" s="17" t="s">
        <v>47</v>
      </c>
      <c r="B51" s="17" t="s">
        <v>82</v>
      </c>
      <c r="C51" s="17" t="s">
        <v>83</v>
      </c>
      <c r="D51" s="17" t="s">
        <v>96</v>
      </c>
      <c r="E51" s="17" t="str">
        <f>'CUOTA LTP'!C24</f>
        <v>RUBIO Y MAUAD LTDA.</v>
      </c>
      <c r="F51" s="17" t="s">
        <v>89</v>
      </c>
      <c r="G51" s="17" t="s">
        <v>88</v>
      </c>
      <c r="H51" s="18">
        <f>'CUOTA LTP'!K24</f>
        <v>4.21347</v>
      </c>
      <c r="I51" s="18">
        <f>'CUOTA LTP'!L24</f>
        <v>-3.8608399999999996</v>
      </c>
      <c r="J51" s="18">
        <f>'CUOTA LTP'!M24</f>
        <v>0.35263000000000044</v>
      </c>
      <c r="K51" s="18">
        <f>'CUOTA LTP'!N24</f>
        <v>0</v>
      </c>
      <c r="L51" s="18">
        <f>'CUOTA LTP'!O24</f>
        <v>0.35263000000000044</v>
      </c>
      <c r="M51" s="26">
        <f>'CUOTA LTP'!P24</f>
        <v>0</v>
      </c>
      <c r="N51" s="19" t="s">
        <v>92</v>
      </c>
      <c r="O51" s="19">
        <f>'RESUMEN '!$B$4</f>
        <v>44926</v>
      </c>
      <c r="P51" s="17">
        <v>2022</v>
      </c>
      <c r="Q51" s="17"/>
    </row>
    <row r="52" spans="1:17" x14ac:dyDescent="0.2">
      <c r="A52" s="17" t="s">
        <v>47</v>
      </c>
      <c r="B52" s="17" t="s">
        <v>82</v>
      </c>
      <c r="C52" s="17" t="s">
        <v>83</v>
      </c>
      <c r="D52" s="17" t="s">
        <v>96</v>
      </c>
      <c r="E52" s="17" t="str">
        <f>'CUOTA LTP'!C30</f>
        <v>ENFERMAR LTDA. SOC. PESQ.</v>
      </c>
      <c r="F52" s="17" t="s">
        <v>85</v>
      </c>
      <c r="G52" s="17" t="s">
        <v>86</v>
      </c>
      <c r="H52" s="18">
        <f>'CUOTA LTP'!E30</f>
        <v>2.051E-2</v>
      </c>
      <c r="I52" s="18">
        <f>'CUOTA LTP'!F30</f>
        <v>0</v>
      </c>
      <c r="J52" s="18">
        <f>'CUOTA LTP'!G30</f>
        <v>2.051E-2</v>
      </c>
      <c r="K52" s="18">
        <f>'CUOTA LTP'!H30</f>
        <v>0</v>
      </c>
      <c r="L52" s="18">
        <f>'CUOTA LTP'!I30</f>
        <v>2.051E-2</v>
      </c>
      <c r="M52" s="26">
        <f>'CUOTA LTP'!J30</f>
        <v>0</v>
      </c>
      <c r="N52" s="19" t="s">
        <v>92</v>
      </c>
      <c r="O52" s="19">
        <f>'RESUMEN '!$B$4</f>
        <v>44926</v>
      </c>
      <c r="P52" s="17">
        <v>2022</v>
      </c>
      <c r="Q52" s="17"/>
    </row>
    <row r="53" spans="1:17" x14ac:dyDescent="0.2">
      <c r="A53" s="17" t="s">
        <v>47</v>
      </c>
      <c r="B53" s="17" t="s">
        <v>82</v>
      </c>
      <c r="C53" s="17" t="s">
        <v>83</v>
      </c>
      <c r="D53" s="17" t="s">
        <v>96</v>
      </c>
      <c r="E53" s="17" t="str">
        <f>'CUOTA LTP'!C30</f>
        <v>ENFERMAR LTDA. SOC. PESQ.</v>
      </c>
      <c r="F53" s="17" t="s">
        <v>87</v>
      </c>
      <c r="G53" s="17" t="s">
        <v>88</v>
      </c>
      <c r="H53" s="18">
        <f>'CUOTA LTP'!E31</f>
        <v>2.4599999999999999E-3</v>
      </c>
      <c r="I53" s="18">
        <f>'CUOTA LTP'!F31</f>
        <v>0</v>
      </c>
      <c r="J53" s="18">
        <f>'CUOTA LTP'!G31</f>
        <v>2.2970000000000001E-2</v>
      </c>
      <c r="K53" s="18">
        <f>'CUOTA LTP'!H31</f>
        <v>0</v>
      </c>
      <c r="L53" s="18">
        <f>'CUOTA LTP'!I31</f>
        <v>2.2970000000000001E-2</v>
      </c>
      <c r="M53" s="26">
        <f>'CUOTA LTP'!J31</f>
        <v>0</v>
      </c>
      <c r="N53" s="19" t="s">
        <v>92</v>
      </c>
      <c r="O53" s="19">
        <f>'RESUMEN '!$B$4</f>
        <v>44926</v>
      </c>
      <c r="P53" s="17">
        <v>2022</v>
      </c>
      <c r="Q53" s="17"/>
    </row>
    <row r="54" spans="1:17" x14ac:dyDescent="0.2">
      <c r="A54" s="17" t="s">
        <v>47</v>
      </c>
      <c r="B54" s="17" t="s">
        <v>82</v>
      </c>
      <c r="C54" s="17" t="s">
        <v>83</v>
      </c>
      <c r="D54" s="17" t="s">
        <v>96</v>
      </c>
      <c r="E54" s="17" t="str">
        <f>'CUOTA LTP'!C30</f>
        <v>ENFERMAR LTDA. SOC. PESQ.</v>
      </c>
      <c r="F54" s="17" t="s">
        <v>89</v>
      </c>
      <c r="G54" s="17" t="s">
        <v>88</v>
      </c>
      <c r="H54" s="18">
        <f>'CUOTA LTP'!K30</f>
        <v>2.2970000000000001E-2</v>
      </c>
      <c r="I54" s="18">
        <f>'CUOTA LTP'!L30</f>
        <v>0</v>
      </c>
      <c r="J54" s="18">
        <f>'CUOTA LTP'!M30</f>
        <v>2.2970000000000001E-2</v>
      </c>
      <c r="K54" s="18">
        <f>'CUOTA LTP'!N30</f>
        <v>0</v>
      </c>
      <c r="L54" s="18">
        <f>'CUOTA LTP'!O30</f>
        <v>2.2970000000000001E-2</v>
      </c>
      <c r="M54" s="26">
        <f>'CUOTA LTP'!P30</f>
        <v>0</v>
      </c>
      <c r="N54" s="19" t="s">
        <v>92</v>
      </c>
      <c r="O54" s="19">
        <f>'RESUMEN '!$B$4</f>
        <v>44926</v>
      </c>
      <c r="P54" s="17">
        <v>2022</v>
      </c>
      <c r="Q54" s="17"/>
    </row>
    <row r="55" spans="1:17" x14ac:dyDescent="0.2">
      <c r="A55" s="17" t="s">
        <v>47</v>
      </c>
      <c r="B55" s="17" t="s">
        <v>82</v>
      </c>
      <c r="C55" s="17" t="s">
        <v>90</v>
      </c>
      <c r="D55" s="17" t="s">
        <v>96</v>
      </c>
      <c r="E55" s="17" t="str">
        <f>'CUOTA LTP'!C32</f>
        <v>ANTARTIC SEAFOOD S.A.</v>
      </c>
      <c r="F55" s="17" t="s">
        <v>85</v>
      </c>
      <c r="G55" s="17" t="s">
        <v>86</v>
      </c>
      <c r="H55" s="18">
        <f>'CUOTA LTP'!E32</f>
        <v>354.60578000000004</v>
      </c>
      <c r="I55" s="18">
        <f>'CUOTA LTP'!F32</f>
        <v>-161.41200000000001</v>
      </c>
      <c r="J55" s="18">
        <f>'CUOTA LTP'!G32</f>
        <v>193.19378000000003</v>
      </c>
      <c r="K55" s="18">
        <f>'CUOTA LTP'!H32</f>
        <v>231.90700000000001</v>
      </c>
      <c r="L55" s="18">
        <f>'CUOTA LTP'!I32</f>
        <v>-38.713219999999978</v>
      </c>
      <c r="M55" s="26">
        <f>'CUOTA LTP'!J32</f>
        <v>1.2003854368396332</v>
      </c>
      <c r="N55" s="19" t="s">
        <v>92</v>
      </c>
      <c r="O55" s="19">
        <f>'RESUMEN '!$B$4</f>
        <v>44926</v>
      </c>
      <c r="P55" s="17">
        <v>2022</v>
      </c>
      <c r="Q55" s="17"/>
    </row>
    <row r="56" spans="1:17" x14ac:dyDescent="0.2">
      <c r="A56" s="17" t="s">
        <v>47</v>
      </c>
      <c r="B56" s="17" t="s">
        <v>82</v>
      </c>
      <c r="C56" s="17" t="s">
        <v>90</v>
      </c>
      <c r="D56" s="17" t="s">
        <v>96</v>
      </c>
      <c r="E56" s="17" t="str">
        <f>'CUOTA LTP'!C32</f>
        <v>ANTARTIC SEAFOOD S.A.</v>
      </c>
      <c r="F56" s="17" t="s">
        <v>87</v>
      </c>
      <c r="G56" s="17" t="s">
        <v>88</v>
      </c>
      <c r="H56" s="18">
        <f>'CUOTA LTP'!E33</f>
        <v>39.400639999999996</v>
      </c>
      <c r="I56" s="18">
        <f>'CUOTA LTP'!F33</f>
        <v>0</v>
      </c>
      <c r="J56" s="18">
        <f>'CUOTA LTP'!G33</f>
        <v>0.68742000000001724</v>
      </c>
      <c r="K56" s="18">
        <f>'CUOTA LTP'!H33</f>
        <v>0</v>
      </c>
      <c r="L56" s="18">
        <f>'CUOTA LTP'!I33</f>
        <v>0.68742000000001724</v>
      </c>
      <c r="M56" s="26">
        <f>'CUOTA LTP'!J33</f>
        <v>0</v>
      </c>
      <c r="N56" s="19" t="s">
        <v>92</v>
      </c>
      <c r="O56" s="19">
        <f>'RESUMEN '!$B$4</f>
        <v>44926</v>
      </c>
      <c r="P56" s="17">
        <v>2022</v>
      </c>
      <c r="Q56" s="17"/>
    </row>
    <row r="57" spans="1:17" x14ac:dyDescent="0.2">
      <c r="A57" s="17" t="s">
        <v>47</v>
      </c>
      <c r="B57" s="17" t="s">
        <v>82</v>
      </c>
      <c r="C57" s="17" t="s">
        <v>90</v>
      </c>
      <c r="D57" s="17" t="s">
        <v>96</v>
      </c>
      <c r="E57" s="17" t="str">
        <f>'CUOTA LTP'!C32</f>
        <v>ANTARTIC SEAFOOD S.A.</v>
      </c>
      <c r="F57" s="17" t="s">
        <v>89</v>
      </c>
      <c r="G57" s="17" t="s">
        <v>88</v>
      </c>
      <c r="H57" s="18">
        <f>'CUOTA LTP'!K32</f>
        <v>394.00642000000005</v>
      </c>
      <c r="I57" s="18">
        <f>'CUOTA LTP'!L32</f>
        <v>-161.41200000000001</v>
      </c>
      <c r="J57" s="18">
        <f>'CUOTA LTP'!M32</f>
        <v>232.59442000000004</v>
      </c>
      <c r="K57" s="18">
        <f>'CUOTA LTP'!N32</f>
        <v>231.90700000000001</v>
      </c>
      <c r="L57" s="18">
        <f>'CUOTA LTP'!O32</f>
        <v>0.68742000000003145</v>
      </c>
      <c r="M57" s="26">
        <f>'CUOTA LTP'!P32</f>
        <v>0.99704455506714207</v>
      </c>
      <c r="N57" s="19" t="s">
        <v>92</v>
      </c>
      <c r="O57" s="19">
        <f>'RESUMEN '!$B$4</f>
        <v>44926</v>
      </c>
      <c r="P57" s="17">
        <v>2022</v>
      </c>
      <c r="Q57" s="17"/>
    </row>
    <row r="58" spans="1:17" x14ac:dyDescent="0.2">
      <c r="A58" s="17" t="s">
        <v>47</v>
      </c>
      <c r="B58" s="17" t="s">
        <v>82</v>
      </c>
      <c r="C58" s="17" t="s">
        <v>90</v>
      </c>
      <c r="D58" s="17" t="s">
        <v>96</v>
      </c>
      <c r="E58" s="17" t="str">
        <f>'CUOTA LTP'!C34</f>
        <v>QUINTERO S.A. PESQ.</v>
      </c>
      <c r="F58" s="17" t="s">
        <v>85</v>
      </c>
      <c r="G58" s="17" t="s">
        <v>86</v>
      </c>
      <c r="H58" s="18">
        <f>'CUOTA LTP'!E34</f>
        <v>64.113749999999996</v>
      </c>
      <c r="I58" s="18">
        <f>'CUOTA LTP'!F34</f>
        <v>0</v>
      </c>
      <c r="J58" s="18">
        <f>'CUOTA LTP'!G34</f>
        <v>64.113749999999996</v>
      </c>
      <c r="K58" s="18">
        <f>'CUOTA LTP'!H34</f>
        <v>35.15</v>
      </c>
      <c r="L58" s="18">
        <f>'CUOTA LTP'!I34</f>
        <v>28.963749999999997</v>
      </c>
      <c r="M58" s="26">
        <f>'CUOTA LTP'!J34</f>
        <v>0.54824433136417694</v>
      </c>
      <c r="N58" s="19" t="s">
        <v>92</v>
      </c>
      <c r="O58" s="19">
        <f>'RESUMEN '!$B$4</f>
        <v>44926</v>
      </c>
      <c r="P58" s="17">
        <v>2022</v>
      </c>
      <c r="Q58" s="17"/>
    </row>
    <row r="59" spans="1:17" x14ac:dyDescent="0.2">
      <c r="A59" s="17" t="s">
        <v>47</v>
      </c>
      <c r="B59" s="17" t="s">
        <v>82</v>
      </c>
      <c r="C59" s="17" t="s">
        <v>90</v>
      </c>
      <c r="D59" s="17" t="s">
        <v>96</v>
      </c>
      <c r="E59" s="17" t="str">
        <f>'CUOTA LTP'!C34</f>
        <v>QUINTERO S.A. PESQ.</v>
      </c>
      <c r="F59" s="17" t="s">
        <v>87</v>
      </c>
      <c r="G59" s="17" t="s">
        <v>88</v>
      </c>
      <c r="H59" s="18">
        <f>'CUOTA LTP'!E35</f>
        <v>7.1237500000000002</v>
      </c>
      <c r="I59" s="18">
        <f>'CUOTA LTP'!F35</f>
        <v>0</v>
      </c>
      <c r="J59" s="18">
        <f>'CUOTA LTP'!G35</f>
        <v>36.087499999999999</v>
      </c>
      <c r="K59" s="18">
        <f>'CUOTA LTP'!H35</f>
        <v>0</v>
      </c>
      <c r="L59" s="18">
        <f>'CUOTA LTP'!I35</f>
        <v>36.087499999999999</v>
      </c>
      <c r="M59" s="26">
        <f>'CUOTA LTP'!J35</f>
        <v>0</v>
      </c>
      <c r="N59" s="19" t="s">
        <v>92</v>
      </c>
      <c r="O59" s="19">
        <f>'RESUMEN '!$B$4</f>
        <v>44926</v>
      </c>
      <c r="P59" s="17">
        <v>2022</v>
      </c>
      <c r="Q59" s="17"/>
    </row>
    <row r="60" spans="1:17" x14ac:dyDescent="0.2">
      <c r="A60" s="17" t="s">
        <v>47</v>
      </c>
      <c r="B60" s="17" t="s">
        <v>82</v>
      </c>
      <c r="C60" s="17" t="s">
        <v>90</v>
      </c>
      <c r="D60" s="17" t="s">
        <v>96</v>
      </c>
      <c r="E60" s="17" t="str">
        <f>'CUOTA LTP'!C34</f>
        <v>QUINTERO S.A. PESQ.</v>
      </c>
      <c r="F60" s="17" t="s">
        <v>89</v>
      </c>
      <c r="G60" s="17" t="s">
        <v>88</v>
      </c>
      <c r="H60" s="18">
        <f>'CUOTA LTP'!K34</f>
        <v>71.237499999999997</v>
      </c>
      <c r="I60" s="18">
        <f>'CUOTA LTP'!L34</f>
        <v>0</v>
      </c>
      <c r="J60" s="18">
        <f>'CUOTA LTP'!M34</f>
        <v>71.237499999999997</v>
      </c>
      <c r="K60" s="18">
        <f>'CUOTA LTP'!N34</f>
        <v>35.15</v>
      </c>
      <c r="L60" s="18">
        <f>'CUOTA LTP'!O34</f>
        <v>36.087499999999999</v>
      </c>
      <c r="M60" s="26">
        <f>'CUOTA LTP'!P34</f>
        <v>0.49341989822775928</v>
      </c>
      <c r="N60" s="19" t="s">
        <v>92</v>
      </c>
      <c r="O60" s="19">
        <f>'RESUMEN '!$B$4</f>
        <v>44926</v>
      </c>
      <c r="P60" s="17">
        <v>2022</v>
      </c>
      <c r="Q60" s="17"/>
    </row>
    <row r="61" spans="1:17" x14ac:dyDescent="0.2">
      <c r="A61" s="17" t="s">
        <v>47</v>
      </c>
      <c r="B61" s="17" t="s">
        <v>82</v>
      </c>
      <c r="C61" s="17" t="s">
        <v>90</v>
      </c>
      <c r="D61" s="17" t="s">
        <v>96</v>
      </c>
      <c r="E61" s="17" t="str">
        <f>'CUOTA LTP'!C36</f>
        <v>BAYCIC BAYCIC MARIA</v>
      </c>
      <c r="F61" s="17" t="s">
        <v>85</v>
      </c>
      <c r="G61" s="17" t="s">
        <v>86</v>
      </c>
      <c r="H61" s="18">
        <f>'CUOTA LTP'!E36</f>
        <v>2.8889999999999999E-2</v>
      </c>
      <c r="I61" s="18">
        <f>'CUOTA LTP'!F36</f>
        <v>0</v>
      </c>
      <c r="J61" s="18">
        <f>'CUOTA LTP'!G36</f>
        <v>2.8889999999999999E-2</v>
      </c>
      <c r="K61" s="18">
        <f>'CUOTA LTP'!H36</f>
        <v>0</v>
      </c>
      <c r="L61" s="18">
        <f>'CUOTA LTP'!I36</f>
        <v>2.8889999999999999E-2</v>
      </c>
      <c r="M61" s="26">
        <f>'CUOTA LTP'!J36</f>
        <v>0</v>
      </c>
      <c r="N61" s="19" t="s">
        <v>92</v>
      </c>
      <c r="O61" s="19">
        <f>'RESUMEN '!$B$4</f>
        <v>44926</v>
      </c>
      <c r="P61" s="17">
        <v>2022</v>
      </c>
      <c r="Q61" s="17"/>
    </row>
    <row r="62" spans="1:17" x14ac:dyDescent="0.2">
      <c r="A62" s="17" t="s">
        <v>47</v>
      </c>
      <c r="B62" s="17" t="s">
        <v>82</v>
      </c>
      <c r="C62" s="17" t="s">
        <v>90</v>
      </c>
      <c r="D62" s="17" t="s">
        <v>96</v>
      </c>
      <c r="E62" s="17" t="str">
        <f>'CUOTA LTP'!C36</f>
        <v>BAYCIC BAYCIC MARIA</v>
      </c>
      <c r="F62" s="17" t="s">
        <v>87</v>
      </c>
      <c r="G62" s="17" t="s">
        <v>88</v>
      </c>
      <c r="H62" s="18">
        <f>'CUOTA LTP'!E37</f>
        <v>3.2100000000000002E-3</v>
      </c>
      <c r="I62" s="18">
        <f>'CUOTA LTP'!F37</f>
        <v>0</v>
      </c>
      <c r="J62" s="18">
        <f>'CUOTA LTP'!G37</f>
        <v>3.2099999999999997E-2</v>
      </c>
      <c r="K62" s="18">
        <f>'CUOTA LTP'!H37</f>
        <v>0</v>
      </c>
      <c r="L62" s="18">
        <f>'CUOTA LTP'!I37</f>
        <v>3.2099999999999997E-2</v>
      </c>
      <c r="M62" s="26">
        <f>'CUOTA LTP'!J37</f>
        <v>0</v>
      </c>
      <c r="N62" s="19" t="s">
        <v>92</v>
      </c>
      <c r="O62" s="19">
        <f>'RESUMEN '!$B$4</f>
        <v>44926</v>
      </c>
      <c r="P62" s="17">
        <v>2022</v>
      </c>
      <c r="Q62" s="17"/>
    </row>
    <row r="63" spans="1:17" x14ac:dyDescent="0.2">
      <c r="A63" s="17" t="s">
        <v>47</v>
      </c>
      <c r="B63" s="17" t="s">
        <v>82</v>
      </c>
      <c r="C63" s="17" t="s">
        <v>90</v>
      </c>
      <c r="D63" s="17" t="s">
        <v>96</v>
      </c>
      <c r="E63" s="17" t="str">
        <f>'CUOTA LTP'!C36</f>
        <v>BAYCIC BAYCIC MARIA</v>
      </c>
      <c r="F63" s="17" t="s">
        <v>89</v>
      </c>
      <c r="G63" s="17" t="s">
        <v>88</v>
      </c>
      <c r="H63" s="18">
        <f>'CUOTA LTP'!K36</f>
        <v>3.2099999999999997E-2</v>
      </c>
      <c r="I63" s="18">
        <f>'CUOTA LTP'!L36</f>
        <v>0</v>
      </c>
      <c r="J63" s="18">
        <f>'CUOTA LTP'!M36</f>
        <v>3.2099999999999997E-2</v>
      </c>
      <c r="K63" s="18">
        <f>'CUOTA LTP'!N36</f>
        <v>0</v>
      </c>
      <c r="L63" s="18">
        <f>'CUOTA LTP'!O36</f>
        <v>3.2099999999999997E-2</v>
      </c>
      <c r="M63" s="26">
        <f>'CUOTA LTP'!P36</f>
        <v>0</v>
      </c>
      <c r="N63" s="19" t="s">
        <v>92</v>
      </c>
      <c r="O63" s="19">
        <f>'RESUMEN '!$B$4</f>
        <v>44926</v>
      </c>
      <c r="P63" s="17">
        <v>2022</v>
      </c>
      <c r="Q63" s="17"/>
    </row>
    <row r="64" spans="1:17" x14ac:dyDescent="0.2">
      <c r="A64" s="17" t="s">
        <v>47</v>
      </c>
      <c r="B64" s="17" t="s">
        <v>82</v>
      </c>
      <c r="C64" s="17" t="s">
        <v>90</v>
      </c>
      <c r="D64" s="17" t="s">
        <v>96</v>
      </c>
      <c r="E64" s="17" t="str">
        <f>'CUOTA LTP'!C38</f>
        <v>BRACPESCA S.A.</v>
      </c>
      <c r="F64" s="17" t="s">
        <v>85</v>
      </c>
      <c r="G64" s="17" t="s">
        <v>86</v>
      </c>
      <c r="H64" s="18">
        <f>'CUOTA LTP'!E38</f>
        <v>368.7579300000001</v>
      </c>
      <c r="I64" s="18">
        <f>'CUOTA LTP'!F38</f>
        <v>-58.921999999999997</v>
      </c>
      <c r="J64" s="18">
        <f>'CUOTA LTP'!G38</f>
        <v>309.83593000000008</v>
      </c>
      <c r="K64" s="18">
        <f>'CUOTA LTP'!H38</f>
        <v>263.54399999999998</v>
      </c>
      <c r="L64" s="18">
        <f>'CUOTA LTP'!I38</f>
        <v>46.291930000000093</v>
      </c>
      <c r="M64" s="26">
        <f>'CUOTA LTP'!J38</f>
        <v>0.85059211822205361</v>
      </c>
      <c r="N64" s="19" t="s">
        <v>92</v>
      </c>
      <c r="O64" s="19">
        <f>'RESUMEN '!$B$4</f>
        <v>44926</v>
      </c>
      <c r="P64" s="17">
        <v>2022</v>
      </c>
      <c r="Q64" s="17"/>
    </row>
    <row r="65" spans="1:17" x14ac:dyDescent="0.2">
      <c r="A65" s="17" t="s">
        <v>47</v>
      </c>
      <c r="B65" s="17" t="s">
        <v>82</v>
      </c>
      <c r="C65" s="17" t="s">
        <v>90</v>
      </c>
      <c r="D65" s="17" t="s">
        <v>96</v>
      </c>
      <c r="E65" s="17" t="str">
        <f>'CUOTA LTP'!C38</f>
        <v>BRACPESCA S.A.</v>
      </c>
      <c r="F65" s="17" t="s">
        <v>87</v>
      </c>
      <c r="G65" s="17" t="s">
        <v>88</v>
      </c>
      <c r="H65" s="18">
        <f>'CUOTA LTP'!E39</f>
        <v>40.973099999999995</v>
      </c>
      <c r="I65" s="18">
        <f>'CUOTA LTP'!F39</f>
        <v>0</v>
      </c>
      <c r="J65" s="18">
        <f>'CUOTA LTP'!G39</f>
        <v>87.265030000000081</v>
      </c>
      <c r="K65" s="18">
        <f>'CUOTA LTP'!H39</f>
        <v>0</v>
      </c>
      <c r="L65" s="18">
        <f>'CUOTA LTP'!I39</f>
        <v>87.265030000000081</v>
      </c>
      <c r="M65" s="26">
        <f>'CUOTA LTP'!J39</f>
        <v>0</v>
      </c>
      <c r="N65" s="19" t="s">
        <v>92</v>
      </c>
      <c r="O65" s="19">
        <f>'RESUMEN '!$B$4</f>
        <v>44926</v>
      </c>
      <c r="P65" s="17">
        <v>2022</v>
      </c>
      <c r="Q65" s="17"/>
    </row>
    <row r="66" spans="1:17" x14ac:dyDescent="0.2">
      <c r="A66" s="17" t="s">
        <v>47</v>
      </c>
      <c r="B66" s="17" t="s">
        <v>82</v>
      </c>
      <c r="C66" s="17" t="s">
        <v>90</v>
      </c>
      <c r="D66" s="17" t="s">
        <v>96</v>
      </c>
      <c r="E66" s="17" t="str">
        <f>'CUOTA LTP'!C38</f>
        <v>BRACPESCA S.A.</v>
      </c>
      <c r="F66" s="17" t="s">
        <v>89</v>
      </c>
      <c r="G66" s="17" t="s">
        <v>88</v>
      </c>
      <c r="H66" s="18">
        <f>'CUOTA LTP'!K38</f>
        <v>409.73103000000009</v>
      </c>
      <c r="I66" s="18">
        <f>'CUOTA LTP'!L38</f>
        <v>-58.921999999999997</v>
      </c>
      <c r="J66" s="18">
        <f>'CUOTA LTP'!M38</f>
        <v>350.80903000000012</v>
      </c>
      <c r="K66" s="18">
        <f>'CUOTA LTP'!N38</f>
        <v>263.54399999999998</v>
      </c>
      <c r="L66" s="18">
        <f>'CUOTA LTP'!O38</f>
        <v>87.265030000000138</v>
      </c>
      <c r="M66" s="26">
        <f>'CUOTA LTP'!P38</f>
        <v>0.75124634049471273</v>
      </c>
      <c r="N66" s="19" t="s">
        <v>92</v>
      </c>
      <c r="O66" s="19">
        <f>'RESUMEN '!$B$4</f>
        <v>44926</v>
      </c>
      <c r="P66" s="17">
        <v>2022</v>
      </c>
      <c r="Q66" s="17"/>
    </row>
    <row r="67" spans="1:17" x14ac:dyDescent="0.2">
      <c r="A67" s="17" t="s">
        <v>47</v>
      </c>
      <c r="B67" s="17" t="s">
        <v>82</v>
      </c>
      <c r="C67" s="17" t="s">
        <v>90</v>
      </c>
      <c r="D67" s="17" t="s">
        <v>96</v>
      </c>
      <c r="E67" s="17" t="str">
        <f>'CUOTA LTP'!C40</f>
        <v>GRIMAR S.A. PESQ.</v>
      </c>
      <c r="F67" s="17" t="s">
        <v>85</v>
      </c>
      <c r="G67" s="17" t="s">
        <v>86</v>
      </c>
      <c r="H67" s="18">
        <f>'CUOTA LTP'!E40</f>
        <v>0.16669999999999999</v>
      </c>
      <c r="I67" s="18">
        <f>'CUOTA LTP'!F40</f>
        <v>0</v>
      </c>
      <c r="J67" s="18">
        <f>'CUOTA LTP'!G40</f>
        <v>0.16669999999999999</v>
      </c>
      <c r="K67" s="18">
        <f>'CUOTA LTP'!H40</f>
        <v>0</v>
      </c>
      <c r="L67" s="18">
        <f>'CUOTA LTP'!I40</f>
        <v>0.16669999999999999</v>
      </c>
      <c r="M67" s="26">
        <f>'CUOTA LTP'!J40</f>
        <v>0</v>
      </c>
      <c r="N67" s="19" t="s">
        <v>92</v>
      </c>
      <c r="O67" s="19">
        <f>'RESUMEN '!$B$4</f>
        <v>44926</v>
      </c>
      <c r="P67" s="17">
        <v>2022</v>
      </c>
      <c r="Q67" s="17"/>
    </row>
    <row r="68" spans="1:17" x14ac:dyDescent="0.2">
      <c r="A68" s="17" t="s">
        <v>47</v>
      </c>
      <c r="B68" s="17" t="s">
        <v>82</v>
      </c>
      <c r="C68" s="17" t="s">
        <v>90</v>
      </c>
      <c r="D68" s="17" t="s">
        <v>96</v>
      </c>
      <c r="E68" s="17" t="str">
        <f>'CUOTA LTP'!C40</f>
        <v>GRIMAR S.A. PESQ.</v>
      </c>
      <c r="F68" s="17" t="s">
        <v>87</v>
      </c>
      <c r="G68" s="17" t="s">
        <v>88</v>
      </c>
      <c r="H68" s="18">
        <f>'CUOTA LTP'!E41</f>
        <v>1.8519999999999998E-2</v>
      </c>
      <c r="I68" s="18">
        <f>'CUOTA LTP'!F41</f>
        <v>0</v>
      </c>
      <c r="J68" s="18">
        <f>'CUOTA LTP'!G41</f>
        <v>0.18522</v>
      </c>
      <c r="K68" s="18">
        <f>'CUOTA LTP'!H41</f>
        <v>0</v>
      </c>
      <c r="L68" s="18">
        <f>'CUOTA LTP'!I41</f>
        <v>0.18522</v>
      </c>
      <c r="M68" s="26">
        <f>'CUOTA LTP'!J41</f>
        <v>0</v>
      </c>
      <c r="N68" s="19" t="s">
        <v>92</v>
      </c>
      <c r="O68" s="19">
        <f>'RESUMEN '!$B$4</f>
        <v>44926</v>
      </c>
      <c r="P68" s="17">
        <v>2022</v>
      </c>
      <c r="Q68" s="17"/>
    </row>
    <row r="69" spans="1:17" x14ac:dyDescent="0.2">
      <c r="A69" s="17" t="s">
        <v>47</v>
      </c>
      <c r="B69" s="17" t="s">
        <v>82</v>
      </c>
      <c r="C69" s="17" t="s">
        <v>90</v>
      </c>
      <c r="D69" s="17" t="s">
        <v>96</v>
      </c>
      <c r="E69" s="17" t="str">
        <f>'CUOTA LTP'!C40</f>
        <v>GRIMAR S.A. PESQ.</v>
      </c>
      <c r="F69" s="17" t="s">
        <v>89</v>
      </c>
      <c r="G69" s="17" t="s">
        <v>88</v>
      </c>
      <c r="H69" s="18">
        <f>'CUOTA LTP'!K40</f>
        <v>0.18522</v>
      </c>
      <c r="I69" s="18">
        <f>'CUOTA LTP'!L40</f>
        <v>0</v>
      </c>
      <c r="J69" s="18">
        <f>'CUOTA LTP'!M40</f>
        <v>0.18522</v>
      </c>
      <c r="K69" s="18">
        <f>'CUOTA LTP'!N40</f>
        <v>0</v>
      </c>
      <c r="L69" s="18">
        <f>'CUOTA LTP'!O40</f>
        <v>0.18522</v>
      </c>
      <c r="M69" s="26">
        <f>'CUOTA LTP'!P40</f>
        <v>0</v>
      </c>
      <c r="N69" s="19" t="s">
        <v>92</v>
      </c>
      <c r="O69" s="19">
        <f>'RESUMEN '!$B$4</f>
        <v>44926</v>
      </c>
      <c r="P69" s="17">
        <v>2022</v>
      </c>
      <c r="Q69" s="17"/>
    </row>
    <row r="70" spans="1:17" x14ac:dyDescent="0.2">
      <c r="A70" s="17" t="s">
        <v>47</v>
      </c>
      <c r="B70" s="17" t="s">
        <v>82</v>
      </c>
      <c r="C70" s="17" t="s">
        <v>90</v>
      </c>
      <c r="D70" s="17" t="s">
        <v>96</v>
      </c>
      <c r="E70" s="17" t="str">
        <f>'CUOTA LTP'!C42</f>
        <v>ISLADAMAS S.A. PESQ.</v>
      </c>
      <c r="F70" s="17" t="s">
        <v>85</v>
      </c>
      <c r="G70" s="17" t="s">
        <v>86</v>
      </c>
      <c r="H70" s="18">
        <f>'CUOTA LTP'!E42</f>
        <v>101.91651</v>
      </c>
      <c r="I70" s="18">
        <f>'CUOTA LTP'!F42</f>
        <v>-6.7409999999999997</v>
      </c>
      <c r="J70" s="18">
        <f>'CUOTA LTP'!G42</f>
        <v>95.175510000000003</v>
      </c>
      <c r="K70" s="18">
        <f>'CUOTA LTP'!H42</f>
        <v>103.208</v>
      </c>
      <c r="L70" s="18">
        <f>'CUOTA LTP'!I42</f>
        <v>-8.0324899999999957</v>
      </c>
      <c r="M70" s="26">
        <f>'CUOTA LTP'!J42</f>
        <v>1.0843966058075234</v>
      </c>
      <c r="N70" s="19" t="s">
        <v>92</v>
      </c>
      <c r="O70" s="19">
        <f>'RESUMEN '!$B$4</f>
        <v>44926</v>
      </c>
      <c r="P70" s="17">
        <v>2022</v>
      </c>
      <c r="Q70" s="17"/>
    </row>
    <row r="71" spans="1:17" x14ac:dyDescent="0.2">
      <c r="A71" s="17" t="s">
        <v>47</v>
      </c>
      <c r="B71" s="17" t="s">
        <v>82</v>
      </c>
      <c r="C71" s="17" t="s">
        <v>90</v>
      </c>
      <c r="D71" s="17" t="s">
        <v>96</v>
      </c>
      <c r="E71" s="17" t="str">
        <f>'CUOTA LTP'!C42</f>
        <v>ISLADAMAS S.A. PESQ.</v>
      </c>
      <c r="F71" s="17" t="s">
        <v>87</v>
      </c>
      <c r="G71" s="17" t="s">
        <v>88</v>
      </c>
      <c r="H71" s="18">
        <f>'CUOTA LTP'!E43</f>
        <v>11.32405</v>
      </c>
      <c r="I71" s="18">
        <f>'CUOTA LTP'!F43</f>
        <v>0</v>
      </c>
      <c r="J71" s="18">
        <f>'CUOTA LTP'!G43</f>
        <v>3.291560000000004</v>
      </c>
      <c r="K71" s="18">
        <f>'CUOTA LTP'!H43</f>
        <v>0</v>
      </c>
      <c r="L71" s="18">
        <f>'CUOTA LTP'!I43</f>
        <v>3.291560000000004</v>
      </c>
      <c r="M71" s="26">
        <f>'CUOTA LTP'!J43</f>
        <v>0</v>
      </c>
      <c r="N71" s="19" t="s">
        <v>92</v>
      </c>
      <c r="O71" s="19">
        <f>'RESUMEN '!$B$4</f>
        <v>44926</v>
      </c>
      <c r="P71" s="17">
        <v>2022</v>
      </c>
      <c r="Q71" s="17"/>
    </row>
    <row r="72" spans="1:17" x14ac:dyDescent="0.2">
      <c r="A72" s="17" t="s">
        <v>47</v>
      </c>
      <c r="B72" s="17" t="s">
        <v>82</v>
      </c>
      <c r="C72" s="17" t="s">
        <v>90</v>
      </c>
      <c r="D72" s="17" t="s">
        <v>96</v>
      </c>
      <c r="E72" s="17" t="str">
        <f>'CUOTA LTP'!C42</f>
        <v>ISLADAMAS S.A. PESQ.</v>
      </c>
      <c r="F72" s="17" t="s">
        <v>89</v>
      </c>
      <c r="G72" s="17" t="s">
        <v>88</v>
      </c>
      <c r="H72" s="18">
        <f>'CUOTA LTP'!K42</f>
        <v>113.24056</v>
      </c>
      <c r="I72" s="18">
        <f>'CUOTA LTP'!L42</f>
        <v>-6.7409999999999997</v>
      </c>
      <c r="J72" s="18">
        <f>'CUOTA LTP'!M42</f>
        <v>106.49956</v>
      </c>
      <c r="K72" s="18">
        <f>'CUOTA LTP'!N42</f>
        <v>103.208</v>
      </c>
      <c r="L72" s="18">
        <f>'CUOTA LTP'!O42</f>
        <v>3.291560000000004</v>
      </c>
      <c r="M72" s="26">
        <f>'CUOTA LTP'!P42</f>
        <v>0.96909320564329093</v>
      </c>
      <c r="N72" s="19" t="s">
        <v>92</v>
      </c>
      <c r="O72" s="19">
        <f>'RESUMEN '!$B$4</f>
        <v>44926</v>
      </c>
      <c r="P72" s="17">
        <v>2022</v>
      </c>
      <c r="Q72" s="17"/>
    </row>
    <row r="73" spans="1:17" x14ac:dyDescent="0.2">
      <c r="A73" s="17" t="s">
        <v>47</v>
      </c>
      <c r="B73" s="17" t="s">
        <v>82</v>
      </c>
      <c r="C73" s="17" t="s">
        <v>90</v>
      </c>
      <c r="D73" s="17" t="s">
        <v>96</v>
      </c>
      <c r="E73" s="17" t="str">
        <f>'CUOTA LTP'!C44</f>
        <v>MOROZIN BAYCIC MARIA ANA</v>
      </c>
      <c r="F73" s="17" t="s">
        <v>85</v>
      </c>
      <c r="G73" s="17" t="s">
        <v>86</v>
      </c>
      <c r="H73" s="18">
        <f>'CUOTA LTP'!E44</f>
        <v>9.64E-2</v>
      </c>
      <c r="I73" s="18">
        <f>'CUOTA LTP'!F44</f>
        <v>0</v>
      </c>
      <c r="J73" s="18">
        <f>'CUOTA LTP'!G44</f>
        <v>9.64E-2</v>
      </c>
      <c r="K73" s="18">
        <f>'CUOTA LTP'!H44</f>
        <v>0</v>
      </c>
      <c r="L73" s="18">
        <f>'CUOTA LTP'!I44</f>
        <v>9.64E-2</v>
      </c>
      <c r="M73" s="26">
        <f>'CUOTA LTP'!J44</f>
        <v>0</v>
      </c>
      <c r="N73" s="19" t="s">
        <v>92</v>
      </c>
      <c r="O73" s="19">
        <f>'RESUMEN '!$B$4</f>
        <v>44926</v>
      </c>
      <c r="P73" s="17">
        <v>2022</v>
      </c>
      <c r="Q73" s="17"/>
    </row>
    <row r="74" spans="1:17" x14ac:dyDescent="0.2">
      <c r="A74" s="17" t="s">
        <v>47</v>
      </c>
      <c r="B74" s="17" t="s">
        <v>82</v>
      </c>
      <c r="C74" s="17" t="s">
        <v>90</v>
      </c>
      <c r="D74" s="17" t="s">
        <v>96</v>
      </c>
      <c r="E74" s="17" t="str">
        <f>'CUOTA LTP'!C44</f>
        <v>MOROZIN BAYCIC MARIA ANA</v>
      </c>
      <c r="F74" s="17" t="s">
        <v>87</v>
      </c>
      <c r="G74" s="17" t="s">
        <v>88</v>
      </c>
      <c r="H74" s="18">
        <f>'CUOTA LTP'!E45</f>
        <v>1.0710000000000001E-2</v>
      </c>
      <c r="I74" s="18">
        <f>'CUOTA LTP'!F45</f>
        <v>0</v>
      </c>
      <c r="J74" s="18">
        <f>'CUOTA LTP'!G45</f>
        <v>0.10711</v>
      </c>
      <c r="K74" s="18">
        <f>'CUOTA LTP'!H45</f>
        <v>0</v>
      </c>
      <c r="L74" s="18">
        <f>'CUOTA LTP'!I45</f>
        <v>0.10711</v>
      </c>
      <c r="M74" s="26">
        <f>'CUOTA LTP'!J45</f>
        <v>0</v>
      </c>
      <c r="N74" s="19" t="s">
        <v>92</v>
      </c>
      <c r="O74" s="19">
        <f>'RESUMEN '!$B$4</f>
        <v>44926</v>
      </c>
      <c r="P74" s="17">
        <v>2022</v>
      </c>
      <c r="Q74" s="17"/>
    </row>
    <row r="75" spans="1:17" x14ac:dyDescent="0.2">
      <c r="A75" s="17" t="s">
        <v>47</v>
      </c>
      <c r="B75" s="17" t="s">
        <v>82</v>
      </c>
      <c r="C75" s="17" t="s">
        <v>90</v>
      </c>
      <c r="D75" s="17" t="s">
        <v>96</v>
      </c>
      <c r="E75" s="17" t="str">
        <f>'CUOTA LTP'!C44</f>
        <v>MOROZIN BAYCIC MARIA ANA</v>
      </c>
      <c r="F75" s="17" t="s">
        <v>89</v>
      </c>
      <c r="G75" s="17" t="s">
        <v>88</v>
      </c>
      <c r="H75" s="18">
        <f>'CUOTA LTP'!K44</f>
        <v>0.10711</v>
      </c>
      <c r="I75" s="18">
        <f>'CUOTA LTP'!L44</f>
        <v>0</v>
      </c>
      <c r="J75" s="18">
        <f>'CUOTA LTP'!M44</f>
        <v>0.10711</v>
      </c>
      <c r="K75" s="18">
        <f>'CUOTA LTP'!N44</f>
        <v>0</v>
      </c>
      <c r="L75" s="18">
        <f>'CUOTA LTP'!O44</f>
        <v>0.10711</v>
      </c>
      <c r="M75" s="26">
        <f>'CUOTA LTP'!P44</f>
        <v>0</v>
      </c>
      <c r="N75" s="19" t="s">
        <v>92</v>
      </c>
      <c r="O75" s="19">
        <f>'RESUMEN '!$B$4</f>
        <v>44926</v>
      </c>
      <c r="P75" s="17">
        <v>2022</v>
      </c>
      <c r="Q75" s="17"/>
    </row>
    <row r="76" spans="1:17" x14ac:dyDescent="0.2">
      <c r="A76" s="17" t="s">
        <v>47</v>
      </c>
      <c r="B76" s="17" t="s">
        <v>82</v>
      </c>
      <c r="C76" s="17" t="s">
        <v>90</v>
      </c>
      <c r="D76" s="17" t="s">
        <v>96</v>
      </c>
      <c r="E76" s="17" t="str">
        <f>'CUOTA LTP'!C46</f>
        <v>MOROZIN YURECIC MARIO</v>
      </c>
      <c r="F76" s="17" t="s">
        <v>85</v>
      </c>
      <c r="G76" s="17" t="s">
        <v>86</v>
      </c>
      <c r="H76" s="18">
        <f>'CUOTA LTP'!E46</f>
        <v>1.9359999999999999E-2</v>
      </c>
      <c r="I76" s="18">
        <f>'CUOTA LTP'!F46</f>
        <v>0</v>
      </c>
      <c r="J76" s="18">
        <f>'CUOTA LTP'!G46</f>
        <v>1.9359999999999999E-2</v>
      </c>
      <c r="K76" s="18">
        <f>'CUOTA LTP'!H46</f>
        <v>0</v>
      </c>
      <c r="L76" s="18">
        <f>'CUOTA LTP'!I46</f>
        <v>1.9359999999999999E-2</v>
      </c>
      <c r="M76" s="26">
        <f>'CUOTA LTP'!J46</f>
        <v>0</v>
      </c>
      <c r="N76" s="19" t="s">
        <v>92</v>
      </c>
      <c r="O76" s="19">
        <f>'RESUMEN '!$B$4</f>
        <v>44926</v>
      </c>
      <c r="P76" s="17">
        <v>2022</v>
      </c>
      <c r="Q76" s="17"/>
    </row>
    <row r="77" spans="1:17" x14ac:dyDescent="0.2">
      <c r="A77" s="17" t="s">
        <v>47</v>
      </c>
      <c r="B77" s="17" t="s">
        <v>82</v>
      </c>
      <c r="C77" s="17" t="s">
        <v>90</v>
      </c>
      <c r="D77" s="17" t="s">
        <v>96</v>
      </c>
      <c r="E77" s="17" t="str">
        <f>'CUOTA LTP'!C46</f>
        <v>MOROZIN YURECIC MARIO</v>
      </c>
      <c r="F77" s="17" t="s">
        <v>87</v>
      </c>
      <c r="G77" s="17" t="s">
        <v>88</v>
      </c>
      <c r="H77" s="18">
        <f>'CUOTA LTP'!E47</f>
        <v>2.15E-3</v>
      </c>
      <c r="I77" s="18">
        <f>'CUOTA LTP'!F47</f>
        <v>0</v>
      </c>
      <c r="J77" s="18">
        <f>'CUOTA LTP'!G47</f>
        <v>2.1509999999999998E-2</v>
      </c>
      <c r="K77" s="18">
        <f>'CUOTA LTP'!H47</f>
        <v>0</v>
      </c>
      <c r="L77" s="18">
        <f>'CUOTA LTP'!I47</f>
        <v>2.1509999999999998E-2</v>
      </c>
      <c r="M77" s="26">
        <f>'CUOTA LTP'!J47</f>
        <v>0</v>
      </c>
      <c r="N77" s="19" t="s">
        <v>92</v>
      </c>
      <c r="O77" s="19">
        <f>'RESUMEN '!$B$4</f>
        <v>44926</v>
      </c>
      <c r="P77" s="17">
        <v>2022</v>
      </c>
      <c r="Q77" s="17"/>
    </row>
    <row r="78" spans="1:17" x14ac:dyDescent="0.2">
      <c r="A78" s="17" t="s">
        <v>47</v>
      </c>
      <c r="B78" s="17" t="s">
        <v>82</v>
      </c>
      <c r="C78" s="17" t="s">
        <v>90</v>
      </c>
      <c r="D78" s="17" t="s">
        <v>96</v>
      </c>
      <c r="E78" s="17" t="str">
        <f>'CUOTA LTP'!C46</f>
        <v>MOROZIN YURECIC MARIO</v>
      </c>
      <c r="F78" s="17" t="s">
        <v>89</v>
      </c>
      <c r="G78" s="17" t="s">
        <v>88</v>
      </c>
      <c r="H78" s="18">
        <f>'CUOTA LTP'!K46</f>
        <v>2.1509999999999998E-2</v>
      </c>
      <c r="I78" s="18">
        <f>'CUOTA LTP'!L46</f>
        <v>0</v>
      </c>
      <c r="J78" s="18">
        <f>'CUOTA LTP'!M46</f>
        <v>2.1509999999999998E-2</v>
      </c>
      <c r="K78" s="18">
        <f>'CUOTA LTP'!N46</f>
        <v>0</v>
      </c>
      <c r="L78" s="18">
        <f>'CUOTA LTP'!O46</f>
        <v>2.1509999999999998E-2</v>
      </c>
      <c r="M78" s="26">
        <f>'CUOTA LTP'!P46</f>
        <v>0</v>
      </c>
      <c r="N78" s="19" t="s">
        <v>92</v>
      </c>
      <c r="O78" s="19">
        <f>'RESUMEN '!$B$4</f>
        <v>44926</v>
      </c>
      <c r="P78" s="17">
        <v>2022</v>
      </c>
      <c r="Q78" s="17"/>
    </row>
    <row r="79" spans="1:17" x14ac:dyDescent="0.2">
      <c r="A79" s="17" t="s">
        <v>47</v>
      </c>
      <c r="B79" s="17" t="s">
        <v>82</v>
      </c>
      <c r="C79" s="17" t="s">
        <v>90</v>
      </c>
      <c r="D79" s="17" t="s">
        <v>96</v>
      </c>
      <c r="E79" s="17" t="str">
        <f>'CUOTA LTP'!C48</f>
        <v>ZUÑIGA ROMERO GONZALO</v>
      </c>
      <c r="F79" s="17" t="s">
        <v>85</v>
      </c>
      <c r="G79" s="17" t="s">
        <v>86</v>
      </c>
      <c r="H79" s="18">
        <f>'CUOTA LTP'!E48</f>
        <v>5.7779999999999998E-2</v>
      </c>
      <c r="I79" s="18">
        <f>'CUOTA LTP'!F48</f>
        <v>0</v>
      </c>
      <c r="J79" s="18">
        <f>'CUOTA LTP'!G48</f>
        <v>5.7779999999999998E-2</v>
      </c>
      <c r="K79" s="18">
        <f>'CUOTA LTP'!H48</f>
        <v>0</v>
      </c>
      <c r="L79" s="18">
        <f>'CUOTA LTP'!I48</f>
        <v>5.7779999999999998E-2</v>
      </c>
      <c r="M79" s="26">
        <f>'CUOTA LTP'!J48</f>
        <v>0</v>
      </c>
      <c r="N79" s="19" t="s">
        <v>92</v>
      </c>
      <c r="O79" s="19">
        <f>'RESUMEN '!$B$4</f>
        <v>44926</v>
      </c>
      <c r="P79" s="17">
        <v>2022</v>
      </c>
      <c r="Q79" s="17"/>
    </row>
    <row r="80" spans="1:17" x14ac:dyDescent="0.2">
      <c r="A80" s="17" t="s">
        <v>47</v>
      </c>
      <c r="B80" s="17" t="s">
        <v>82</v>
      </c>
      <c r="C80" s="17" t="s">
        <v>90</v>
      </c>
      <c r="D80" s="17" t="s">
        <v>96</v>
      </c>
      <c r="E80" s="17" t="str">
        <f>'CUOTA LTP'!C48</f>
        <v>ZUÑIGA ROMERO GONZALO</v>
      </c>
      <c r="F80" s="17" t="s">
        <v>87</v>
      </c>
      <c r="G80" s="17" t="s">
        <v>88</v>
      </c>
      <c r="H80" s="18">
        <f>'CUOTA LTP'!E49</f>
        <v>6.4200000000000004E-3</v>
      </c>
      <c r="I80" s="18">
        <f>'CUOTA LTP'!F49</f>
        <v>0</v>
      </c>
      <c r="J80" s="18">
        <f>'CUOTA LTP'!G49</f>
        <v>6.4199999999999993E-2</v>
      </c>
      <c r="K80" s="18">
        <f>'CUOTA LTP'!H49</f>
        <v>0</v>
      </c>
      <c r="L80" s="18">
        <f>'CUOTA LTP'!I49</f>
        <v>6.4199999999999993E-2</v>
      </c>
      <c r="M80" s="26">
        <f>'CUOTA LTP'!J49</f>
        <v>0</v>
      </c>
      <c r="N80" s="19" t="s">
        <v>92</v>
      </c>
      <c r="O80" s="19">
        <f>'RESUMEN '!$B$4</f>
        <v>44926</v>
      </c>
      <c r="P80" s="17">
        <v>2022</v>
      </c>
      <c r="Q80" s="17"/>
    </row>
    <row r="81" spans="1:17" x14ac:dyDescent="0.2">
      <c r="A81" s="17" t="s">
        <v>47</v>
      </c>
      <c r="B81" s="17" t="s">
        <v>82</v>
      </c>
      <c r="C81" s="17" t="s">
        <v>90</v>
      </c>
      <c r="D81" s="17" t="s">
        <v>96</v>
      </c>
      <c r="E81" s="17" t="str">
        <f>'CUOTA LTP'!C48</f>
        <v>ZUÑIGA ROMERO GONZALO</v>
      </c>
      <c r="F81" s="17" t="s">
        <v>89</v>
      </c>
      <c r="G81" s="17" t="s">
        <v>88</v>
      </c>
      <c r="H81" s="18">
        <f>'CUOTA LTP'!K48</f>
        <v>6.4199999999999993E-2</v>
      </c>
      <c r="I81" s="18">
        <f>'CUOTA LTP'!L48</f>
        <v>0</v>
      </c>
      <c r="J81" s="18">
        <f>'CUOTA LTP'!M48</f>
        <v>6.4199999999999993E-2</v>
      </c>
      <c r="K81" s="18">
        <f>'CUOTA LTP'!N48</f>
        <v>0</v>
      </c>
      <c r="L81" s="18">
        <f>'CUOTA LTP'!O48</f>
        <v>6.4199999999999993E-2</v>
      </c>
      <c r="M81" s="26">
        <f>'CUOTA LTP'!P48</f>
        <v>0</v>
      </c>
      <c r="N81" s="19" t="s">
        <v>92</v>
      </c>
      <c r="O81" s="19">
        <f>'RESUMEN '!$B$4</f>
        <v>44926</v>
      </c>
      <c r="P81" s="17">
        <v>2022</v>
      </c>
      <c r="Q81" s="17"/>
    </row>
    <row r="82" spans="1:17" x14ac:dyDescent="0.2">
      <c r="A82" s="17" t="s">
        <v>47</v>
      </c>
      <c r="B82" s="17" t="s">
        <v>82</v>
      </c>
      <c r="C82" s="17" t="s">
        <v>90</v>
      </c>
      <c r="D82" s="17" t="s">
        <v>96</v>
      </c>
      <c r="E82" s="17" t="str">
        <f>'CUOTA LTP'!C50</f>
        <v>RUBIO Y MAUAD LTDA.</v>
      </c>
      <c r="F82" s="17" t="s">
        <v>85</v>
      </c>
      <c r="G82" s="17" t="s">
        <v>86</v>
      </c>
      <c r="H82" s="18">
        <f>'CUOTA LTP'!E50</f>
        <v>72.456700000000012</v>
      </c>
      <c r="I82" s="18">
        <f>'CUOTA LTP'!F50</f>
        <v>-73.766799999999989</v>
      </c>
      <c r="J82" s="18">
        <f>'CUOTA LTP'!G50</f>
        <v>-1.3100999999999772</v>
      </c>
      <c r="K82" s="18">
        <f>'CUOTA LTP'!H50</f>
        <v>0</v>
      </c>
      <c r="L82" s="18">
        <f>'CUOTA LTP'!I50</f>
        <v>-1.3100999999999772</v>
      </c>
      <c r="M82" s="26">
        <f>'CUOTA LTP'!J50</f>
        <v>0</v>
      </c>
      <c r="N82" s="19" t="s">
        <v>92</v>
      </c>
      <c r="O82" s="19">
        <f>'RESUMEN '!$B$4</f>
        <v>44926</v>
      </c>
      <c r="P82" s="17">
        <v>2022</v>
      </c>
      <c r="Q82" s="17"/>
    </row>
    <row r="83" spans="1:17" x14ac:dyDescent="0.2">
      <c r="A83" s="17" t="s">
        <v>47</v>
      </c>
      <c r="B83" s="17" t="s">
        <v>82</v>
      </c>
      <c r="C83" s="17" t="s">
        <v>90</v>
      </c>
      <c r="D83" s="17" t="s">
        <v>96</v>
      </c>
      <c r="E83" s="17" t="str">
        <f>'CUOTA LTP'!C50</f>
        <v>RUBIO Y MAUAD LTDA.</v>
      </c>
      <c r="F83" s="17" t="s">
        <v>87</v>
      </c>
      <c r="G83" s="17" t="s">
        <v>88</v>
      </c>
      <c r="H83" s="18">
        <f>'CUOTA LTP'!E51</f>
        <v>8.0507399999999993</v>
      </c>
      <c r="I83" s="18">
        <f>'CUOTA LTP'!F51</f>
        <v>0</v>
      </c>
      <c r="J83" s="18">
        <f>'CUOTA LTP'!G51</f>
        <v>6.7406400000000222</v>
      </c>
      <c r="K83" s="18">
        <f>'CUOTA LTP'!H51</f>
        <v>0</v>
      </c>
      <c r="L83" s="18">
        <f>'CUOTA LTP'!I51</f>
        <v>6.7406400000000222</v>
      </c>
      <c r="M83" s="26">
        <f>'CUOTA LTP'!J51</f>
        <v>0</v>
      </c>
      <c r="N83" s="19" t="s">
        <v>92</v>
      </c>
      <c r="O83" s="19">
        <f>'RESUMEN '!$B$4</f>
        <v>44926</v>
      </c>
      <c r="P83" s="17">
        <v>2022</v>
      </c>
      <c r="Q83" s="17"/>
    </row>
    <row r="84" spans="1:17" x14ac:dyDescent="0.2">
      <c r="A84" s="17" t="s">
        <v>47</v>
      </c>
      <c r="B84" s="17" t="s">
        <v>82</v>
      </c>
      <c r="C84" s="17" t="s">
        <v>90</v>
      </c>
      <c r="D84" s="17" t="s">
        <v>96</v>
      </c>
      <c r="E84" s="17" t="str">
        <f>'CUOTA LTP'!C50</f>
        <v>RUBIO Y MAUAD LTDA.</v>
      </c>
      <c r="F84" s="17" t="s">
        <v>89</v>
      </c>
      <c r="G84" s="17" t="s">
        <v>88</v>
      </c>
      <c r="H84" s="18">
        <f>'CUOTA LTP'!K50</f>
        <v>80.507440000000017</v>
      </c>
      <c r="I84" s="18">
        <f>'CUOTA LTP'!L50</f>
        <v>-73.766799999999989</v>
      </c>
      <c r="J84" s="18">
        <f>'CUOTA LTP'!M50</f>
        <v>6.7406400000000275</v>
      </c>
      <c r="K84" s="18">
        <f>'CUOTA LTP'!N50</f>
        <v>0</v>
      </c>
      <c r="L84" s="18">
        <f>'CUOTA LTP'!O50</f>
        <v>6.7406400000000275</v>
      </c>
      <c r="M84" s="26">
        <f>'CUOTA LTP'!P50</f>
        <v>0</v>
      </c>
      <c r="N84" s="19" t="s">
        <v>92</v>
      </c>
      <c r="O84" s="19">
        <f>'RESUMEN '!$B$4</f>
        <v>44926</v>
      </c>
      <c r="P84" s="17">
        <v>2022</v>
      </c>
      <c r="Q84" s="17"/>
    </row>
    <row r="85" spans="1:17" x14ac:dyDescent="0.2">
      <c r="A85" s="17" t="s">
        <v>47</v>
      </c>
      <c r="B85" s="17" t="s">
        <v>82</v>
      </c>
      <c r="C85" s="17" t="s">
        <v>90</v>
      </c>
      <c r="D85" s="17" t="s">
        <v>96</v>
      </c>
      <c r="E85" s="17" t="str">
        <f>'CUOTA LTP'!C54</f>
        <v>INVERSIONES NAKAL SpA</v>
      </c>
      <c r="F85" s="17" t="s">
        <v>85</v>
      </c>
      <c r="G85" s="17" t="s">
        <v>86</v>
      </c>
      <c r="H85" s="18">
        <f>'CUOTA LTP'!E54</f>
        <v>0</v>
      </c>
      <c r="I85" s="18">
        <f>'CUOTA LTP'!F54</f>
        <v>80.507799999999989</v>
      </c>
      <c r="J85" s="18">
        <f>'CUOTA LTP'!G54</f>
        <v>80.507799999999989</v>
      </c>
      <c r="K85" s="18">
        <f>'CUOTA LTP'!H54</f>
        <v>0</v>
      </c>
      <c r="L85" s="18">
        <f>'CUOTA LTP'!I54</f>
        <v>80.507799999999989</v>
      </c>
      <c r="M85" s="26">
        <f>'CUOTA LTP'!J54</f>
        <v>0</v>
      </c>
      <c r="N85" s="19" t="s">
        <v>92</v>
      </c>
      <c r="O85" s="19">
        <f>'RESUMEN '!$B$4</f>
        <v>44926</v>
      </c>
      <c r="P85" s="17">
        <v>2022</v>
      </c>
      <c r="Q85" s="17"/>
    </row>
    <row r="86" spans="1:17" x14ac:dyDescent="0.2">
      <c r="A86" s="17" t="s">
        <v>47</v>
      </c>
      <c r="B86" s="17" t="s">
        <v>82</v>
      </c>
      <c r="C86" s="17" t="s">
        <v>90</v>
      </c>
      <c r="D86" s="17" t="s">
        <v>96</v>
      </c>
      <c r="E86" s="17" t="str">
        <f>'CUOTA LTP'!C54</f>
        <v>INVERSIONES NAKAL SpA</v>
      </c>
      <c r="F86" s="17" t="s">
        <v>87</v>
      </c>
      <c r="G86" s="17" t="s">
        <v>88</v>
      </c>
      <c r="H86" s="18">
        <f>'CUOTA LTP'!E55</f>
        <v>0</v>
      </c>
      <c r="I86" s="18">
        <f>'CUOTA LTP'!F55</f>
        <v>0</v>
      </c>
      <c r="J86" s="18">
        <f>'CUOTA LTP'!G55</f>
        <v>80.507799999999989</v>
      </c>
      <c r="K86" s="18">
        <f>'CUOTA LTP'!H55</f>
        <v>0</v>
      </c>
      <c r="L86" s="18">
        <f>'CUOTA LTP'!I55</f>
        <v>80.507799999999989</v>
      </c>
      <c r="M86" s="26">
        <f>'CUOTA LTP'!J55</f>
        <v>0</v>
      </c>
      <c r="N86" s="19" t="s">
        <v>92</v>
      </c>
      <c r="O86" s="19">
        <f>'RESUMEN '!$B$4</f>
        <v>44926</v>
      </c>
      <c r="P86" s="17">
        <v>2022</v>
      </c>
      <c r="Q86" s="17"/>
    </row>
    <row r="87" spans="1:17" x14ac:dyDescent="0.2">
      <c r="A87" s="17" t="s">
        <v>47</v>
      </c>
      <c r="B87" s="17" t="s">
        <v>82</v>
      </c>
      <c r="C87" s="17" t="s">
        <v>90</v>
      </c>
      <c r="D87" s="17" t="s">
        <v>96</v>
      </c>
      <c r="E87" s="17" t="str">
        <f>'CUOTA LTP'!C54</f>
        <v>INVERSIONES NAKAL SpA</v>
      </c>
      <c r="F87" s="17" t="s">
        <v>89</v>
      </c>
      <c r="G87" s="17" t="s">
        <v>88</v>
      </c>
      <c r="H87" s="18">
        <f>'CUOTA LTP'!K54</f>
        <v>0</v>
      </c>
      <c r="I87" s="18">
        <f>'CUOTA LTP'!L54</f>
        <v>80.507799999999989</v>
      </c>
      <c r="J87" s="18">
        <f>'CUOTA LTP'!M54</f>
        <v>80.507799999999989</v>
      </c>
      <c r="K87" s="18">
        <f>'CUOTA LTP'!N54</f>
        <v>0</v>
      </c>
      <c r="L87" s="18">
        <f>'CUOTA LTP'!O54</f>
        <v>80.507799999999989</v>
      </c>
      <c r="M87" s="26">
        <f>'CUOTA LTP'!P54</f>
        <v>0</v>
      </c>
      <c r="N87" s="19" t="s">
        <v>92</v>
      </c>
      <c r="O87" s="19">
        <f>'RESUMEN '!$B$4</f>
        <v>44926</v>
      </c>
      <c r="P87" s="17">
        <v>2022</v>
      </c>
      <c r="Q87" s="17"/>
    </row>
    <row r="88" spans="1:17" x14ac:dyDescent="0.2">
      <c r="A88" s="17" t="s">
        <v>47</v>
      </c>
      <c r="B88" s="17" t="s">
        <v>82</v>
      </c>
      <c r="C88" s="17" t="s">
        <v>90</v>
      </c>
      <c r="D88" s="17" t="s">
        <v>96</v>
      </c>
      <c r="E88" s="17" t="str">
        <f>'CUOTA LTP'!C58</f>
        <v>ENFERMAR LTDA. SOC. PESQ.</v>
      </c>
      <c r="F88" s="17" t="s">
        <v>85</v>
      </c>
      <c r="G88" s="17" t="s">
        <v>86</v>
      </c>
      <c r="H88" s="18">
        <f>'CUOTA LTP'!E58</f>
        <v>0.39493</v>
      </c>
      <c r="I88" s="18">
        <f>'CUOTA LTP'!F58</f>
        <v>0</v>
      </c>
      <c r="J88" s="18">
        <f>'CUOTA LTP'!G58</f>
        <v>0.39493</v>
      </c>
      <c r="K88" s="18">
        <f>'CUOTA LTP'!H58</f>
        <v>0</v>
      </c>
      <c r="L88" s="18">
        <f>'CUOTA LTP'!I58</f>
        <v>0.39493</v>
      </c>
      <c r="M88" s="26">
        <f>'CUOTA LTP'!J58</f>
        <v>0</v>
      </c>
      <c r="N88" s="19" t="s">
        <v>92</v>
      </c>
      <c r="O88" s="19">
        <f>'RESUMEN '!$B$4</f>
        <v>44926</v>
      </c>
      <c r="P88" s="17">
        <v>2022</v>
      </c>
      <c r="Q88" s="17"/>
    </row>
    <row r="89" spans="1:17" x14ac:dyDescent="0.2">
      <c r="A89" s="17" t="s">
        <v>47</v>
      </c>
      <c r="B89" s="17" t="s">
        <v>82</v>
      </c>
      <c r="C89" s="17" t="s">
        <v>90</v>
      </c>
      <c r="D89" s="17" t="s">
        <v>96</v>
      </c>
      <c r="E89" s="17" t="str">
        <f>'CUOTA LTP'!C58</f>
        <v>ENFERMAR LTDA. SOC. PESQ.</v>
      </c>
      <c r="F89" s="17" t="s">
        <v>87</v>
      </c>
      <c r="G89" s="17" t="s">
        <v>88</v>
      </c>
      <c r="H89" s="18">
        <f>'CUOTA LTP'!E59</f>
        <v>4.3880000000000002E-2</v>
      </c>
      <c r="I89" s="18">
        <f>'CUOTA LTP'!F59</f>
        <v>0</v>
      </c>
      <c r="J89" s="18">
        <f>'CUOTA LTP'!G59</f>
        <v>0.43881000000000003</v>
      </c>
      <c r="K89" s="18">
        <f>'CUOTA LTP'!H59</f>
        <v>0</v>
      </c>
      <c r="L89" s="18">
        <f>'CUOTA LTP'!I59</f>
        <v>0.43881000000000003</v>
      </c>
      <c r="M89" s="26">
        <f>'CUOTA LTP'!J59</f>
        <v>0</v>
      </c>
      <c r="N89" s="19" t="s">
        <v>92</v>
      </c>
      <c r="O89" s="19">
        <f>'RESUMEN '!$B$4</f>
        <v>44926</v>
      </c>
      <c r="P89" s="17">
        <v>2022</v>
      </c>
      <c r="Q89" s="17"/>
    </row>
    <row r="90" spans="1:17" x14ac:dyDescent="0.2">
      <c r="A90" s="17" t="s">
        <v>47</v>
      </c>
      <c r="B90" s="17" t="s">
        <v>82</v>
      </c>
      <c r="C90" s="17" t="s">
        <v>90</v>
      </c>
      <c r="D90" s="17" t="s">
        <v>96</v>
      </c>
      <c r="E90" s="17" t="str">
        <f>'CUOTA LTP'!C58</f>
        <v>ENFERMAR LTDA. SOC. PESQ.</v>
      </c>
      <c r="F90" s="17" t="s">
        <v>89</v>
      </c>
      <c r="G90" s="17" t="s">
        <v>88</v>
      </c>
      <c r="H90" s="18">
        <f>'CUOTA LTP'!K58</f>
        <v>0.43881000000000003</v>
      </c>
      <c r="I90" s="18">
        <f>'CUOTA LTP'!L58</f>
        <v>0</v>
      </c>
      <c r="J90" s="18">
        <f>'CUOTA LTP'!M58</f>
        <v>0.43881000000000003</v>
      </c>
      <c r="K90" s="18">
        <f>'CUOTA LTP'!N58</f>
        <v>0</v>
      </c>
      <c r="L90" s="18">
        <f>'CUOTA LTP'!O58</f>
        <v>0.43881000000000003</v>
      </c>
      <c r="M90" s="26">
        <f>'CUOTA LTP'!P58</f>
        <v>0</v>
      </c>
      <c r="N90" s="19" t="s">
        <v>92</v>
      </c>
      <c r="O90" s="19">
        <f>'RESUMEN '!$B$4</f>
        <v>44926</v>
      </c>
      <c r="P90" s="17">
        <v>2022</v>
      </c>
      <c r="Q90" s="17"/>
    </row>
    <row r="91" spans="1:17" x14ac:dyDescent="0.2">
      <c r="A91" s="22" t="s">
        <v>47</v>
      </c>
      <c r="B91" s="22" t="s">
        <v>82</v>
      </c>
      <c r="C91" s="22" t="s">
        <v>93</v>
      </c>
      <c r="D91" s="22" t="s">
        <v>101</v>
      </c>
      <c r="E91" s="22" t="s">
        <v>102</v>
      </c>
      <c r="F91" s="22" t="s">
        <v>89</v>
      </c>
      <c r="G91" s="22" t="s">
        <v>88</v>
      </c>
      <c r="H91" s="23">
        <f>'CUOTA LTP'!E60</f>
        <v>1125.9999199999997</v>
      </c>
      <c r="I91" s="23">
        <f>'CUOTA LTP'!F60</f>
        <v>-238.91000000000003</v>
      </c>
      <c r="J91" s="23">
        <f>'CUOTA LTP'!G60</f>
        <v>887.08991999999967</v>
      </c>
      <c r="K91" s="23">
        <f>'CUOTA LTP'!H60</f>
        <v>633.80899999999997</v>
      </c>
      <c r="L91" s="23">
        <f>'CUOTA LTP'!I60</f>
        <v>253.2809199999997</v>
      </c>
      <c r="M91" s="27">
        <f>'CUOTA LTP'!J60</f>
        <v>0.71448112047085399</v>
      </c>
      <c r="N91" s="24" t="s">
        <v>92</v>
      </c>
      <c r="O91" s="24">
        <f>'RESUMEN '!$B$4</f>
        <v>44926</v>
      </c>
      <c r="P91" s="17">
        <v>2022</v>
      </c>
      <c r="Q91" s="17"/>
    </row>
    <row r="92" spans="1:17" x14ac:dyDescent="0.2">
      <c r="A92" s="17" t="s">
        <v>48</v>
      </c>
      <c r="B92" s="17" t="s">
        <v>82</v>
      </c>
      <c r="C92" s="17" t="s">
        <v>61</v>
      </c>
      <c r="D92" s="17" t="s">
        <v>97</v>
      </c>
      <c r="E92" s="17" t="str">
        <f>'CUOTA LICITADA'!C13</f>
        <v>ANTARTIC SEAFOOD S.A.</v>
      </c>
      <c r="F92" s="17" t="s">
        <v>85</v>
      </c>
      <c r="G92" s="17" t="s">
        <v>86</v>
      </c>
      <c r="H92" s="18">
        <f>'CUOTA LICITADA'!F13</f>
        <v>87.382500000000007</v>
      </c>
      <c r="I92" s="18">
        <f>'CUOTA LICITADA'!G13</f>
        <v>0</v>
      </c>
      <c r="J92" s="18">
        <f>'CUOTA LICITADA'!H13</f>
        <v>87.382500000000007</v>
      </c>
      <c r="K92" s="18">
        <f>'CUOTA LICITADA'!I13</f>
        <v>96.88</v>
      </c>
      <c r="L92" s="18">
        <f>'CUOTA LICITADA'!J13</f>
        <v>-9.4974999999999881</v>
      </c>
      <c r="M92" s="26">
        <f>'CUOTA LICITADA'!K13</f>
        <v>1.1086888106886388</v>
      </c>
      <c r="N92" s="19" t="s">
        <v>92</v>
      </c>
      <c r="O92" s="19">
        <f>'RESUMEN '!$B$4</f>
        <v>44926</v>
      </c>
      <c r="P92" s="17">
        <v>2022</v>
      </c>
      <c r="Q92" s="17"/>
    </row>
    <row r="93" spans="1:17" x14ac:dyDescent="0.2">
      <c r="A93" s="17" t="s">
        <v>48</v>
      </c>
      <c r="B93" s="17" t="s">
        <v>82</v>
      </c>
      <c r="C93" s="17" t="s">
        <v>61</v>
      </c>
      <c r="D93" s="17" t="s">
        <v>97</v>
      </c>
      <c r="E93" s="17" t="str">
        <f>'CUOTA LICITADA'!C13</f>
        <v>ANTARTIC SEAFOOD S.A.</v>
      </c>
      <c r="F93" s="17" t="s">
        <v>87</v>
      </c>
      <c r="G93" s="17" t="s">
        <v>88</v>
      </c>
      <c r="H93" s="18">
        <f>'CUOTA LICITADA'!F14</f>
        <v>9.7409999999999997</v>
      </c>
      <c r="I93" s="18">
        <f>'CUOTA LICITADA'!G14</f>
        <v>0</v>
      </c>
      <c r="J93" s="18">
        <f>'CUOTA LICITADA'!H14</f>
        <v>0.2435000000000116</v>
      </c>
      <c r="K93" s="18">
        <f>'CUOTA LICITADA'!I14</f>
        <v>0</v>
      </c>
      <c r="L93" s="18">
        <f>'CUOTA LICITADA'!J14</f>
        <v>0.2435000000000116</v>
      </c>
      <c r="M93" s="26">
        <f>'CUOTA LICITADA'!K14</f>
        <v>0</v>
      </c>
      <c r="N93" s="19" t="s">
        <v>92</v>
      </c>
      <c r="O93" s="19">
        <f>'RESUMEN '!$B$4</f>
        <v>44926</v>
      </c>
      <c r="P93" s="17">
        <v>2022</v>
      </c>
      <c r="Q93" s="17"/>
    </row>
    <row r="94" spans="1:17" x14ac:dyDescent="0.2">
      <c r="A94" s="17" t="s">
        <v>48</v>
      </c>
      <c r="B94" s="17" t="s">
        <v>82</v>
      </c>
      <c r="C94" s="17" t="s">
        <v>61</v>
      </c>
      <c r="D94" s="17" t="s">
        <v>97</v>
      </c>
      <c r="E94" s="17" t="str">
        <f>'CUOTA LICITADA'!C13</f>
        <v>ANTARTIC SEAFOOD S.A.</v>
      </c>
      <c r="F94" s="17" t="s">
        <v>89</v>
      </c>
      <c r="G94" s="17" t="s">
        <v>88</v>
      </c>
      <c r="H94" s="18">
        <f>'CUOTA LICITADA'!L13</f>
        <v>97.123500000000007</v>
      </c>
      <c r="I94" s="18">
        <f>'CUOTA LICITADA'!M13</f>
        <v>0</v>
      </c>
      <c r="J94" s="18">
        <f>'CUOTA LICITADA'!N13</f>
        <v>97.123500000000007</v>
      </c>
      <c r="K94" s="18">
        <f>'CUOTA LICITADA'!O13</f>
        <v>96.88</v>
      </c>
      <c r="L94" s="18">
        <f>'CUOTA LICITADA'!P13</f>
        <v>0.2435000000000116</v>
      </c>
      <c r="M94" s="26">
        <f>'CUOTA LICITADA'!Q13</f>
        <v>0.99749288277296422</v>
      </c>
      <c r="N94" s="19" t="s">
        <v>92</v>
      </c>
      <c r="O94" s="19">
        <f>'RESUMEN '!$B$4</f>
        <v>44926</v>
      </c>
      <c r="P94" s="17">
        <v>2022</v>
      </c>
      <c r="Q94" s="17"/>
    </row>
    <row r="95" spans="1:17" x14ac:dyDescent="0.2">
      <c r="A95" s="17" t="s">
        <v>48</v>
      </c>
      <c r="B95" s="17" t="s">
        <v>82</v>
      </c>
      <c r="C95" s="17" t="s">
        <v>61</v>
      </c>
      <c r="D95" s="17" t="s">
        <v>97</v>
      </c>
      <c r="E95" s="17" t="str">
        <f>'CUOTA LICITADA'!C15</f>
        <v>QUINTERO S.A. PESQ.</v>
      </c>
      <c r="F95" s="17" t="s">
        <v>85</v>
      </c>
      <c r="G95" s="17" t="s">
        <v>86</v>
      </c>
      <c r="H95" s="18">
        <f>'CUOTA LICITADA'!F15</f>
        <v>19.422002280000001</v>
      </c>
      <c r="I95" s="18">
        <f>'CUOTA LICITADA'!G15</f>
        <v>0</v>
      </c>
      <c r="J95" s="18">
        <f>'CUOTA LICITADA'!H15</f>
        <v>19.422002280000001</v>
      </c>
      <c r="K95" s="18">
        <f>'CUOTA LICITADA'!I15</f>
        <v>18.527999999999999</v>
      </c>
      <c r="L95" s="18">
        <f>'CUOTA LICITADA'!J15</f>
        <v>0.89400228000000226</v>
      </c>
      <c r="M95" s="26">
        <f>'CUOTA LICITADA'!K15</f>
        <v>0.9539696130650438</v>
      </c>
      <c r="N95" s="19" t="s">
        <v>92</v>
      </c>
      <c r="O95" s="19">
        <f>'RESUMEN '!$B$4</f>
        <v>44926</v>
      </c>
      <c r="P95" s="17">
        <v>2022</v>
      </c>
      <c r="Q95" s="17"/>
    </row>
    <row r="96" spans="1:17" x14ac:dyDescent="0.2">
      <c r="A96" s="17" t="s">
        <v>48</v>
      </c>
      <c r="B96" s="17" t="s">
        <v>82</v>
      </c>
      <c r="C96" s="17" t="s">
        <v>61</v>
      </c>
      <c r="D96" s="17" t="s">
        <v>97</v>
      </c>
      <c r="E96" s="17" t="str">
        <f>'CUOTA LICITADA'!C15</f>
        <v>QUINTERO S.A. PESQ.</v>
      </c>
      <c r="F96" s="17" t="s">
        <v>87</v>
      </c>
      <c r="G96" s="17" t="s">
        <v>88</v>
      </c>
      <c r="H96" s="18">
        <f>'CUOTA LICITADA'!F16</f>
        <v>2.1650756640000002</v>
      </c>
      <c r="I96" s="18">
        <f>'CUOTA LICITADA'!G16</f>
        <v>0</v>
      </c>
      <c r="J96" s="18">
        <f>'CUOTA LICITADA'!H16</f>
        <v>3.0590779440000024</v>
      </c>
      <c r="K96" s="18">
        <f>'CUOTA LICITADA'!I16</f>
        <v>0</v>
      </c>
      <c r="L96" s="18">
        <f>'CUOTA LICITADA'!J16</f>
        <v>3.0590779440000024</v>
      </c>
      <c r="M96" s="26">
        <f>'CUOTA LICITADA'!K16</f>
        <v>0</v>
      </c>
      <c r="N96" s="19" t="s">
        <v>92</v>
      </c>
      <c r="O96" s="19">
        <f>'RESUMEN '!$B$4</f>
        <v>44926</v>
      </c>
      <c r="P96" s="17">
        <v>2022</v>
      </c>
      <c r="Q96" s="17"/>
    </row>
    <row r="97" spans="1:17" x14ac:dyDescent="0.2">
      <c r="A97" s="17" t="s">
        <v>48</v>
      </c>
      <c r="B97" s="17" t="s">
        <v>82</v>
      </c>
      <c r="C97" s="17" t="s">
        <v>61</v>
      </c>
      <c r="D97" s="17" t="s">
        <v>97</v>
      </c>
      <c r="E97" s="17" t="str">
        <f>'CUOTA LICITADA'!C15</f>
        <v>QUINTERO S.A. PESQ.</v>
      </c>
      <c r="F97" s="17" t="s">
        <v>89</v>
      </c>
      <c r="G97" s="17" t="s">
        <v>88</v>
      </c>
      <c r="H97" s="18">
        <f>'CUOTA LICITADA'!L15</f>
        <v>21.587077944000001</v>
      </c>
      <c r="I97" s="18">
        <f>'CUOTA LICITADA'!M15</f>
        <v>0</v>
      </c>
      <c r="J97" s="18">
        <f>'CUOTA LICITADA'!N15</f>
        <v>21.587077944000001</v>
      </c>
      <c r="K97" s="18">
        <f>'CUOTA LICITADA'!O15</f>
        <v>18.527999999999999</v>
      </c>
      <c r="L97" s="18">
        <f>'CUOTA LICITADA'!P15</f>
        <v>3.059077944000002</v>
      </c>
      <c r="M97" s="26">
        <f>'CUOTA LICITADA'!Q15</f>
        <v>0.85829124479303354</v>
      </c>
      <c r="N97" s="19" t="s">
        <v>92</v>
      </c>
      <c r="O97" s="19">
        <f>'RESUMEN '!$B$4</f>
        <v>44926</v>
      </c>
      <c r="P97" s="17">
        <v>2022</v>
      </c>
      <c r="Q97" s="17"/>
    </row>
    <row r="98" spans="1:17" x14ac:dyDescent="0.2">
      <c r="A98" s="17" t="s">
        <v>48</v>
      </c>
      <c r="B98" s="17" t="s">
        <v>82</v>
      </c>
      <c r="C98" s="17" t="s">
        <v>61</v>
      </c>
      <c r="D98" s="17" t="s">
        <v>97</v>
      </c>
      <c r="E98" s="17" t="str">
        <f>'CUOTA LICITADA'!C17</f>
        <v>BRACPESCA S.A.</v>
      </c>
      <c r="F98" s="17" t="s">
        <v>85</v>
      </c>
      <c r="G98" s="17" t="s">
        <v>86</v>
      </c>
      <c r="H98" s="18">
        <f>'CUOTA LICITADA'!F17</f>
        <v>240.96104099999999</v>
      </c>
      <c r="I98" s="18">
        <f>'CUOTA LICITADA'!G17</f>
        <v>0</v>
      </c>
      <c r="J98" s="18">
        <f>'CUOTA LICITADA'!H17</f>
        <v>240.96104099999999</v>
      </c>
      <c r="K98" s="18">
        <f>'CUOTA LICITADA'!I17</f>
        <v>359.00400000000002</v>
      </c>
      <c r="L98" s="18">
        <f>'CUOTA LICITADA'!J17</f>
        <v>-118.04295900000002</v>
      </c>
      <c r="M98" s="26">
        <f>'CUOTA LICITADA'!K17</f>
        <v>1.4898840016216564</v>
      </c>
      <c r="N98" s="19" t="s">
        <v>92</v>
      </c>
      <c r="O98" s="19">
        <f>'RESUMEN '!$B$4</f>
        <v>44926</v>
      </c>
      <c r="P98" s="17">
        <v>2022</v>
      </c>
      <c r="Q98" s="17"/>
    </row>
    <row r="99" spans="1:17" x14ac:dyDescent="0.2">
      <c r="A99" s="17" t="s">
        <v>48</v>
      </c>
      <c r="B99" s="17" t="s">
        <v>82</v>
      </c>
      <c r="C99" s="17" t="s">
        <v>61</v>
      </c>
      <c r="D99" s="17" t="s">
        <v>97</v>
      </c>
      <c r="E99" s="17" t="str">
        <f>'CUOTA LICITADA'!C17</f>
        <v>BRACPESCA S.A.</v>
      </c>
      <c r="F99" s="17" t="s">
        <v>87</v>
      </c>
      <c r="G99" s="17" t="s">
        <v>88</v>
      </c>
      <c r="H99" s="18">
        <f>'CUOTA LICITADA'!F18</f>
        <v>26.861230800000001</v>
      </c>
      <c r="I99" s="18">
        <f>'CUOTA LICITADA'!G18</f>
        <v>100</v>
      </c>
      <c r="J99" s="18">
        <f>'CUOTA LICITADA'!H18</f>
        <v>8.8182717999999767</v>
      </c>
      <c r="K99" s="18">
        <f>'CUOTA LICITADA'!I18</f>
        <v>0</v>
      </c>
      <c r="L99" s="18">
        <f>'CUOTA LICITADA'!J18</f>
        <v>8.8182717999999767</v>
      </c>
      <c r="M99" s="26">
        <f>'CUOTA LICITADA'!K18</f>
        <v>0</v>
      </c>
      <c r="N99" s="19" t="s">
        <v>92</v>
      </c>
      <c r="O99" s="19">
        <f>'RESUMEN '!$B$4</f>
        <v>44926</v>
      </c>
      <c r="P99" s="17">
        <v>2022</v>
      </c>
      <c r="Q99" s="17"/>
    </row>
    <row r="100" spans="1:17" x14ac:dyDescent="0.2">
      <c r="A100" s="17" t="s">
        <v>48</v>
      </c>
      <c r="B100" s="17" t="s">
        <v>82</v>
      </c>
      <c r="C100" s="17" t="s">
        <v>61</v>
      </c>
      <c r="D100" s="17" t="s">
        <v>97</v>
      </c>
      <c r="E100" s="17" t="str">
        <f>'CUOTA LICITADA'!C17</f>
        <v>BRACPESCA S.A.</v>
      </c>
      <c r="F100" s="17" t="s">
        <v>89</v>
      </c>
      <c r="G100" s="17" t="s">
        <v>88</v>
      </c>
      <c r="H100" s="18">
        <f>'CUOTA LICITADA'!L17</f>
        <v>267.82227180000001</v>
      </c>
      <c r="I100" s="18">
        <f>'CUOTA LICITADA'!M17</f>
        <v>100</v>
      </c>
      <c r="J100" s="18">
        <f>'CUOTA LICITADA'!N17</f>
        <v>367.82227180000001</v>
      </c>
      <c r="K100" s="18">
        <f>'CUOTA LICITADA'!O17</f>
        <v>359.00400000000002</v>
      </c>
      <c r="L100" s="18">
        <f>'CUOTA LICITADA'!P17</f>
        <v>8.8182717999999909</v>
      </c>
      <c r="M100" s="26">
        <f>'CUOTA LICITADA'!Q17</f>
        <v>0.9760257263464599</v>
      </c>
      <c r="N100" s="19" t="s">
        <v>92</v>
      </c>
      <c r="O100" s="19">
        <f>'RESUMEN '!$B$4</f>
        <v>44926</v>
      </c>
      <c r="P100" s="17">
        <v>2022</v>
      </c>
      <c r="Q100" s="17"/>
    </row>
    <row r="101" spans="1:17" x14ac:dyDescent="0.2">
      <c r="A101" s="17" t="s">
        <v>48</v>
      </c>
      <c r="B101" s="17" t="s">
        <v>82</v>
      </c>
      <c r="C101" s="17" t="s">
        <v>61</v>
      </c>
      <c r="D101" s="17" t="s">
        <v>97</v>
      </c>
      <c r="E101" s="17" t="str">
        <f>'CUOTA LICITADA'!C19</f>
        <v>CAMANCHACA PESCA SUR S.A.</v>
      </c>
      <c r="F101" s="17" t="s">
        <v>85</v>
      </c>
      <c r="G101" s="17" t="s">
        <v>86</v>
      </c>
      <c r="H101" s="18">
        <f>'CUOTA LICITADA'!F19</f>
        <v>254.04290488500004</v>
      </c>
      <c r="I101" s="18">
        <f>'CUOTA LICITADA'!G19</f>
        <v>70.525000000000006</v>
      </c>
      <c r="J101" s="18">
        <f>'CUOTA LICITADA'!H19</f>
        <v>324.56790488500008</v>
      </c>
      <c r="K101" s="18">
        <f>'CUOTA LICITADA'!I19</f>
        <v>278.18099999999998</v>
      </c>
      <c r="L101" s="18">
        <f>'CUOTA LICITADA'!J19</f>
        <v>46.386904885000092</v>
      </c>
      <c r="M101" s="26">
        <f>'CUOTA LICITADA'!K19</f>
        <v>0.85708104779665206</v>
      </c>
      <c r="N101" s="19" t="s">
        <v>92</v>
      </c>
      <c r="O101" s="19">
        <f>'RESUMEN '!$B$4</f>
        <v>44926</v>
      </c>
      <c r="P101" s="17">
        <v>2022</v>
      </c>
      <c r="Q101" s="17"/>
    </row>
    <row r="102" spans="1:17" x14ac:dyDescent="0.2">
      <c r="A102" s="17" t="s">
        <v>48</v>
      </c>
      <c r="B102" s="17" t="s">
        <v>82</v>
      </c>
      <c r="C102" s="17" t="s">
        <v>61</v>
      </c>
      <c r="D102" s="17" t="s">
        <v>97</v>
      </c>
      <c r="E102" s="17" t="str">
        <f>'CUOTA LICITADA'!C19</f>
        <v>CAMANCHACA PESCA SUR S.A.</v>
      </c>
      <c r="F102" s="17" t="s">
        <v>87</v>
      </c>
      <c r="G102" s="17" t="s">
        <v>88</v>
      </c>
      <c r="H102" s="18">
        <f>'CUOTA LICITADA'!F20</f>
        <v>28.319536938000002</v>
      </c>
      <c r="I102" s="18">
        <f>'CUOTA LICITADA'!G20</f>
        <v>-73.783999999999992</v>
      </c>
      <c r="J102" s="18">
        <f>'CUOTA LICITADA'!H20</f>
        <v>0.92244182300009925</v>
      </c>
      <c r="K102" s="18">
        <f>'CUOTA LICITADA'!I20</f>
        <v>0</v>
      </c>
      <c r="L102" s="18">
        <f>'CUOTA LICITADA'!J20</f>
        <v>0.92244182300009925</v>
      </c>
      <c r="M102" s="26">
        <f>'CUOTA LICITADA'!K20</f>
        <v>0</v>
      </c>
      <c r="N102" s="19" t="s">
        <v>92</v>
      </c>
      <c r="O102" s="19">
        <f>'RESUMEN '!$B$4</f>
        <v>44926</v>
      </c>
      <c r="P102" s="17">
        <v>2022</v>
      </c>
      <c r="Q102" s="17"/>
    </row>
    <row r="103" spans="1:17" x14ac:dyDescent="0.2">
      <c r="A103" s="17" t="s">
        <v>48</v>
      </c>
      <c r="B103" s="17" t="s">
        <v>82</v>
      </c>
      <c r="C103" s="17" t="s">
        <v>61</v>
      </c>
      <c r="D103" s="17" t="s">
        <v>97</v>
      </c>
      <c r="E103" s="17" t="str">
        <f>'CUOTA LICITADA'!C19</f>
        <v>CAMANCHACA PESCA SUR S.A.</v>
      </c>
      <c r="F103" s="17" t="s">
        <v>89</v>
      </c>
      <c r="G103" s="17" t="s">
        <v>88</v>
      </c>
      <c r="H103" s="18">
        <f>'CUOTA LICITADA'!L19</f>
        <v>282.36244182300004</v>
      </c>
      <c r="I103" s="18">
        <f>'CUOTA LICITADA'!M19</f>
        <v>-3.2589999999999861</v>
      </c>
      <c r="J103" s="18">
        <f>'CUOTA LICITADA'!N19</f>
        <v>279.10344182300003</v>
      </c>
      <c r="K103" s="18">
        <f>'CUOTA LICITADA'!O19</f>
        <v>278.18099999999998</v>
      </c>
      <c r="L103" s="18">
        <f>'CUOTA LICITADA'!P19</f>
        <v>0.9224418230000424</v>
      </c>
      <c r="M103" s="26">
        <f>'CUOTA LICITADA'!Q19</f>
        <v>0.99669498227261188</v>
      </c>
      <c r="N103" s="19" t="s">
        <v>92</v>
      </c>
      <c r="O103" s="19">
        <f>'RESUMEN '!$B$4</f>
        <v>44926</v>
      </c>
      <c r="P103" s="17">
        <v>2022</v>
      </c>
      <c r="Q103" s="17"/>
    </row>
    <row r="104" spans="1:17" x14ac:dyDescent="0.2">
      <c r="A104" s="17" t="s">
        <v>48</v>
      </c>
      <c r="B104" s="17" t="s">
        <v>82</v>
      </c>
      <c r="C104" s="17" t="s">
        <v>61</v>
      </c>
      <c r="D104" s="17" t="s">
        <v>97</v>
      </c>
      <c r="E104" s="17" t="str">
        <f>'CUOTA LICITADA'!C21</f>
        <v>ANTONIO CRUZ CORDOVA NAKOUZI E.I.R.L.</v>
      </c>
      <c r="F104" s="17" t="s">
        <v>85</v>
      </c>
      <c r="G104" s="17" t="s">
        <v>86</v>
      </c>
      <c r="H104" s="18">
        <f>'CUOTA LICITADA'!F21</f>
        <v>1.8757179749999999</v>
      </c>
      <c r="I104" s="18">
        <f>'CUOTA LICITADA'!G21</f>
        <v>0</v>
      </c>
      <c r="J104" s="18">
        <f>'CUOTA LICITADA'!H21</f>
        <v>1.8757179749999999</v>
      </c>
      <c r="K104" s="18">
        <f>'CUOTA LICITADA'!I21</f>
        <v>0.52800000000000002</v>
      </c>
      <c r="L104" s="18">
        <f>'CUOTA LICITADA'!J21</f>
        <v>1.3477179749999999</v>
      </c>
      <c r="M104" s="26">
        <f>'CUOTA LICITADA'!K21</f>
        <v>0.28149221100256294</v>
      </c>
      <c r="N104" s="19" t="s">
        <v>92</v>
      </c>
      <c r="O104" s="19">
        <f>'RESUMEN '!$B$4</f>
        <v>44926</v>
      </c>
      <c r="P104" s="17">
        <v>2022</v>
      </c>
      <c r="Q104" s="17"/>
    </row>
    <row r="105" spans="1:17" x14ac:dyDescent="0.2">
      <c r="A105" s="17" t="s">
        <v>48</v>
      </c>
      <c r="B105" s="17" t="s">
        <v>82</v>
      </c>
      <c r="C105" s="17" t="s">
        <v>61</v>
      </c>
      <c r="D105" s="17" t="s">
        <v>97</v>
      </c>
      <c r="E105" s="17" t="str">
        <f>'CUOTA LICITADA'!C21</f>
        <v>ANTONIO CRUZ CORDOVA NAKOUZI E.I.R.L.</v>
      </c>
      <c r="F105" s="17" t="s">
        <v>87</v>
      </c>
      <c r="G105" s="17" t="s">
        <v>88</v>
      </c>
      <c r="H105" s="18">
        <f>'CUOTA LICITADA'!F22</f>
        <v>0.20909643</v>
      </c>
      <c r="I105" s="18">
        <f>'CUOTA LICITADA'!G22</f>
        <v>0</v>
      </c>
      <c r="J105" s="18">
        <f>'CUOTA LICITADA'!H22</f>
        <v>1.5568144049999999</v>
      </c>
      <c r="K105" s="18">
        <f>'CUOTA LICITADA'!I22</f>
        <v>0</v>
      </c>
      <c r="L105" s="18">
        <f>'CUOTA LICITADA'!J22</f>
        <v>1.5568144049999999</v>
      </c>
      <c r="M105" s="26">
        <f>'CUOTA LICITADA'!K22</f>
        <v>0</v>
      </c>
      <c r="N105" s="19" t="s">
        <v>92</v>
      </c>
      <c r="O105" s="19">
        <f>'RESUMEN '!$B$4</f>
        <v>44926</v>
      </c>
      <c r="P105" s="17">
        <v>2022</v>
      </c>
      <c r="Q105" s="17"/>
    </row>
    <row r="106" spans="1:17" x14ac:dyDescent="0.2">
      <c r="A106" s="17" t="s">
        <v>48</v>
      </c>
      <c r="B106" s="17" t="s">
        <v>82</v>
      </c>
      <c r="C106" s="17" t="s">
        <v>61</v>
      </c>
      <c r="D106" s="17" t="s">
        <v>97</v>
      </c>
      <c r="E106" s="17" t="str">
        <f>'CUOTA LICITADA'!C21</f>
        <v>ANTONIO CRUZ CORDOVA NAKOUZI E.I.R.L.</v>
      </c>
      <c r="F106" s="17" t="s">
        <v>89</v>
      </c>
      <c r="G106" s="17" t="s">
        <v>88</v>
      </c>
      <c r="H106" s="18">
        <f>'CUOTA LICITADA'!L21</f>
        <v>2.0848144049999999</v>
      </c>
      <c r="I106" s="18">
        <f>'CUOTA LICITADA'!M21</f>
        <v>0</v>
      </c>
      <c r="J106" s="18">
        <f>'CUOTA LICITADA'!N21</f>
        <v>2.0848144049999999</v>
      </c>
      <c r="K106" s="18">
        <f>'CUOTA LICITADA'!O21</f>
        <v>0.52800000000000002</v>
      </c>
      <c r="L106" s="18">
        <f>'CUOTA LICITADA'!P21</f>
        <v>1.5568144049999999</v>
      </c>
      <c r="M106" s="26">
        <f>'CUOTA LICITADA'!Q21</f>
        <v>0.2532599538518634</v>
      </c>
      <c r="N106" s="19" t="s">
        <v>92</v>
      </c>
      <c r="O106" s="19">
        <f>'RESUMEN '!$B$4</f>
        <v>44926</v>
      </c>
      <c r="P106" s="17">
        <v>2022</v>
      </c>
      <c r="Q106" s="17"/>
    </row>
    <row r="107" spans="1:17" x14ac:dyDescent="0.2">
      <c r="A107" s="17" t="s">
        <v>48</v>
      </c>
      <c r="B107" s="17" t="s">
        <v>82</v>
      </c>
      <c r="C107" s="17" t="s">
        <v>61</v>
      </c>
      <c r="D107" s="17" t="s">
        <v>97</v>
      </c>
      <c r="E107" s="17" t="str">
        <f>'CUOTA LICITADA'!C23</f>
        <v>GRIMAR S.A. PESQ.</v>
      </c>
      <c r="F107" s="17" t="s">
        <v>85</v>
      </c>
      <c r="G107" s="17" t="s">
        <v>86</v>
      </c>
      <c r="H107" s="18">
        <f>'CUOTA LICITADA'!F23</f>
        <v>7.3200000000000001E-2</v>
      </c>
      <c r="I107" s="18">
        <f>'CUOTA LICITADA'!G23</f>
        <v>0</v>
      </c>
      <c r="J107" s="18">
        <f>'CUOTA LICITADA'!H23</f>
        <v>7.3200000000000001E-2</v>
      </c>
      <c r="K107" s="18">
        <f>'CUOTA LICITADA'!I23</f>
        <v>0</v>
      </c>
      <c r="L107" s="18">
        <f>'CUOTA LICITADA'!J23</f>
        <v>7.3200000000000001E-2</v>
      </c>
      <c r="M107" s="26">
        <f>'CUOTA LICITADA'!K23</f>
        <v>0</v>
      </c>
      <c r="N107" s="19" t="s">
        <v>92</v>
      </c>
      <c r="O107" s="19">
        <f>'RESUMEN '!$B$4</f>
        <v>44926</v>
      </c>
      <c r="P107" s="17">
        <v>2022</v>
      </c>
      <c r="Q107" s="17"/>
    </row>
    <row r="108" spans="1:17" x14ac:dyDescent="0.2">
      <c r="A108" s="17" t="s">
        <v>48</v>
      </c>
      <c r="B108" s="17" t="s">
        <v>82</v>
      </c>
      <c r="C108" s="17" t="s">
        <v>61</v>
      </c>
      <c r="D108" s="17" t="s">
        <v>97</v>
      </c>
      <c r="E108" s="17" t="str">
        <f>'CUOTA LICITADA'!C23</f>
        <v>GRIMAR S.A. PESQ.</v>
      </c>
      <c r="F108" s="17" t="s">
        <v>87</v>
      </c>
      <c r="G108" s="17" t="s">
        <v>88</v>
      </c>
      <c r="H108" s="18">
        <f>'CUOTA LICITADA'!F24</f>
        <v>8.1600000000000006E-3</v>
      </c>
      <c r="I108" s="18">
        <f>'CUOTA LICITADA'!G24</f>
        <v>0</v>
      </c>
      <c r="J108" s="18">
        <f>'CUOTA LICITADA'!H24</f>
        <v>8.1360000000000002E-2</v>
      </c>
      <c r="K108" s="18">
        <f>'CUOTA LICITADA'!I24</f>
        <v>0</v>
      </c>
      <c r="L108" s="18">
        <f>'CUOTA LICITADA'!J24</f>
        <v>8.1360000000000002E-2</v>
      </c>
      <c r="M108" s="26">
        <f>'CUOTA LICITADA'!K24</f>
        <v>0</v>
      </c>
      <c r="N108" s="19" t="s">
        <v>92</v>
      </c>
      <c r="O108" s="19">
        <f>'RESUMEN '!$B$4</f>
        <v>44926</v>
      </c>
      <c r="P108" s="17">
        <v>2022</v>
      </c>
      <c r="Q108" s="17"/>
    </row>
    <row r="109" spans="1:17" x14ac:dyDescent="0.2">
      <c r="A109" s="17" t="s">
        <v>48</v>
      </c>
      <c r="B109" s="17" t="s">
        <v>82</v>
      </c>
      <c r="C109" s="17" t="s">
        <v>61</v>
      </c>
      <c r="D109" s="17" t="s">
        <v>97</v>
      </c>
      <c r="E109" s="17" t="str">
        <f>'CUOTA LICITADA'!C23</f>
        <v>GRIMAR S.A. PESQ.</v>
      </c>
      <c r="F109" s="17" t="s">
        <v>89</v>
      </c>
      <c r="G109" s="17" t="s">
        <v>88</v>
      </c>
      <c r="H109" s="18">
        <f>'CUOTA LICITADA'!L23</f>
        <v>8.1360000000000002E-2</v>
      </c>
      <c r="I109" s="18">
        <f>'CUOTA LICITADA'!M23</f>
        <v>0</v>
      </c>
      <c r="J109" s="18">
        <f>'CUOTA LICITADA'!N23</f>
        <v>8.1360000000000002E-2</v>
      </c>
      <c r="K109" s="18">
        <f>'CUOTA LICITADA'!O23</f>
        <v>0</v>
      </c>
      <c r="L109" s="18">
        <f>'CUOTA LICITADA'!P23</f>
        <v>8.1360000000000002E-2</v>
      </c>
      <c r="M109" s="26">
        <f>'CUOTA LICITADA'!Q23</f>
        <v>0</v>
      </c>
      <c r="N109" s="19" t="s">
        <v>92</v>
      </c>
      <c r="O109" s="19">
        <f>'RESUMEN '!$B$4</f>
        <v>44926</v>
      </c>
      <c r="P109" s="17">
        <v>2022</v>
      </c>
      <c r="Q109" s="17"/>
    </row>
    <row r="110" spans="1:17" x14ac:dyDescent="0.2">
      <c r="A110" s="17" t="s">
        <v>48</v>
      </c>
      <c r="B110" s="17" t="s">
        <v>82</v>
      </c>
      <c r="C110" s="17" t="s">
        <v>61</v>
      </c>
      <c r="D110" s="17" t="s">
        <v>97</v>
      </c>
      <c r="E110" s="17" t="str">
        <f>'CUOTA LICITADA'!C25</f>
        <v>ISLADAMAS S.A. PESQ.</v>
      </c>
      <c r="F110" s="17" t="s">
        <v>85</v>
      </c>
      <c r="G110" s="17" t="s">
        <v>86</v>
      </c>
      <c r="H110" s="18">
        <f>'CUOTA LICITADA'!F25</f>
        <v>136.59110849999999</v>
      </c>
      <c r="I110" s="18">
        <f>'CUOTA LICITADA'!G25</f>
        <v>48.816000000000003</v>
      </c>
      <c r="J110" s="18">
        <f>'CUOTA LICITADA'!H25</f>
        <v>185.40710849999999</v>
      </c>
      <c r="K110" s="18">
        <f>'CUOTA LICITADA'!I25</f>
        <v>171.12</v>
      </c>
      <c r="L110" s="18">
        <f>'CUOTA LICITADA'!J25</f>
        <v>14.287108499999988</v>
      </c>
      <c r="M110" s="26">
        <f>'CUOTA LICITADA'!K25</f>
        <v>0.9229419593693734</v>
      </c>
      <c r="N110" s="19" t="s">
        <v>92</v>
      </c>
      <c r="O110" s="19">
        <f>'RESUMEN '!$B$4</f>
        <v>44926</v>
      </c>
      <c r="P110" s="17">
        <v>2022</v>
      </c>
      <c r="Q110" s="17"/>
    </row>
    <row r="111" spans="1:17" x14ac:dyDescent="0.2">
      <c r="A111" s="17" t="s">
        <v>48</v>
      </c>
      <c r="B111" s="17" t="s">
        <v>82</v>
      </c>
      <c r="C111" s="17" t="s">
        <v>61</v>
      </c>
      <c r="D111" s="17" t="s">
        <v>97</v>
      </c>
      <c r="E111" s="17" t="str">
        <f>'CUOTA LICITADA'!C25</f>
        <v>ISLADAMAS S.A. PESQ.</v>
      </c>
      <c r="F111" s="17" t="s">
        <v>87</v>
      </c>
      <c r="G111" s="17" t="s">
        <v>88</v>
      </c>
      <c r="H111" s="18">
        <f>'CUOTA LICITADA'!F26</f>
        <v>15.226549799999999</v>
      </c>
      <c r="I111" s="18">
        <f>'CUOTA LICITADA'!G26</f>
        <v>-26.216000000000001</v>
      </c>
      <c r="J111" s="18">
        <f>'CUOTA LICITADA'!H26</f>
        <v>3.2976582999999859</v>
      </c>
      <c r="K111" s="18">
        <f>'CUOTA LICITADA'!I26</f>
        <v>0</v>
      </c>
      <c r="L111" s="18">
        <f>'CUOTA LICITADA'!J26</f>
        <v>3.2976582999999859</v>
      </c>
      <c r="M111" s="26">
        <f>'CUOTA LICITADA'!K26</f>
        <v>0</v>
      </c>
      <c r="N111" s="19" t="s">
        <v>92</v>
      </c>
      <c r="O111" s="19">
        <f>'RESUMEN '!$B$4</f>
        <v>44926</v>
      </c>
      <c r="P111" s="17">
        <v>2022</v>
      </c>
      <c r="Q111" s="17"/>
    </row>
    <row r="112" spans="1:17" x14ac:dyDescent="0.2">
      <c r="A112" s="17" t="s">
        <v>48</v>
      </c>
      <c r="B112" s="17" t="s">
        <v>82</v>
      </c>
      <c r="C112" s="17" t="s">
        <v>61</v>
      </c>
      <c r="D112" s="17" t="s">
        <v>97</v>
      </c>
      <c r="E112" s="17" t="str">
        <f>'CUOTA LICITADA'!C25</f>
        <v>ISLADAMAS S.A. PESQ.</v>
      </c>
      <c r="F112" s="17" t="s">
        <v>89</v>
      </c>
      <c r="G112" s="17" t="s">
        <v>88</v>
      </c>
      <c r="H112" s="18">
        <f>'CUOTA LICITADA'!L25</f>
        <v>151.81765829999998</v>
      </c>
      <c r="I112" s="18">
        <f>'CUOTA LICITADA'!M25</f>
        <v>22.6</v>
      </c>
      <c r="J112" s="18">
        <f>'CUOTA LICITADA'!N25</f>
        <v>174.41765829999997</v>
      </c>
      <c r="K112" s="18">
        <f>'CUOTA LICITADA'!O25</f>
        <v>171.12</v>
      </c>
      <c r="L112" s="18">
        <f>'CUOTA LICITADA'!P25</f>
        <v>3.2976582999999664</v>
      </c>
      <c r="M112" s="26">
        <f>'CUOTA LICITADA'!Q25</f>
        <v>0.98109332316382802</v>
      </c>
      <c r="N112" s="19" t="s">
        <v>92</v>
      </c>
      <c r="O112" s="19">
        <f>'RESUMEN '!$B$4</f>
        <v>44926</v>
      </c>
      <c r="P112" s="17">
        <v>2022</v>
      </c>
      <c r="Q112" s="17"/>
    </row>
    <row r="113" spans="1:17" x14ac:dyDescent="0.2">
      <c r="A113" s="17" t="s">
        <v>48</v>
      </c>
      <c r="B113" s="17" t="s">
        <v>82</v>
      </c>
      <c r="C113" s="17" t="s">
        <v>61</v>
      </c>
      <c r="D113" s="17" t="s">
        <v>97</v>
      </c>
      <c r="E113" s="17" t="str">
        <f>'CUOTA LICITADA'!C27</f>
        <v>LANDES S.A. PESQ.</v>
      </c>
      <c r="F113" s="17" t="s">
        <v>85</v>
      </c>
      <c r="G113" s="17" t="s">
        <v>86</v>
      </c>
      <c r="H113" s="18">
        <f>'CUOTA LICITADA'!F27</f>
        <v>0.91500000000000004</v>
      </c>
      <c r="I113" s="18">
        <f>'CUOTA LICITADA'!G27</f>
        <v>0</v>
      </c>
      <c r="J113" s="18">
        <f>'CUOTA LICITADA'!H27</f>
        <v>0.91500000000000004</v>
      </c>
      <c r="K113" s="18">
        <f>'CUOTA LICITADA'!I27</f>
        <v>0</v>
      </c>
      <c r="L113" s="18">
        <f>'CUOTA LICITADA'!J27</f>
        <v>0.91500000000000004</v>
      </c>
      <c r="M113" s="26">
        <f>'CUOTA LICITADA'!K27</f>
        <v>0</v>
      </c>
      <c r="N113" s="19" t="s">
        <v>92</v>
      </c>
      <c r="O113" s="19">
        <f>'RESUMEN '!$B$4</f>
        <v>44926</v>
      </c>
      <c r="P113" s="17">
        <v>2022</v>
      </c>
      <c r="Q113" s="17"/>
    </row>
    <row r="114" spans="1:17" x14ac:dyDescent="0.2">
      <c r="A114" s="17" t="s">
        <v>48</v>
      </c>
      <c r="B114" s="17" t="s">
        <v>82</v>
      </c>
      <c r="C114" s="17" t="s">
        <v>61</v>
      </c>
      <c r="D114" s="17" t="s">
        <v>97</v>
      </c>
      <c r="E114" s="17" t="str">
        <f>'CUOTA LICITADA'!C27</f>
        <v>LANDES S.A. PESQ.</v>
      </c>
      <c r="F114" s="17" t="s">
        <v>87</v>
      </c>
      <c r="G114" s="17" t="s">
        <v>88</v>
      </c>
      <c r="H114" s="18">
        <f>'CUOTA LICITADA'!F28</f>
        <v>0.10200000000000001</v>
      </c>
      <c r="I114" s="18">
        <f>'CUOTA LICITADA'!G28</f>
        <v>0</v>
      </c>
      <c r="J114" s="18">
        <f>'CUOTA LICITADA'!H28</f>
        <v>1.0170000000000001</v>
      </c>
      <c r="K114" s="18">
        <f>'CUOTA LICITADA'!I28</f>
        <v>0</v>
      </c>
      <c r="L114" s="18">
        <f>'CUOTA LICITADA'!J28</f>
        <v>1.0170000000000001</v>
      </c>
      <c r="M114" s="26">
        <f>'CUOTA LICITADA'!K28</f>
        <v>0</v>
      </c>
      <c r="N114" s="19" t="s">
        <v>92</v>
      </c>
      <c r="O114" s="19">
        <f>'RESUMEN '!$B$4</f>
        <v>44926</v>
      </c>
      <c r="P114" s="17">
        <v>2022</v>
      </c>
      <c r="Q114" s="17"/>
    </row>
    <row r="115" spans="1:17" x14ac:dyDescent="0.2">
      <c r="A115" s="17" t="s">
        <v>48</v>
      </c>
      <c r="B115" s="17" t="s">
        <v>82</v>
      </c>
      <c r="C115" s="17" t="s">
        <v>61</v>
      </c>
      <c r="D115" s="17" t="s">
        <v>97</v>
      </c>
      <c r="E115" s="17" t="str">
        <f>'CUOTA LICITADA'!C27</f>
        <v>LANDES S.A. PESQ.</v>
      </c>
      <c r="F115" s="17" t="s">
        <v>89</v>
      </c>
      <c r="G115" s="17" t="s">
        <v>88</v>
      </c>
      <c r="H115" s="18">
        <f>'CUOTA LICITADA'!L27</f>
        <v>1.0170000000000001</v>
      </c>
      <c r="I115" s="18">
        <f>'CUOTA LICITADA'!M27</f>
        <v>0</v>
      </c>
      <c r="J115" s="18">
        <f>'CUOTA LICITADA'!N27</f>
        <v>1.0170000000000001</v>
      </c>
      <c r="K115" s="18">
        <f>'CUOTA LICITADA'!O27</f>
        <v>0</v>
      </c>
      <c r="L115" s="18">
        <f>'CUOTA LICITADA'!P27</f>
        <v>1.0170000000000001</v>
      </c>
      <c r="M115" s="26">
        <f>'CUOTA LICITADA'!Q27</f>
        <v>0</v>
      </c>
      <c r="N115" s="19" t="s">
        <v>92</v>
      </c>
      <c r="O115" s="19">
        <f>'RESUMEN '!$B$4</f>
        <v>44926</v>
      </c>
      <c r="P115" s="17">
        <v>2022</v>
      </c>
      <c r="Q115" s="17"/>
    </row>
    <row r="116" spans="1:17" x14ac:dyDescent="0.2">
      <c r="A116" s="17" t="s">
        <v>48</v>
      </c>
      <c r="B116" s="17" t="s">
        <v>82</v>
      </c>
      <c r="C116" s="17" t="s">
        <v>61</v>
      </c>
      <c r="D116" s="17" t="s">
        <v>97</v>
      </c>
      <c r="E116" s="17" t="str">
        <f>'CUOTA LICITADA'!C29</f>
        <v>ZUÑIGA ROMERO GONZALO</v>
      </c>
      <c r="F116" s="17" t="s">
        <v>85</v>
      </c>
      <c r="G116" s="17" t="s">
        <v>86</v>
      </c>
      <c r="H116" s="18">
        <f>'CUOTA LICITADA'!F29</f>
        <v>2.3606999999999996E-2</v>
      </c>
      <c r="I116" s="18">
        <f>'CUOTA LICITADA'!G29</f>
        <v>0</v>
      </c>
      <c r="J116" s="18">
        <f>'CUOTA LICITADA'!H29</f>
        <v>2.3606999999999996E-2</v>
      </c>
      <c r="K116" s="18">
        <f>'CUOTA LICITADA'!I29</f>
        <v>0</v>
      </c>
      <c r="L116" s="18">
        <f>'CUOTA LICITADA'!J29</f>
        <v>2.3606999999999996E-2</v>
      </c>
      <c r="M116" s="26">
        <f>'CUOTA LICITADA'!K29</f>
        <v>0</v>
      </c>
      <c r="N116" s="19" t="s">
        <v>92</v>
      </c>
      <c r="O116" s="19">
        <f>'RESUMEN '!$B$4</f>
        <v>44926</v>
      </c>
      <c r="P116" s="17">
        <v>2022</v>
      </c>
      <c r="Q116" s="17"/>
    </row>
    <row r="117" spans="1:17" x14ac:dyDescent="0.2">
      <c r="A117" s="17" t="s">
        <v>48</v>
      </c>
      <c r="B117" s="17" t="s">
        <v>82</v>
      </c>
      <c r="C117" s="17" t="s">
        <v>61</v>
      </c>
      <c r="D117" s="17" t="s">
        <v>97</v>
      </c>
      <c r="E117" s="17" t="str">
        <f>'CUOTA LICITADA'!C29</f>
        <v>ZUÑIGA ROMERO GONZALO</v>
      </c>
      <c r="F117" s="17" t="s">
        <v>87</v>
      </c>
      <c r="G117" s="17" t="s">
        <v>88</v>
      </c>
      <c r="H117" s="18">
        <f>'CUOTA LICITADA'!F30</f>
        <v>2.6315999999999996E-3</v>
      </c>
      <c r="I117" s="18">
        <f>'CUOTA LICITADA'!G30</f>
        <v>0</v>
      </c>
      <c r="J117" s="18">
        <f>'CUOTA LICITADA'!H30</f>
        <v>2.6238599999999994E-2</v>
      </c>
      <c r="K117" s="18">
        <f>'CUOTA LICITADA'!I30</f>
        <v>0</v>
      </c>
      <c r="L117" s="18">
        <f>'CUOTA LICITADA'!J30</f>
        <v>2.6238599999999994E-2</v>
      </c>
      <c r="M117" s="26">
        <f>'CUOTA LICITADA'!K30</f>
        <v>0</v>
      </c>
      <c r="N117" s="19" t="s">
        <v>92</v>
      </c>
      <c r="O117" s="19">
        <f>'RESUMEN '!$B$4</f>
        <v>44926</v>
      </c>
      <c r="P117" s="17">
        <v>2022</v>
      </c>
      <c r="Q117" s="17"/>
    </row>
    <row r="118" spans="1:17" x14ac:dyDescent="0.2">
      <c r="A118" s="17" t="s">
        <v>48</v>
      </c>
      <c r="B118" s="17" t="s">
        <v>82</v>
      </c>
      <c r="C118" s="17" t="s">
        <v>61</v>
      </c>
      <c r="D118" s="17" t="s">
        <v>97</v>
      </c>
      <c r="E118" s="17" t="str">
        <f>'CUOTA LICITADA'!C29</f>
        <v>ZUÑIGA ROMERO GONZALO</v>
      </c>
      <c r="F118" s="17" t="s">
        <v>89</v>
      </c>
      <c r="G118" s="17" t="s">
        <v>88</v>
      </c>
      <c r="H118" s="18">
        <f>'CUOTA LICITADA'!L29</f>
        <v>2.6238599999999994E-2</v>
      </c>
      <c r="I118" s="18">
        <f>'CUOTA LICITADA'!M29</f>
        <v>0</v>
      </c>
      <c r="J118" s="18">
        <f>'CUOTA LICITADA'!N29</f>
        <v>2.6238599999999994E-2</v>
      </c>
      <c r="K118" s="18">
        <f>'CUOTA LICITADA'!O29</f>
        <v>0</v>
      </c>
      <c r="L118" s="18">
        <f>'CUOTA LICITADA'!P29</f>
        <v>2.6238599999999994E-2</v>
      </c>
      <c r="M118" s="26">
        <f>'CUOTA LICITADA'!Q29</f>
        <v>0</v>
      </c>
      <c r="N118" s="19" t="s">
        <v>92</v>
      </c>
      <c r="O118" s="19">
        <f>'RESUMEN '!$B$4</f>
        <v>44926</v>
      </c>
      <c r="P118" s="17">
        <v>2022</v>
      </c>
      <c r="Q118" s="17"/>
    </row>
    <row r="119" spans="1:17" x14ac:dyDescent="0.2">
      <c r="A119" s="17" t="s">
        <v>48</v>
      </c>
      <c r="B119" s="17" t="s">
        <v>82</v>
      </c>
      <c r="C119" s="17" t="s">
        <v>61</v>
      </c>
      <c r="D119" s="17" t="s">
        <v>97</v>
      </c>
      <c r="E119" s="17" t="str">
        <f>'CUOTA LICITADA'!C31</f>
        <v>PACIFICBLU SPA.</v>
      </c>
      <c r="F119" s="17" t="s">
        <v>85</v>
      </c>
      <c r="G119" s="17" t="s">
        <v>86</v>
      </c>
      <c r="H119" s="18">
        <f>'CUOTA LICITADA'!F31</f>
        <v>121.56815355000001</v>
      </c>
      <c r="I119" s="18">
        <f>'CUOTA LICITADA'!G31</f>
        <v>-119.34100000000001</v>
      </c>
      <c r="J119" s="18">
        <f>'CUOTA LICITADA'!H31</f>
        <v>2.227153549999997</v>
      </c>
      <c r="K119" s="18">
        <f>'CUOTA LICITADA'!I31</f>
        <v>0</v>
      </c>
      <c r="L119" s="18">
        <f>'CUOTA LICITADA'!J31</f>
        <v>2.227153549999997</v>
      </c>
      <c r="M119" s="26">
        <f>'CUOTA LICITADA'!K31</f>
        <v>0</v>
      </c>
      <c r="N119" s="19" t="s">
        <v>92</v>
      </c>
      <c r="O119" s="19">
        <f>'RESUMEN '!$B$4</f>
        <v>44926</v>
      </c>
      <c r="P119" s="17">
        <v>2022</v>
      </c>
      <c r="Q119" s="17"/>
    </row>
    <row r="120" spans="1:17" x14ac:dyDescent="0.2">
      <c r="A120" s="17" t="s">
        <v>48</v>
      </c>
      <c r="B120" s="17" t="s">
        <v>82</v>
      </c>
      <c r="C120" s="17" t="s">
        <v>61</v>
      </c>
      <c r="D120" s="17" t="s">
        <v>97</v>
      </c>
      <c r="E120" s="17" t="str">
        <f>'CUOTA LICITADA'!C31</f>
        <v>PACIFICBLU SPA.</v>
      </c>
      <c r="F120" s="17" t="s">
        <v>87</v>
      </c>
      <c r="G120" s="17" t="s">
        <v>88</v>
      </c>
      <c r="H120" s="18">
        <f>'CUOTA LICITADA'!F32</f>
        <v>13.551859740000001</v>
      </c>
      <c r="I120" s="18">
        <f>'CUOTA LICITADA'!G32</f>
        <v>0</v>
      </c>
      <c r="J120" s="18">
        <f>'CUOTA LICITADA'!H32</f>
        <v>15.779013289999998</v>
      </c>
      <c r="K120" s="18">
        <f>'CUOTA LICITADA'!I32</f>
        <v>0</v>
      </c>
      <c r="L120" s="18">
        <f>'CUOTA LICITADA'!J32</f>
        <v>15.779013289999998</v>
      </c>
      <c r="M120" s="26">
        <f>'CUOTA LICITADA'!K32</f>
        <v>0</v>
      </c>
      <c r="N120" s="19" t="s">
        <v>92</v>
      </c>
      <c r="O120" s="19">
        <f>'RESUMEN '!$B$4</f>
        <v>44926</v>
      </c>
      <c r="P120" s="17">
        <v>2022</v>
      </c>
      <c r="Q120" s="17"/>
    </row>
    <row r="121" spans="1:17" x14ac:dyDescent="0.2">
      <c r="A121" s="17" t="s">
        <v>48</v>
      </c>
      <c r="B121" s="17" t="s">
        <v>82</v>
      </c>
      <c r="C121" s="17" t="s">
        <v>61</v>
      </c>
      <c r="D121" s="17" t="s">
        <v>97</v>
      </c>
      <c r="E121" s="17" t="str">
        <f>'CUOTA LICITADA'!C31</f>
        <v>PACIFICBLU SPA.</v>
      </c>
      <c r="F121" s="17" t="s">
        <v>89</v>
      </c>
      <c r="G121" s="17" t="s">
        <v>88</v>
      </c>
      <c r="H121" s="18">
        <f>'CUOTA LICITADA'!L31</f>
        <v>135.12001329</v>
      </c>
      <c r="I121" s="18">
        <f>'CUOTA LICITADA'!M31</f>
        <v>-119.34100000000001</v>
      </c>
      <c r="J121" s="18">
        <f>'CUOTA LICITADA'!N31</f>
        <v>15.779013289999995</v>
      </c>
      <c r="K121" s="18">
        <f>'CUOTA LICITADA'!O31</f>
        <v>0</v>
      </c>
      <c r="L121" s="18">
        <f>'CUOTA LICITADA'!P31</f>
        <v>15.779013289999995</v>
      </c>
      <c r="M121" s="26">
        <f>'CUOTA LICITADA'!Q31</f>
        <v>0</v>
      </c>
      <c r="N121" s="19" t="s">
        <v>92</v>
      </c>
      <c r="O121" s="19">
        <f>'RESUMEN '!$B$4</f>
        <v>44926</v>
      </c>
      <c r="P121" s="17">
        <v>2022</v>
      </c>
      <c r="Q121" s="17"/>
    </row>
    <row r="122" spans="1:17" x14ac:dyDescent="0.2">
      <c r="A122" s="17" t="s">
        <v>48</v>
      </c>
      <c r="B122" s="17" t="s">
        <v>82</v>
      </c>
      <c r="C122" s="17" t="s">
        <v>61</v>
      </c>
      <c r="D122" s="17" t="s">
        <v>97</v>
      </c>
      <c r="E122" s="17" t="str">
        <f>'CUOTA LICITADA'!C33</f>
        <v>DA VENEZIA RETAMALES ANTONIO</v>
      </c>
      <c r="F122" s="17" t="s">
        <v>85</v>
      </c>
      <c r="G122" s="17" t="s">
        <v>86</v>
      </c>
      <c r="H122" s="18">
        <f>'CUOTA LICITADA'!F33</f>
        <v>1.8391500000000002E-2</v>
      </c>
      <c r="I122" s="18">
        <f>'CUOTA LICITADA'!G33</f>
        <v>0</v>
      </c>
      <c r="J122" s="18">
        <f>'CUOTA LICITADA'!H33</f>
        <v>1.8391500000000002E-2</v>
      </c>
      <c r="K122" s="18">
        <f>'CUOTA LICITADA'!I33</f>
        <v>0</v>
      </c>
      <c r="L122" s="18">
        <f>'CUOTA LICITADA'!J33</f>
        <v>1.8391500000000002E-2</v>
      </c>
      <c r="M122" s="26">
        <f>'CUOTA LICITADA'!K33</f>
        <v>0</v>
      </c>
      <c r="N122" s="19" t="s">
        <v>92</v>
      </c>
      <c r="O122" s="19">
        <f>'RESUMEN '!$B$4</f>
        <v>44926</v>
      </c>
      <c r="P122" s="17">
        <v>2022</v>
      </c>
      <c r="Q122" s="17"/>
    </row>
    <row r="123" spans="1:17" x14ac:dyDescent="0.2">
      <c r="A123" s="17" t="s">
        <v>48</v>
      </c>
      <c r="B123" s="17" t="s">
        <v>82</v>
      </c>
      <c r="C123" s="17" t="s">
        <v>61</v>
      </c>
      <c r="D123" s="17" t="s">
        <v>97</v>
      </c>
      <c r="E123" s="17" t="str">
        <f>'CUOTA LICITADA'!C33</f>
        <v>DA VENEZIA RETAMALES ANTONIO</v>
      </c>
      <c r="F123" s="17" t="s">
        <v>87</v>
      </c>
      <c r="G123" s="17" t="s">
        <v>88</v>
      </c>
      <c r="H123" s="18">
        <f>'CUOTA LICITADA'!F34</f>
        <v>2.0502000000000003E-3</v>
      </c>
      <c r="I123" s="18">
        <f>'CUOTA LICITADA'!G34</f>
        <v>0</v>
      </c>
      <c r="J123" s="18">
        <f>'CUOTA LICITADA'!H34</f>
        <v>2.04417E-2</v>
      </c>
      <c r="K123" s="18">
        <f>'CUOTA LICITADA'!I34</f>
        <v>0</v>
      </c>
      <c r="L123" s="18">
        <f>'CUOTA LICITADA'!J34</f>
        <v>2.04417E-2</v>
      </c>
      <c r="M123" s="26">
        <f>'CUOTA LICITADA'!K34</f>
        <v>0</v>
      </c>
      <c r="N123" s="19" t="s">
        <v>92</v>
      </c>
      <c r="O123" s="19">
        <f>'RESUMEN '!$B$4</f>
        <v>44926</v>
      </c>
      <c r="P123" s="17">
        <v>2022</v>
      </c>
      <c r="Q123" s="17"/>
    </row>
    <row r="124" spans="1:17" x14ac:dyDescent="0.2">
      <c r="A124" s="17" t="s">
        <v>48</v>
      </c>
      <c r="B124" s="17" t="s">
        <v>82</v>
      </c>
      <c r="C124" s="17" t="s">
        <v>61</v>
      </c>
      <c r="D124" s="17" t="s">
        <v>97</v>
      </c>
      <c r="E124" s="17" t="str">
        <f>'CUOTA LICITADA'!C33</f>
        <v>DA VENEZIA RETAMALES ANTONIO</v>
      </c>
      <c r="F124" s="17" t="s">
        <v>89</v>
      </c>
      <c r="G124" s="17" t="s">
        <v>88</v>
      </c>
      <c r="H124" s="18">
        <f>'CUOTA LICITADA'!L33</f>
        <v>2.04417E-2</v>
      </c>
      <c r="I124" s="18">
        <f>'CUOTA LICITADA'!M33</f>
        <v>0</v>
      </c>
      <c r="J124" s="18">
        <f>'CUOTA LICITADA'!N33</f>
        <v>2.04417E-2</v>
      </c>
      <c r="K124" s="18">
        <f>'CUOTA LICITADA'!O33</f>
        <v>0</v>
      </c>
      <c r="L124" s="18">
        <f>'CUOTA LICITADA'!P33</f>
        <v>2.04417E-2</v>
      </c>
      <c r="M124" s="26">
        <f>'CUOTA LICITADA'!Q33</f>
        <v>0</v>
      </c>
      <c r="N124" s="19" t="s">
        <v>92</v>
      </c>
      <c r="O124" s="19">
        <f>'RESUMEN '!$B$4</f>
        <v>44926</v>
      </c>
      <c r="P124" s="17">
        <v>2022</v>
      </c>
      <c r="Q124" s="17"/>
    </row>
    <row r="125" spans="1:17" x14ac:dyDescent="0.2">
      <c r="A125" s="17" t="s">
        <v>48</v>
      </c>
      <c r="B125" s="17" t="s">
        <v>82</v>
      </c>
      <c r="C125" s="17" t="s">
        <v>61</v>
      </c>
      <c r="D125" s="17" t="s">
        <v>97</v>
      </c>
      <c r="E125" s="17" t="str">
        <f>'CUOTA LICITADA'!C35</f>
        <v>ENFEMAR LTDA. SOC. PESQ.</v>
      </c>
      <c r="F125" s="17" t="s">
        <v>85</v>
      </c>
      <c r="G125" s="17" t="s">
        <v>86</v>
      </c>
      <c r="H125" s="18">
        <f>'CUOTA LICITADA'!F35</f>
        <v>3.26202075</v>
      </c>
      <c r="I125" s="18">
        <f>'CUOTA LICITADA'!G35</f>
        <v>0</v>
      </c>
      <c r="J125" s="18">
        <f>'CUOTA LICITADA'!H35</f>
        <v>3.26202075</v>
      </c>
      <c r="K125" s="18">
        <f>'CUOTA LICITADA'!I35</f>
        <v>2.9000000000000001E-2</v>
      </c>
      <c r="L125" s="18">
        <f>'CUOTA LICITADA'!J35</f>
        <v>3.2330207500000001</v>
      </c>
      <c r="M125" s="26">
        <f>'CUOTA LICITADA'!K35</f>
        <v>8.890194827853257E-3</v>
      </c>
      <c r="N125" s="19" t="s">
        <v>92</v>
      </c>
      <c r="O125" s="19">
        <f>'RESUMEN '!$B$4</f>
        <v>44926</v>
      </c>
      <c r="P125" s="17">
        <v>2022</v>
      </c>
      <c r="Q125" s="17"/>
    </row>
    <row r="126" spans="1:17" x14ac:dyDescent="0.2">
      <c r="A126" s="17" t="s">
        <v>48</v>
      </c>
      <c r="B126" s="17" t="s">
        <v>82</v>
      </c>
      <c r="C126" s="17" t="s">
        <v>61</v>
      </c>
      <c r="D126" s="17" t="s">
        <v>97</v>
      </c>
      <c r="E126" s="17" t="str">
        <f>'CUOTA LICITADA'!C35</f>
        <v>ENFEMAR LTDA. SOC. PESQ.</v>
      </c>
      <c r="F126" s="17" t="s">
        <v>87</v>
      </c>
      <c r="G126" s="17" t="s">
        <v>88</v>
      </c>
      <c r="H126" s="18">
        <f>'CUOTA LICITADA'!F36</f>
        <v>0.36363509999999999</v>
      </c>
      <c r="I126" s="18">
        <f>'CUOTA LICITADA'!G36</f>
        <v>0</v>
      </c>
      <c r="J126" s="18">
        <f>'CUOTA LICITADA'!H36</f>
        <v>3.5966558500000003</v>
      </c>
      <c r="K126" s="18">
        <f>'CUOTA LICITADA'!I36</f>
        <v>0</v>
      </c>
      <c r="L126" s="18">
        <f>'CUOTA LICITADA'!J36</f>
        <v>3.5966558500000003</v>
      </c>
      <c r="M126" s="26">
        <f>'CUOTA LICITADA'!K36</f>
        <v>0</v>
      </c>
      <c r="N126" s="19" t="s">
        <v>92</v>
      </c>
      <c r="O126" s="19">
        <f>'RESUMEN '!$B$4</f>
        <v>44926</v>
      </c>
      <c r="P126" s="17">
        <v>2022</v>
      </c>
      <c r="Q126" s="17"/>
    </row>
    <row r="127" spans="1:17" x14ac:dyDescent="0.2">
      <c r="A127" s="17" t="s">
        <v>48</v>
      </c>
      <c r="B127" s="17" t="s">
        <v>82</v>
      </c>
      <c r="C127" s="17" t="s">
        <v>61</v>
      </c>
      <c r="D127" s="17" t="s">
        <v>97</v>
      </c>
      <c r="E127" s="17" t="str">
        <f>'CUOTA LICITADA'!C35</f>
        <v>ENFEMAR LTDA. SOC. PESQ.</v>
      </c>
      <c r="F127" s="17" t="s">
        <v>89</v>
      </c>
      <c r="G127" s="17" t="s">
        <v>88</v>
      </c>
      <c r="H127" s="18">
        <f>'CUOTA LICITADA'!L35</f>
        <v>3.6256558500000002</v>
      </c>
      <c r="I127" s="18">
        <f>'CUOTA LICITADA'!M35</f>
        <v>0</v>
      </c>
      <c r="J127" s="18">
        <f>'CUOTA LICITADA'!N35</f>
        <v>3.6256558500000002</v>
      </c>
      <c r="K127" s="18">
        <f>'CUOTA LICITADA'!O35</f>
        <v>2.9000000000000001E-2</v>
      </c>
      <c r="L127" s="18">
        <f>'CUOTA LICITADA'!P35</f>
        <v>3.5966558500000003</v>
      </c>
      <c r="M127" s="26">
        <f>'CUOTA LICITADA'!Q35</f>
        <v>7.998552868717531E-3</v>
      </c>
      <c r="N127" s="19" t="s">
        <v>92</v>
      </c>
      <c r="O127" s="19">
        <f>'RESUMEN '!$B$4</f>
        <v>44926</v>
      </c>
      <c r="P127" s="17">
        <v>2022</v>
      </c>
      <c r="Q127" s="17"/>
    </row>
    <row r="128" spans="1:17" x14ac:dyDescent="0.2">
      <c r="A128" s="17" t="s">
        <v>48</v>
      </c>
      <c r="B128" s="17" t="s">
        <v>82</v>
      </c>
      <c r="C128" s="17" t="s">
        <v>61</v>
      </c>
      <c r="D128" s="17" t="s">
        <v>97</v>
      </c>
      <c r="E128" s="17" t="str">
        <f>'CUOTA LICITADA'!C43</f>
        <v>COMERCIALIZADORA SIMON SEAFOOD LTDA.</v>
      </c>
      <c r="F128" s="17" t="s">
        <v>85</v>
      </c>
      <c r="G128" s="17" t="s">
        <v>86</v>
      </c>
      <c r="H128" s="18">
        <f>'CUOTA LICITADA'!F43</f>
        <v>0.40992000000000001</v>
      </c>
      <c r="I128" s="18">
        <f>'CUOTA LICITADA'!G43</f>
        <v>0</v>
      </c>
      <c r="J128" s="18">
        <f>'CUOTA LICITADA'!H43</f>
        <v>0.40992000000000001</v>
      </c>
      <c r="K128" s="18">
        <f>'CUOTA LICITADA'!I43</f>
        <v>0</v>
      </c>
      <c r="L128" s="18">
        <f>'CUOTA LICITADA'!J43</f>
        <v>0.40992000000000001</v>
      </c>
      <c r="M128" s="26">
        <f>'CUOTA LICITADA'!K43</f>
        <v>0</v>
      </c>
      <c r="N128" s="19" t="s">
        <v>92</v>
      </c>
      <c r="O128" s="19">
        <f>'RESUMEN '!$B$4</f>
        <v>44926</v>
      </c>
      <c r="P128" s="17">
        <v>2022</v>
      </c>
      <c r="Q128" s="17"/>
    </row>
    <row r="129" spans="1:17" x14ac:dyDescent="0.2">
      <c r="A129" s="17" t="s">
        <v>48</v>
      </c>
      <c r="B129" s="17" t="s">
        <v>82</v>
      </c>
      <c r="C129" s="17" t="s">
        <v>61</v>
      </c>
      <c r="D129" s="17" t="s">
        <v>97</v>
      </c>
      <c r="E129" s="17" t="str">
        <f>'CUOTA LICITADA'!C43</f>
        <v>COMERCIALIZADORA SIMON SEAFOOD LTDA.</v>
      </c>
      <c r="F129" s="17" t="s">
        <v>87</v>
      </c>
      <c r="G129" s="17" t="s">
        <v>88</v>
      </c>
      <c r="H129" s="18">
        <f>'CUOTA LICITADA'!F44</f>
        <v>4.5696000000000001E-2</v>
      </c>
      <c r="I129" s="18">
        <f>'CUOTA LICITADA'!G44</f>
        <v>0</v>
      </c>
      <c r="J129" s="18">
        <f>'CUOTA LICITADA'!H44</f>
        <v>0.45561600000000002</v>
      </c>
      <c r="K129" s="18">
        <f>'CUOTA LICITADA'!I44</f>
        <v>0</v>
      </c>
      <c r="L129" s="18">
        <f>'CUOTA LICITADA'!J44</f>
        <v>0.45561600000000002</v>
      </c>
      <c r="M129" s="26">
        <f>'CUOTA LICITADA'!K44</f>
        <v>0</v>
      </c>
      <c r="N129" s="19" t="s">
        <v>92</v>
      </c>
      <c r="O129" s="19">
        <f>'RESUMEN '!$B$4</f>
        <v>44926</v>
      </c>
      <c r="P129" s="17">
        <v>2022</v>
      </c>
      <c r="Q129" s="17"/>
    </row>
    <row r="130" spans="1:17" x14ac:dyDescent="0.2">
      <c r="A130" s="17" t="s">
        <v>48</v>
      </c>
      <c r="B130" s="17" t="s">
        <v>82</v>
      </c>
      <c r="C130" s="17" t="s">
        <v>61</v>
      </c>
      <c r="D130" s="17" t="s">
        <v>97</v>
      </c>
      <c r="E130" s="17" t="str">
        <f>'CUOTA LICITADA'!C43</f>
        <v>COMERCIALIZADORA SIMON SEAFOOD LTDA.</v>
      </c>
      <c r="F130" s="17" t="s">
        <v>89</v>
      </c>
      <c r="G130" s="17" t="s">
        <v>88</v>
      </c>
      <c r="H130" s="18">
        <f>'CUOTA LICITADA'!L43</f>
        <v>0.45561600000000002</v>
      </c>
      <c r="I130" s="18">
        <f>'CUOTA LICITADA'!M43</f>
        <v>0</v>
      </c>
      <c r="J130" s="18">
        <f>'CUOTA LICITADA'!N43</f>
        <v>0.45561600000000002</v>
      </c>
      <c r="K130" s="18">
        <f>'CUOTA LICITADA'!O43</f>
        <v>0</v>
      </c>
      <c r="L130" s="18">
        <f>'CUOTA LICITADA'!P43</f>
        <v>0.45561600000000002</v>
      </c>
      <c r="M130" s="26">
        <f>'CUOTA LICITADA'!Q43</f>
        <v>0</v>
      </c>
      <c r="N130" s="19" t="s">
        <v>92</v>
      </c>
      <c r="O130" s="19">
        <f>'RESUMEN '!$B$4</f>
        <v>44926</v>
      </c>
      <c r="P130" s="17">
        <v>2022</v>
      </c>
      <c r="Q130" s="17"/>
    </row>
    <row r="131" spans="1:17" x14ac:dyDescent="0.2">
      <c r="A131" s="17" t="s">
        <v>48</v>
      </c>
      <c r="B131" s="17" t="s">
        <v>82</v>
      </c>
      <c r="C131" s="17" t="s">
        <v>61</v>
      </c>
      <c r="D131" s="17" t="s">
        <v>97</v>
      </c>
      <c r="E131" s="17" t="str">
        <f>'CUOTA LICITADA'!C37</f>
        <v>RUBIO Y MAUAD LTDA.</v>
      </c>
      <c r="F131" s="17" t="s">
        <v>85</v>
      </c>
      <c r="G131" s="17" t="s">
        <v>86</v>
      </c>
      <c r="H131" s="18">
        <f>'CUOTA LICITADA'!F37</f>
        <v>0</v>
      </c>
      <c r="I131" s="18">
        <f>'CUOTA LICITADA'!G37</f>
        <v>0</v>
      </c>
      <c r="J131" s="18">
        <f>'CUOTA LICITADA'!H37</f>
        <v>0</v>
      </c>
      <c r="K131" s="18">
        <f>'CUOTA LICITADA'!I37</f>
        <v>0</v>
      </c>
      <c r="L131" s="18">
        <f>'CUOTA LICITADA'!J37</f>
        <v>0</v>
      </c>
      <c r="M131" s="26" t="e">
        <f>'CUOTA LICITADA'!K37</f>
        <v>#DIV/0!</v>
      </c>
      <c r="N131" s="19" t="s">
        <v>92</v>
      </c>
      <c r="O131" s="19">
        <f>'RESUMEN '!$B$4</f>
        <v>44926</v>
      </c>
      <c r="P131" s="17">
        <v>2022</v>
      </c>
      <c r="Q131" s="17"/>
    </row>
    <row r="132" spans="1:17" x14ac:dyDescent="0.2">
      <c r="A132" s="17" t="s">
        <v>48</v>
      </c>
      <c r="B132" s="17" t="s">
        <v>82</v>
      </c>
      <c r="C132" s="17" t="s">
        <v>61</v>
      </c>
      <c r="D132" s="17" t="s">
        <v>97</v>
      </c>
      <c r="E132" s="17" t="str">
        <f>'CUOTA LICITADA'!C37</f>
        <v>RUBIO Y MAUAD LTDA.</v>
      </c>
      <c r="F132" s="17" t="s">
        <v>87</v>
      </c>
      <c r="G132" s="17" t="s">
        <v>88</v>
      </c>
      <c r="H132" s="18">
        <f>'CUOTA LICITADA'!F38</f>
        <v>0</v>
      </c>
      <c r="I132" s="18">
        <f>'CUOTA LICITADA'!G38</f>
        <v>0</v>
      </c>
      <c r="J132" s="18">
        <f>'CUOTA LICITADA'!H38</f>
        <v>0</v>
      </c>
      <c r="K132" s="18">
        <f>'CUOTA LICITADA'!I38</f>
        <v>0</v>
      </c>
      <c r="L132" s="18">
        <f>'CUOTA LICITADA'!J38</f>
        <v>0</v>
      </c>
      <c r="M132" s="26" t="e">
        <f>'CUOTA LICITADA'!K38</f>
        <v>#DIV/0!</v>
      </c>
      <c r="N132" s="19" t="s">
        <v>92</v>
      </c>
      <c r="O132" s="19">
        <f>'RESUMEN '!$B$4</f>
        <v>44926</v>
      </c>
      <c r="P132" s="17">
        <v>2022</v>
      </c>
      <c r="Q132" s="17"/>
    </row>
    <row r="133" spans="1:17" x14ac:dyDescent="0.2">
      <c r="A133" s="17" t="s">
        <v>48</v>
      </c>
      <c r="B133" s="17" t="s">
        <v>82</v>
      </c>
      <c r="C133" s="17" t="s">
        <v>61</v>
      </c>
      <c r="D133" s="17" t="s">
        <v>97</v>
      </c>
      <c r="E133" s="17" t="str">
        <f>'CUOTA LICITADA'!C37</f>
        <v>RUBIO Y MAUAD LTDA.</v>
      </c>
      <c r="F133" s="17" t="s">
        <v>89</v>
      </c>
      <c r="G133" s="17" t="s">
        <v>88</v>
      </c>
      <c r="H133" s="18">
        <f>'CUOTA LICITADA'!L37</f>
        <v>0</v>
      </c>
      <c r="I133" s="18">
        <f>'CUOTA LICITADA'!M43</f>
        <v>0</v>
      </c>
      <c r="J133" s="18">
        <f>'CUOTA LICITADA'!N43</f>
        <v>0.45561600000000002</v>
      </c>
      <c r="K133" s="18">
        <f>'CUOTA LICITADA'!O43</f>
        <v>0</v>
      </c>
      <c r="L133" s="18">
        <f>'CUOTA LICITADA'!P43</f>
        <v>0.45561600000000002</v>
      </c>
      <c r="M133" s="18">
        <f>'CUOTA LICITADA'!Q43</f>
        <v>0</v>
      </c>
      <c r="N133" s="19" t="s">
        <v>92</v>
      </c>
      <c r="O133" s="19">
        <f>'RESUMEN '!$B$4</f>
        <v>44926</v>
      </c>
      <c r="P133" s="17">
        <v>2022</v>
      </c>
      <c r="Q133" s="17"/>
    </row>
    <row r="134" spans="1:17" x14ac:dyDescent="0.2">
      <c r="A134" s="17" t="s">
        <v>48</v>
      </c>
      <c r="B134" s="17" t="s">
        <v>82</v>
      </c>
      <c r="C134" s="17" t="s">
        <v>62</v>
      </c>
      <c r="D134" s="17" t="s">
        <v>97</v>
      </c>
      <c r="E134" s="17" t="str">
        <f>'CUOTA LICITADA'!C47</f>
        <v>ANTARTIC SEAFOOD S.A.</v>
      </c>
      <c r="F134" s="17" t="s">
        <v>85</v>
      </c>
      <c r="G134" s="17" t="s">
        <v>86</v>
      </c>
      <c r="H134" s="18">
        <f>'CUOTA LICITADA'!F47</f>
        <v>106.86450000000001</v>
      </c>
      <c r="I134" s="18">
        <f>'CUOTA LICITADA'!G47</f>
        <v>0</v>
      </c>
      <c r="J134" s="18">
        <f>'CUOTA LICITADA'!H47</f>
        <v>106.86450000000001</v>
      </c>
      <c r="K134" s="18">
        <f>'CUOTA LICITADA'!I47</f>
        <v>117.96899999999999</v>
      </c>
      <c r="L134" s="18">
        <f>'CUOTA LICITADA'!J47</f>
        <v>-11.104499999999987</v>
      </c>
      <c r="M134" s="26">
        <f>'CUOTA LICITADA'!K47</f>
        <v>1.1039119632806029</v>
      </c>
      <c r="N134" s="19" t="s">
        <v>92</v>
      </c>
      <c r="O134" s="19">
        <f>'RESUMEN '!$B$4</f>
        <v>44926</v>
      </c>
      <c r="P134" s="17">
        <v>2022</v>
      </c>
      <c r="Q134" s="17"/>
    </row>
    <row r="135" spans="1:17" x14ac:dyDescent="0.2">
      <c r="A135" s="17" t="s">
        <v>48</v>
      </c>
      <c r="B135" s="17" t="s">
        <v>82</v>
      </c>
      <c r="C135" s="17" t="s">
        <v>62</v>
      </c>
      <c r="D135" s="17" t="s">
        <v>97</v>
      </c>
      <c r="E135" s="17" t="str">
        <f>'CUOTA LICITADA'!C47</f>
        <v>ANTARTIC SEAFOOD S.A.</v>
      </c>
      <c r="F135" s="17" t="s">
        <v>87</v>
      </c>
      <c r="G135" s="17" t="s">
        <v>88</v>
      </c>
      <c r="H135" s="18">
        <f>'CUOTA LICITADA'!F48</f>
        <v>11.842000000000001</v>
      </c>
      <c r="I135" s="18">
        <f>'CUOTA LICITADA'!G48</f>
        <v>0</v>
      </c>
      <c r="J135" s="18">
        <f>'CUOTA LICITADA'!H48</f>
        <v>0.73750000000001315</v>
      </c>
      <c r="K135" s="18">
        <f>'CUOTA LICITADA'!I48</f>
        <v>0</v>
      </c>
      <c r="L135" s="18">
        <f>'CUOTA LICITADA'!J48</f>
        <v>0.73750000000001315</v>
      </c>
      <c r="M135" s="26">
        <f>'CUOTA LICITADA'!K48</f>
        <v>0</v>
      </c>
      <c r="N135" s="19" t="s">
        <v>92</v>
      </c>
      <c r="O135" s="19">
        <f>'RESUMEN '!$B$4</f>
        <v>44926</v>
      </c>
      <c r="P135" s="17">
        <v>2022</v>
      </c>
      <c r="Q135" s="17"/>
    </row>
    <row r="136" spans="1:17" x14ac:dyDescent="0.2">
      <c r="A136" s="17" t="s">
        <v>48</v>
      </c>
      <c r="B136" s="17" t="s">
        <v>82</v>
      </c>
      <c r="C136" s="17" t="s">
        <v>62</v>
      </c>
      <c r="D136" s="17" t="s">
        <v>97</v>
      </c>
      <c r="E136" s="17" t="str">
        <f>'CUOTA LICITADA'!C47</f>
        <v>ANTARTIC SEAFOOD S.A.</v>
      </c>
      <c r="F136" s="17" t="s">
        <v>89</v>
      </c>
      <c r="G136" s="17" t="s">
        <v>88</v>
      </c>
      <c r="H136" s="18">
        <f>'CUOTA LICITADA'!L47</f>
        <v>118.70650000000001</v>
      </c>
      <c r="I136" s="18">
        <f>'CUOTA LICITADA'!M47</f>
        <v>0</v>
      </c>
      <c r="J136" s="18">
        <f>'CUOTA LICITADA'!N47</f>
        <v>118.70650000000001</v>
      </c>
      <c r="K136" s="18">
        <f>'CUOTA LICITADA'!O47</f>
        <v>117.96899999999999</v>
      </c>
      <c r="L136" s="18">
        <f>'CUOTA LICITADA'!P47</f>
        <v>0.73750000000001137</v>
      </c>
      <c r="M136" s="26">
        <f>'CUOTA LICITADA'!Q47</f>
        <v>0.99378719783668112</v>
      </c>
      <c r="N136" s="19" t="s">
        <v>92</v>
      </c>
      <c r="O136" s="19">
        <f>'RESUMEN '!$B$4</f>
        <v>44926</v>
      </c>
      <c r="P136" s="17">
        <v>2022</v>
      </c>
      <c r="Q136" s="17"/>
    </row>
    <row r="137" spans="1:17" x14ac:dyDescent="0.2">
      <c r="A137" s="17" t="s">
        <v>48</v>
      </c>
      <c r="B137" s="17" t="s">
        <v>82</v>
      </c>
      <c r="C137" s="17" t="s">
        <v>62</v>
      </c>
      <c r="D137" s="17" t="s">
        <v>97</v>
      </c>
      <c r="E137" s="17" t="str">
        <f>'CUOTA LICITADA'!C49</f>
        <v>QUINTERO S.A. PESQ.</v>
      </c>
      <c r="F137" s="17" t="s">
        <v>85</v>
      </c>
      <c r="G137" s="17" t="s">
        <v>86</v>
      </c>
      <c r="H137" s="18">
        <f>'CUOTA LICITADA'!F49</f>
        <v>23.752153608</v>
      </c>
      <c r="I137" s="18">
        <f>'CUOTA LICITADA'!G49</f>
        <v>0</v>
      </c>
      <c r="J137" s="18">
        <f>'CUOTA LICITADA'!H49</f>
        <v>23.752153608</v>
      </c>
      <c r="K137" s="18">
        <f>'CUOTA LICITADA'!I49</f>
        <v>0.67100000000000004</v>
      </c>
      <c r="L137" s="18">
        <f>'CUOTA LICITADA'!J49</f>
        <v>23.081153608000001</v>
      </c>
      <c r="M137" s="26">
        <f>'CUOTA LICITADA'!K49</f>
        <v>2.8250069912565717E-2</v>
      </c>
      <c r="N137" s="19" t="s">
        <v>92</v>
      </c>
      <c r="O137" s="19">
        <f>'RESUMEN '!$B$4</f>
        <v>44926</v>
      </c>
      <c r="P137" s="17">
        <v>2022</v>
      </c>
      <c r="Q137" s="17"/>
    </row>
    <row r="138" spans="1:17" x14ac:dyDescent="0.2">
      <c r="A138" s="17" t="s">
        <v>48</v>
      </c>
      <c r="B138" s="17" t="s">
        <v>82</v>
      </c>
      <c r="C138" s="17" t="s">
        <v>62</v>
      </c>
      <c r="D138" s="17" t="s">
        <v>97</v>
      </c>
      <c r="E138" s="17" t="str">
        <f>'CUOTA LICITADA'!C49</f>
        <v>QUINTERO S.A. PESQ.</v>
      </c>
      <c r="F138" s="17" t="s">
        <v>87</v>
      </c>
      <c r="G138" s="17" t="s">
        <v>88</v>
      </c>
      <c r="H138" s="18">
        <f>'CUOTA LICITADA'!F50</f>
        <v>2.6320527680000003</v>
      </c>
      <c r="I138" s="18">
        <f>'CUOTA LICITADA'!G50</f>
        <v>0</v>
      </c>
      <c r="J138" s="18">
        <f>'CUOTA LICITADA'!H50</f>
        <v>25.713206376000002</v>
      </c>
      <c r="K138" s="18">
        <f>'CUOTA LICITADA'!I50</f>
        <v>0</v>
      </c>
      <c r="L138" s="18">
        <f>'CUOTA LICITADA'!J50</f>
        <v>25.713206376000002</v>
      </c>
      <c r="M138" s="26">
        <f>'CUOTA LICITADA'!K50</f>
        <v>0</v>
      </c>
      <c r="N138" s="19" t="s">
        <v>92</v>
      </c>
      <c r="O138" s="19">
        <f>'RESUMEN '!$B$4</f>
        <v>44926</v>
      </c>
      <c r="P138" s="17">
        <v>2022</v>
      </c>
      <c r="Q138" s="17"/>
    </row>
    <row r="139" spans="1:17" x14ac:dyDescent="0.2">
      <c r="A139" s="17" t="s">
        <v>48</v>
      </c>
      <c r="B139" s="17" t="s">
        <v>82</v>
      </c>
      <c r="C139" s="17" t="s">
        <v>62</v>
      </c>
      <c r="D139" s="17" t="s">
        <v>97</v>
      </c>
      <c r="E139" s="17" t="str">
        <f>'CUOTA LICITADA'!C49</f>
        <v>QUINTERO S.A. PESQ.</v>
      </c>
      <c r="F139" s="17" t="s">
        <v>89</v>
      </c>
      <c r="G139" s="17" t="s">
        <v>88</v>
      </c>
      <c r="H139" s="18">
        <f>'CUOTA LICITADA'!L49</f>
        <v>26.384206376000002</v>
      </c>
      <c r="I139" s="18">
        <f>'CUOTA LICITADA'!M49</f>
        <v>0</v>
      </c>
      <c r="J139" s="18">
        <f>'CUOTA LICITADA'!N49</f>
        <v>26.384206376000002</v>
      </c>
      <c r="K139" s="18">
        <f>'CUOTA LICITADA'!O49</f>
        <v>0.67100000000000004</v>
      </c>
      <c r="L139" s="18">
        <f>'CUOTA LICITADA'!P49</f>
        <v>25.713206376000002</v>
      </c>
      <c r="M139" s="26">
        <f>'CUOTA LICITADA'!Q49</f>
        <v>2.5431881120000832E-2</v>
      </c>
      <c r="N139" s="19" t="s">
        <v>92</v>
      </c>
      <c r="O139" s="19">
        <f>'RESUMEN '!$B$4</f>
        <v>44926</v>
      </c>
      <c r="P139" s="17">
        <v>2022</v>
      </c>
      <c r="Q139" s="17"/>
    </row>
    <row r="140" spans="1:17" x14ac:dyDescent="0.2">
      <c r="A140" s="17" t="s">
        <v>48</v>
      </c>
      <c r="B140" s="17" t="s">
        <v>82</v>
      </c>
      <c r="C140" s="17" t="s">
        <v>62</v>
      </c>
      <c r="D140" s="17" t="s">
        <v>97</v>
      </c>
      <c r="E140" s="17" t="str">
        <f>'CUOTA LICITADA'!C51</f>
        <v>BRACPESCA S.A.</v>
      </c>
      <c r="F140" s="17" t="s">
        <v>85</v>
      </c>
      <c r="G140" s="17" t="s">
        <v>86</v>
      </c>
      <c r="H140" s="18">
        <f>'CUOTA LICITADA'!F51</f>
        <v>294.6835026</v>
      </c>
      <c r="I140" s="18">
        <f>'CUOTA LICITADA'!G51</f>
        <v>62</v>
      </c>
      <c r="J140" s="18">
        <f>'CUOTA LICITADA'!H51</f>
        <v>356.6835026</v>
      </c>
      <c r="K140" s="18">
        <f>'CUOTA LICITADA'!I51</f>
        <v>271.33499999999998</v>
      </c>
      <c r="L140" s="18">
        <f>'CUOTA LICITADA'!J51</f>
        <v>85.348502600000018</v>
      </c>
      <c r="M140" s="26">
        <f>'CUOTA LICITADA'!K51</f>
        <v>0.76071642793159</v>
      </c>
      <c r="N140" s="19" t="s">
        <v>92</v>
      </c>
      <c r="O140" s="19">
        <f>'RESUMEN '!$B$4</f>
        <v>44926</v>
      </c>
      <c r="P140" s="17">
        <v>2022</v>
      </c>
      <c r="Q140" s="17"/>
    </row>
    <row r="141" spans="1:17" x14ac:dyDescent="0.2">
      <c r="A141" s="17" t="s">
        <v>48</v>
      </c>
      <c r="B141" s="17" t="s">
        <v>82</v>
      </c>
      <c r="C141" s="17" t="s">
        <v>62</v>
      </c>
      <c r="D141" s="17" t="s">
        <v>97</v>
      </c>
      <c r="E141" s="17" t="str">
        <f>'CUOTA LICITADA'!C51</f>
        <v>BRACPESCA S.A.</v>
      </c>
      <c r="F141" s="17" t="s">
        <v>87</v>
      </c>
      <c r="G141" s="17" t="s">
        <v>88</v>
      </c>
      <c r="H141" s="18">
        <f>'CUOTA LICITADA'!F52</f>
        <v>32.654829599999999</v>
      </c>
      <c r="I141" s="18">
        <f>'CUOTA LICITADA'!G52</f>
        <v>-100</v>
      </c>
      <c r="J141" s="18">
        <f>'CUOTA LICITADA'!H52</f>
        <v>18.003332200000017</v>
      </c>
      <c r="K141" s="18">
        <f>'CUOTA LICITADA'!I52</f>
        <v>0</v>
      </c>
      <c r="L141" s="18">
        <f>'CUOTA LICITADA'!J52</f>
        <v>18.003332200000017</v>
      </c>
      <c r="M141" s="26">
        <f>'CUOTA LICITADA'!K52</f>
        <v>0</v>
      </c>
      <c r="N141" s="19" t="s">
        <v>92</v>
      </c>
      <c r="O141" s="19">
        <f>'RESUMEN '!$B$4</f>
        <v>44926</v>
      </c>
      <c r="P141" s="17">
        <v>2022</v>
      </c>
      <c r="Q141" s="17"/>
    </row>
    <row r="142" spans="1:17" x14ac:dyDescent="0.2">
      <c r="A142" s="17" t="s">
        <v>48</v>
      </c>
      <c r="B142" s="17" t="s">
        <v>82</v>
      </c>
      <c r="C142" s="17" t="s">
        <v>62</v>
      </c>
      <c r="D142" s="17" t="s">
        <v>97</v>
      </c>
      <c r="E142" s="17" t="str">
        <f>'CUOTA LICITADA'!C51</f>
        <v>BRACPESCA S.A.</v>
      </c>
      <c r="F142" s="17" t="s">
        <v>89</v>
      </c>
      <c r="G142" s="17" t="s">
        <v>88</v>
      </c>
      <c r="H142" s="18">
        <f>'CUOTA LICITADA'!L51</f>
        <v>327.33833219999997</v>
      </c>
      <c r="I142" s="18">
        <f>'CUOTA LICITADA'!M51</f>
        <v>-38</v>
      </c>
      <c r="J142" s="18">
        <f>'CUOTA LICITADA'!N51</f>
        <v>289.33833219999997</v>
      </c>
      <c r="K142" s="18">
        <f>'CUOTA LICITADA'!O51</f>
        <v>271.33499999999998</v>
      </c>
      <c r="L142" s="18">
        <f>'CUOTA LICITADA'!P51</f>
        <v>18.003332199999988</v>
      </c>
      <c r="M142" s="26">
        <f>'CUOTA LICITADA'!Q51</f>
        <v>0.93777757664146788</v>
      </c>
      <c r="N142" s="19" t="s">
        <v>92</v>
      </c>
      <c r="O142" s="19">
        <f>'RESUMEN '!$B$4</f>
        <v>44926</v>
      </c>
      <c r="P142" s="17">
        <v>2022</v>
      </c>
      <c r="Q142" s="17"/>
    </row>
    <row r="143" spans="1:17" x14ac:dyDescent="0.2">
      <c r="A143" s="17" t="s">
        <v>48</v>
      </c>
      <c r="B143" s="17" t="s">
        <v>82</v>
      </c>
      <c r="C143" s="17" t="s">
        <v>62</v>
      </c>
      <c r="D143" s="17" t="s">
        <v>97</v>
      </c>
      <c r="E143" s="17" t="str">
        <f>'CUOTA LICITADA'!C53</f>
        <v>CAMANCHACA PESCA SUR S.A.</v>
      </c>
      <c r="F143" s="17" t="s">
        <v>85</v>
      </c>
      <c r="G143" s="17" t="s">
        <v>86</v>
      </c>
      <c r="H143" s="18">
        <f>'CUOTA LICITADA'!F53</f>
        <v>310.68197876100004</v>
      </c>
      <c r="I143" s="18">
        <f>'CUOTA LICITADA'!G53</f>
        <v>4.6110000000000042</v>
      </c>
      <c r="J143" s="18">
        <f>'CUOTA LICITADA'!H53</f>
        <v>315.29297876100003</v>
      </c>
      <c r="K143" s="18">
        <f>'CUOTA LICITADA'!I53</f>
        <v>482.94</v>
      </c>
      <c r="L143" s="18">
        <f>'CUOTA LICITADA'!J53</f>
        <v>-167.64702123899997</v>
      </c>
      <c r="M143" s="26">
        <f>'CUOTA LICITADA'!K53</f>
        <v>1.5317182193456982</v>
      </c>
      <c r="N143" s="19" t="s">
        <v>92</v>
      </c>
      <c r="O143" s="19">
        <f>'RESUMEN '!$B$4</f>
        <v>44926</v>
      </c>
      <c r="P143" s="17">
        <v>2022</v>
      </c>
      <c r="Q143" s="17"/>
    </row>
    <row r="144" spans="1:17" x14ac:dyDescent="0.2">
      <c r="A144" s="17" t="s">
        <v>48</v>
      </c>
      <c r="B144" s="17" t="s">
        <v>82</v>
      </c>
      <c r="C144" s="17" t="s">
        <v>62</v>
      </c>
      <c r="D144" s="17" t="s">
        <v>97</v>
      </c>
      <c r="E144" s="17" t="str">
        <f>'CUOTA LICITADA'!C53</f>
        <v>CAMANCHACA PESCA SUR S.A.</v>
      </c>
      <c r="F144" s="17" t="s">
        <v>87</v>
      </c>
      <c r="G144" s="17" t="s">
        <v>88</v>
      </c>
      <c r="H144" s="18">
        <f>'CUOTA LICITADA'!F54</f>
        <v>34.427672356000002</v>
      </c>
      <c r="I144" s="18">
        <f>'CUOTA LICITADA'!G54</f>
        <v>133.9</v>
      </c>
      <c r="J144" s="18">
        <f>'CUOTA LICITADA'!H54</f>
        <v>0.6806511170000249</v>
      </c>
      <c r="K144" s="18">
        <f>'CUOTA LICITADA'!I54</f>
        <v>0</v>
      </c>
      <c r="L144" s="18">
        <f>'CUOTA LICITADA'!J54</f>
        <v>0.6806511170000249</v>
      </c>
      <c r="M144" s="26">
        <f>'CUOTA LICITADA'!K54</f>
        <v>0</v>
      </c>
      <c r="N144" s="19" t="s">
        <v>92</v>
      </c>
      <c r="O144" s="19">
        <f>'RESUMEN '!$B$4</f>
        <v>44926</v>
      </c>
      <c r="P144" s="17">
        <v>2022</v>
      </c>
      <c r="Q144" s="17"/>
    </row>
    <row r="145" spans="1:17" x14ac:dyDescent="0.2">
      <c r="A145" s="17" t="s">
        <v>48</v>
      </c>
      <c r="B145" s="17" t="s">
        <v>82</v>
      </c>
      <c r="C145" s="17" t="s">
        <v>62</v>
      </c>
      <c r="D145" s="17" t="s">
        <v>97</v>
      </c>
      <c r="E145" s="17" t="str">
        <f>'CUOTA LICITADA'!C53</f>
        <v>CAMANCHACA PESCA SUR S.A.</v>
      </c>
      <c r="F145" s="17" t="s">
        <v>89</v>
      </c>
      <c r="G145" s="17" t="s">
        <v>88</v>
      </c>
      <c r="H145" s="18">
        <f>'CUOTA LICITADA'!L53</f>
        <v>345.10965111700006</v>
      </c>
      <c r="I145" s="18">
        <f>'CUOTA LICITADA'!M53</f>
        <v>138.51100000000002</v>
      </c>
      <c r="J145" s="18">
        <f>'CUOTA LICITADA'!N53</f>
        <v>483.62065111700008</v>
      </c>
      <c r="K145" s="18">
        <f>'CUOTA LICITADA'!O53</f>
        <v>482.94</v>
      </c>
      <c r="L145" s="18">
        <f>'CUOTA LICITADA'!P53</f>
        <v>0.68065111700008174</v>
      </c>
      <c r="M145" s="26">
        <f>'CUOTA LICITADA'!Q53</f>
        <v>0.99859259294360569</v>
      </c>
      <c r="N145" s="19" t="s">
        <v>92</v>
      </c>
      <c r="O145" s="19">
        <f>'RESUMEN '!$B$4</f>
        <v>44926</v>
      </c>
      <c r="P145" s="17">
        <v>2022</v>
      </c>
      <c r="Q145" s="17"/>
    </row>
    <row r="146" spans="1:17" x14ac:dyDescent="0.2">
      <c r="A146" s="17" t="s">
        <v>48</v>
      </c>
      <c r="B146" s="17" t="s">
        <v>82</v>
      </c>
      <c r="C146" s="17" t="s">
        <v>62</v>
      </c>
      <c r="D146" s="17" t="s">
        <v>97</v>
      </c>
      <c r="E146" s="17" t="str">
        <f>'CUOTA LICITADA'!C55</f>
        <v>ANTONIO CRUZ CORDOVA NAKOUZI E.I.R.L.</v>
      </c>
      <c r="F146" s="17" t="s">
        <v>85</v>
      </c>
      <c r="G146" s="17" t="s">
        <v>86</v>
      </c>
      <c r="H146" s="18">
        <f>'CUOTA LICITADA'!F55</f>
        <v>2.2939108350000001</v>
      </c>
      <c r="I146" s="18">
        <f>'CUOTA LICITADA'!G55</f>
        <v>0</v>
      </c>
      <c r="J146" s="18">
        <f>'CUOTA LICITADA'!H55</f>
        <v>2.2939108350000001</v>
      </c>
      <c r="K146" s="18">
        <f>'CUOTA LICITADA'!I55</f>
        <v>0</v>
      </c>
      <c r="L146" s="18">
        <f>'CUOTA LICITADA'!J55</f>
        <v>2.2939108350000001</v>
      </c>
      <c r="M146" s="26">
        <f>'CUOTA LICITADA'!K55</f>
        <v>0</v>
      </c>
      <c r="N146" s="19" t="s">
        <v>92</v>
      </c>
      <c r="O146" s="19">
        <f>'RESUMEN '!$B$4</f>
        <v>44926</v>
      </c>
      <c r="P146" s="17">
        <v>2022</v>
      </c>
      <c r="Q146" s="17"/>
    </row>
    <row r="147" spans="1:17" x14ac:dyDescent="0.2">
      <c r="A147" s="17" t="s">
        <v>48</v>
      </c>
      <c r="B147" s="17" t="s">
        <v>82</v>
      </c>
      <c r="C147" s="17" t="s">
        <v>62</v>
      </c>
      <c r="D147" s="17" t="s">
        <v>97</v>
      </c>
      <c r="E147" s="17" t="str">
        <f>'CUOTA LICITADA'!C55</f>
        <v>ANTONIO CRUZ CORDOVA NAKOUZI E.I.R.L.</v>
      </c>
      <c r="F147" s="17" t="s">
        <v>87</v>
      </c>
      <c r="G147" s="17" t="s">
        <v>88</v>
      </c>
      <c r="H147" s="18">
        <f>'CUOTA LICITADA'!F56</f>
        <v>0.25419565999999999</v>
      </c>
      <c r="I147" s="18">
        <f>'CUOTA LICITADA'!G56</f>
        <v>0</v>
      </c>
      <c r="J147" s="18">
        <f>'CUOTA LICITADA'!H56</f>
        <v>2.5481064950000003</v>
      </c>
      <c r="K147" s="18">
        <f>'CUOTA LICITADA'!I56</f>
        <v>0</v>
      </c>
      <c r="L147" s="18">
        <f>'CUOTA LICITADA'!J56</f>
        <v>2.5481064950000003</v>
      </c>
      <c r="M147" s="26">
        <f>'CUOTA LICITADA'!K56</f>
        <v>0</v>
      </c>
      <c r="N147" s="19" t="s">
        <v>92</v>
      </c>
      <c r="O147" s="19">
        <f>'RESUMEN '!$B$4</f>
        <v>44926</v>
      </c>
      <c r="P147" s="17">
        <v>2022</v>
      </c>
      <c r="Q147" s="17"/>
    </row>
    <row r="148" spans="1:17" x14ac:dyDescent="0.2">
      <c r="A148" s="17" t="s">
        <v>48</v>
      </c>
      <c r="B148" s="17" t="s">
        <v>82</v>
      </c>
      <c r="C148" s="17" t="s">
        <v>62</v>
      </c>
      <c r="D148" s="17" t="s">
        <v>97</v>
      </c>
      <c r="E148" s="17" t="str">
        <f>'CUOTA LICITADA'!C55</f>
        <v>ANTONIO CRUZ CORDOVA NAKOUZI E.I.R.L.</v>
      </c>
      <c r="F148" s="17" t="s">
        <v>89</v>
      </c>
      <c r="G148" s="17" t="s">
        <v>88</v>
      </c>
      <c r="H148" s="18">
        <f>'CUOTA LICITADA'!L55</f>
        <v>2.5481064950000003</v>
      </c>
      <c r="I148" s="18">
        <f>'CUOTA LICITADA'!M55</f>
        <v>0</v>
      </c>
      <c r="J148" s="18">
        <f>'CUOTA LICITADA'!N55</f>
        <v>2.5481064950000003</v>
      </c>
      <c r="K148" s="18">
        <f>'CUOTA LICITADA'!O55</f>
        <v>0</v>
      </c>
      <c r="L148" s="18">
        <f>'CUOTA LICITADA'!P55</f>
        <v>2.5481064950000003</v>
      </c>
      <c r="M148" s="26">
        <f>'CUOTA LICITADA'!Q55</f>
        <v>0</v>
      </c>
      <c r="N148" s="19" t="s">
        <v>92</v>
      </c>
      <c r="O148" s="19">
        <f>'RESUMEN '!$B$4</f>
        <v>44926</v>
      </c>
      <c r="P148" s="17">
        <v>2022</v>
      </c>
      <c r="Q148" s="17"/>
    </row>
    <row r="149" spans="1:17" x14ac:dyDescent="0.2">
      <c r="A149" s="17" t="s">
        <v>48</v>
      </c>
      <c r="B149" s="17" t="s">
        <v>82</v>
      </c>
      <c r="C149" s="17" t="s">
        <v>62</v>
      </c>
      <c r="D149" s="17" t="s">
        <v>97</v>
      </c>
      <c r="E149" s="17" t="str">
        <f>'CUOTA LICITADA'!C57</f>
        <v>GRIMAR S.A. PESQ.</v>
      </c>
      <c r="F149" s="17" t="s">
        <v>85</v>
      </c>
      <c r="G149" s="17" t="s">
        <v>86</v>
      </c>
      <c r="H149" s="18">
        <f>'CUOTA LICITADA'!F57</f>
        <v>8.9520000000000002E-2</v>
      </c>
      <c r="I149" s="18">
        <f>'CUOTA LICITADA'!G57</f>
        <v>0</v>
      </c>
      <c r="J149" s="18">
        <f>'CUOTA LICITADA'!H57</f>
        <v>8.9520000000000002E-2</v>
      </c>
      <c r="K149" s="18">
        <f>'CUOTA LICITADA'!I57</f>
        <v>0</v>
      </c>
      <c r="L149" s="18">
        <f>'CUOTA LICITADA'!J57</f>
        <v>8.9520000000000002E-2</v>
      </c>
      <c r="M149" s="26">
        <f>'CUOTA LICITADA'!K57</f>
        <v>0</v>
      </c>
      <c r="N149" s="19" t="s">
        <v>92</v>
      </c>
      <c r="O149" s="19">
        <f>'RESUMEN '!$B$4</f>
        <v>44926</v>
      </c>
      <c r="P149" s="17">
        <v>2022</v>
      </c>
      <c r="Q149" s="17"/>
    </row>
    <row r="150" spans="1:17" x14ac:dyDescent="0.2">
      <c r="A150" s="17" t="s">
        <v>48</v>
      </c>
      <c r="B150" s="17" t="s">
        <v>82</v>
      </c>
      <c r="C150" s="17" t="s">
        <v>62</v>
      </c>
      <c r="D150" s="17" t="s">
        <v>97</v>
      </c>
      <c r="E150" s="17" t="str">
        <f>'CUOTA LICITADA'!C57</f>
        <v>GRIMAR S.A. PESQ.</v>
      </c>
      <c r="F150" s="17" t="s">
        <v>87</v>
      </c>
      <c r="G150" s="17" t="s">
        <v>88</v>
      </c>
      <c r="H150" s="18">
        <f>'CUOTA LICITADA'!F58</f>
        <v>9.92E-3</v>
      </c>
      <c r="I150" s="18">
        <f>'CUOTA LICITADA'!G58</f>
        <v>0</v>
      </c>
      <c r="J150" s="18">
        <f>'CUOTA LICITADA'!H58</f>
        <v>9.9440000000000001E-2</v>
      </c>
      <c r="K150" s="18">
        <f>'CUOTA LICITADA'!I58</f>
        <v>0</v>
      </c>
      <c r="L150" s="18">
        <f>'CUOTA LICITADA'!J58</f>
        <v>9.9440000000000001E-2</v>
      </c>
      <c r="M150" s="26">
        <f>'CUOTA LICITADA'!K58</f>
        <v>0</v>
      </c>
      <c r="N150" s="19" t="s">
        <v>92</v>
      </c>
      <c r="O150" s="19">
        <f>'RESUMEN '!$B$4</f>
        <v>44926</v>
      </c>
      <c r="P150" s="17">
        <v>2022</v>
      </c>
      <c r="Q150" s="17"/>
    </row>
    <row r="151" spans="1:17" x14ac:dyDescent="0.2">
      <c r="A151" s="17" t="s">
        <v>48</v>
      </c>
      <c r="B151" s="17" t="s">
        <v>82</v>
      </c>
      <c r="C151" s="17" t="s">
        <v>62</v>
      </c>
      <c r="D151" s="17" t="s">
        <v>97</v>
      </c>
      <c r="E151" s="17" t="str">
        <f>'CUOTA LICITADA'!C57</f>
        <v>GRIMAR S.A. PESQ.</v>
      </c>
      <c r="F151" s="17" t="s">
        <v>89</v>
      </c>
      <c r="G151" s="17" t="s">
        <v>88</v>
      </c>
      <c r="H151" s="18">
        <f>'CUOTA LICITADA'!L57</f>
        <v>9.9440000000000001E-2</v>
      </c>
      <c r="I151" s="18">
        <f>'CUOTA LICITADA'!M57</f>
        <v>0</v>
      </c>
      <c r="J151" s="18">
        <f>'CUOTA LICITADA'!N57</f>
        <v>9.9440000000000001E-2</v>
      </c>
      <c r="K151" s="18">
        <f>'CUOTA LICITADA'!O57</f>
        <v>0</v>
      </c>
      <c r="L151" s="18">
        <f>'CUOTA LICITADA'!P57</f>
        <v>9.9440000000000001E-2</v>
      </c>
      <c r="M151" s="26">
        <f>'CUOTA LICITADA'!Q57</f>
        <v>0</v>
      </c>
      <c r="N151" s="19" t="s">
        <v>92</v>
      </c>
      <c r="O151" s="19">
        <f>'RESUMEN '!$B$4</f>
        <v>44926</v>
      </c>
      <c r="P151" s="17">
        <v>2022</v>
      </c>
      <c r="Q151" s="17"/>
    </row>
    <row r="152" spans="1:17" x14ac:dyDescent="0.2">
      <c r="A152" s="17" t="s">
        <v>48</v>
      </c>
      <c r="B152" s="17" t="s">
        <v>82</v>
      </c>
      <c r="C152" s="17" t="s">
        <v>62</v>
      </c>
      <c r="D152" s="17" t="s">
        <v>97</v>
      </c>
      <c r="E152" s="17" t="str">
        <f>'CUOTA LICITADA'!C59</f>
        <v>ISLADAMAS S.A. PESQ.</v>
      </c>
      <c r="F152" s="17" t="s">
        <v>85</v>
      </c>
      <c r="G152" s="17" t="s">
        <v>86</v>
      </c>
      <c r="H152" s="18">
        <f>'CUOTA LICITADA'!F59</f>
        <v>167.04420809999999</v>
      </c>
      <c r="I152" s="18">
        <f>'CUOTA LICITADA'!G59</f>
        <v>0</v>
      </c>
      <c r="J152" s="18">
        <f>'CUOTA LICITADA'!H59</f>
        <v>167.04420809999999</v>
      </c>
      <c r="K152" s="18">
        <f>'CUOTA LICITADA'!I59</f>
        <v>166.43099999999998</v>
      </c>
      <c r="L152" s="18">
        <f>'CUOTA LICITADA'!J59</f>
        <v>0.61320810000000847</v>
      </c>
      <c r="M152" s="26">
        <f>'CUOTA LICITADA'!K59</f>
        <v>0.99632906697589352</v>
      </c>
      <c r="N152" s="19" t="s">
        <v>92</v>
      </c>
      <c r="O152" s="19">
        <f>'RESUMEN '!$B$4</f>
        <v>44926</v>
      </c>
      <c r="P152" s="17">
        <v>2022</v>
      </c>
      <c r="Q152" s="17"/>
    </row>
    <row r="153" spans="1:17" x14ac:dyDescent="0.2">
      <c r="A153" s="17" t="s">
        <v>48</v>
      </c>
      <c r="B153" s="17" t="s">
        <v>82</v>
      </c>
      <c r="C153" s="17" t="s">
        <v>62</v>
      </c>
      <c r="D153" s="17" t="s">
        <v>97</v>
      </c>
      <c r="E153" s="17" t="str">
        <f>'CUOTA LICITADA'!C59</f>
        <v>ISLADAMAS S.A. PESQ.</v>
      </c>
      <c r="F153" s="17" t="s">
        <v>87</v>
      </c>
      <c r="G153" s="17" t="s">
        <v>88</v>
      </c>
      <c r="H153" s="18">
        <f>'CUOTA LICITADA'!F60</f>
        <v>18.5107076</v>
      </c>
      <c r="I153" s="18">
        <f>'CUOTA LICITADA'!G60</f>
        <v>0</v>
      </c>
      <c r="J153" s="18">
        <f>'CUOTA LICITADA'!H60</f>
        <v>19.123915700000008</v>
      </c>
      <c r="K153" s="18">
        <f>'CUOTA LICITADA'!I60</f>
        <v>0</v>
      </c>
      <c r="L153" s="18">
        <f>'CUOTA LICITADA'!J60</f>
        <v>19.123915700000008</v>
      </c>
      <c r="M153" s="26">
        <f>'CUOTA LICITADA'!K60</f>
        <v>0</v>
      </c>
      <c r="N153" s="19" t="s">
        <v>92</v>
      </c>
      <c r="O153" s="19">
        <f>'RESUMEN '!$B$4</f>
        <v>44926</v>
      </c>
      <c r="P153" s="17">
        <v>2022</v>
      </c>
      <c r="Q153" s="17"/>
    </row>
    <row r="154" spans="1:17" x14ac:dyDescent="0.2">
      <c r="A154" s="17" t="s">
        <v>48</v>
      </c>
      <c r="B154" s="17" t="s">
        <v>82</v>
      </c>
      <c r="C154" s="17" t="s">
        <v>62</v>
      </c>
      <c r="D154" s="17" t="s">
        <v>97</v>
      </c>
      <c r="E154" s="17" t="str">
        <f>'CUOTA LICITADA'!C59</f>
        <v>ISLADAMAS S.A. PESQ.</v>
      </c>
      <c r="F154" s="17" t="s">
        <v>89</v>
      </c>
      <c r="G154" s="17" t="s">
        <v>88</v>
      </c>
      <c r="H154" s="18">
        <f>'CUOTA LICITADA'!L59</f>
        <v>185.55491569999998</v>
      </c>
      <c r="I154" s="18">
        <f>'CUOTA LICITADA'!M59</f>
        <v>0</v>
      </c>
      <c r="J154" s="18">
        <f>'CUOTA LICITADA'!N59</f>
        <v>185.55491569999998</v>
      </c>
      <c r="K154" s="18">
        <f>'CUOTA LICITADA'!O59</f>
        <v>166.43099999999998</v>
      </c>
      <c r="L154" s="18">
        <f>'CUOTA LICITADA'!P59</f>
        <v>19.123915699999998</v>
      </c>
      <c r="M154" s="26">
        <f>'CUOTA LICITADA'!Q59</f>
        <v>0.89693662586164513</v>
      </c>
      <c r="N154" s="19" t="s">
        <v>92</v>
      </c>
      <c r="O154" s="19">
        <f>'RESUMEN '!$B$4</f>
        <v>44926</v>
      </c>
      <c r="P154" s="17">
        <v>2022</v>
      </c>
      <c r="Q154" s="17"/>
    </row>
    <row r="155" spans="1:17" x14ac:dyDescent="0.2">
      <c r="A155" s="17" t="s">
        <v>48</v>
      </c>
      <c r="B155" s="17" t="s">
        <v>82</v>
      </c>
      <c r="C155" s="17" t="s">
        <v>62</v>
      </c>
      <c r="D155" s="17" t="s">
        <v>97</v>
      </c>
      <c r="E155" s="17" t="str">
        <f>'CUOTA LICITADA'!C61</f>
        <v>LANDES S.A. PESQ.</v>
      </c>
      <c r="F155" s="17" t="s">
        <v>85</v>
      </c>
      <c r="G155" s="17" t="s">
        <v>86</v>
      </c>
      <c r="H155" s="18">
        <f>'CUOTA LICITADA'!F61</f>
        <v>1.119</v>
      </c>
      <c r="I155" s="18">
        <f>'CUOTA LICITADA'!G61</f>
        <v>0</v>
      </c>
      <c r="J155" s="18">
        <f>'CUOTA LICITADA'!H61</f>
        <v>1.119</v>
      </c>
      <c r="K155" s="18">
        <f>'CUOTA LICITADA'!I61</f>
        <v>0</v>
      </c>
      <c r="L155" s="18">
        <f>'CUOTA LICITADA'!J61</f>
        <v>1.119</v>
      </c>
      <c r="M155" s="26">
        <f>'CUOTA LICITADA'!K61</f>
        <v>0</v>
      </c>
      <c r="N155" s="19" t="s">
        <v>92</v>
      </c>
      <c r="O155" s="19">
        <f>'RESUMEN '!$B$4</f>
        <v>44926</v>
      </c>
      <c r="P155" s="17">
        <v>2022</v>
      </c>
      <c r="Q155" s="17"/>
    </row>
    <row r="156" spans="1:17" x14ac:dyDescent="0.2">
      <c r="A156" s="17" t="s">
        <v>48</v>
      </c>
      <c r="B156" s="17" t="s">
        <v>82</v>
      </c>
      <c r="C156" s="17" t="s">
        <v>62</v>
      </c>
      <c r="D156" s="17" t="s">
        <v>97</v>
      </c>
      <c r="E156" s="17" t="str">
        <f>'CUOTA LICITADA'!C61</f>
        <v>LANDES S.A. PESQ.</v>
      </c>
      <c r="F156" s="17" t="s">
        <v>87</v>
      </c>
      <c r="G156" s="17" t="s">
        <v>88</v>
      </c>
      <c r="H156" s="18">
        <f>'CUOTA LICITADA'!F62</f>
        <v>0.124</v>
      </c>
      <c r="I156" s="18">
        <f>'CUOTA LICITADA'!G62</f>
        <v>0</v>
      </c>
      <c r="J156" s="18">
        <f>'CUOTA LICITADA'!H62</f>
        <v>1.2429999999999999</v>
      </c>
      <c r="K156" s="18">
        <f>'CUOTA LICITADA'!I62</f>
        <v>0</v>
      </c>
      <c r="L156" s="18">
        <f>'CUOTA LICITADA'!J62</f>
        <v>1.2429999999999999</v>
      </c>
      <c r="M156" s="26">
        <f>'CUOTA LICITADA'!K62</f>
        <v>0</v>
      </c>
      <c r="N156" s="19" t="s">
        <v>92</v>
      </c>
      <c r="O156" s="19">
        <f>'RESUMEN '!$B$4</f>
        <v>44926</v>
      </c>
      <c r="P156" s="17">
        <v>2022</v>
      </c>
      <c r="Q156" s="17"/>
    </row>
    <row r="157" spans="1:17" x14ac:dyDescent="0.2">
      <c r="A157" s="17" t="s">
        <v>48</v>
      </c>
      <c r="B157" s="17" t="s">
        <v>82</v>
      </c>
      <c r="C157" s="17" t="s">
        <v>62</v>
      </c>
      <c r="D157" s="17" t="s">
        <v>97</v>
      </c>
      <c r="E157" s="17" t="str">
        <f>'CUOTA LICITADA'!C61</f>
        <v>LANDES S.A. PESQ.</v>
      </c>
      <c r="F157" s="17" t="s">
        <v>89</v>
      </c>
      <c r="G157" s="17" t="s">
        <v>88</v>
      </c>
      <c r="H157" s="18">
        <f>'CUOTA LICITADA'!L61</f>
        <v>1.2429999999999999</v>
      </c>
      <c r="I157" s="18">
        <f>'CUOTA LICITADA'!M61</f>
        <v>0</v>
      </c>
      <c r="J157" s="18">
        <f>'CUOTA LICITADA'!N61</f>
        <v>1.2429999999999999</v>
      </c>
      <c r="K157" s="18">
        <f>'CUOTA LICITADA'!O61</f>
        <v>0</v>
      </c>
      <c r="L157" s="18">
        <f>'CUOTA LICITADA'!P61</f>
        <v>1.2429999999999999</v>
      </c>
      <c r="M157" s="26">
        <f>'CUOTA LICITADA'!Q61</f>
        <v>0</v>
      </c>
      <c r="N157" s="19" t="s">
        <v>92</v>
      </c>
      <c r="O157" s="19">
        <f>'RESUMEN '!$B$4</f>
        <v>44926</v>
      </c>
      <c r="P157" s="17">
        <v>2022</v>
      </c>
      <c r="Q157" s="17"/>
    </row>
    <row r="158" spans="1:17" x14ac:dyDescent="0.2">
      <c r="A158" s="17" t="s">
        <v>48</v>
      </c>
      <c r="B158" s="17" t="s">
        <v>82</v>
      </c>
      <c r="C158" s="17" t="s">
        <v>62</v>
      </c>
      <c r="D158" s="17" t="s">
        <v>97</v>
      </c>
      <c r="E158" s="17" t="str">
        <f>'CUOTA LICITADA'!C63</f>
        <v>ZUÑIGA ROMERO GONZALO</v>
      </c>
      <c r="F158" s="17" t="s">
        <v>85</v>
      </c>
      <c r="G158" s="17" t="s">
        <v>86</v>
      </c>
      <c r="H158" s="18">
        <f>'CUOTA LICITADA'!F63</f>
        <v>2.8870199999999995E-2</v>
      </c>
      <c r="I158" s="18">
        <f>'CUOTA LICITADA'!G63</f>
        <v>0</v>
      </c>
      <c r="J158" s="18">
        <f>'CUOTA LICITADA'!H63</f>
        <v>2.8870199999999995E-2</v>
      </c>
      <c r="K158" s="18">
        <f>'CUOTA LICITADA'!I63</f>
        <v>0</v>
      </c>
      <c r="L158" s="18">
        <f>'CUOTA LICITADA'!J63</f>
        <v>2.8870199999999995E-2</v>
      </c>
      <c r="M158" s="26">
        <f>'CUOTA LICITADA'!K63</f>
        <v>0</v>
      </c>
      <c r="N158" s="19" t="s">
        <v>92</v>
      </c>
      <c r="O158" s="19">
        <f>'RESUMEN '!$B$4</f>
        <v>44926</v>
      </c>
      <c r="P158" s="17">
        <v>2022</v>
      </c>
      <c r="Q158" s="17"/>
    </row>
    <row r="159" spans="1:17" x14ac:dyDescent="0.2">
      <c r="A159" s="17" t="s">
        <v>48</v>
      </c>
      <c r="B159" s="17" t="s">
        <v>82</v>
      </c>
      <c r="C159" s="17" t="s">
        <v>62</v>
      </c>
      <c r="D159" s="17" t="s">
        <v>97</v>
      </c>
      <c r="E159" s="17" t="str">
        <f>'CUOTA LICITADA'!C63</f>
        <v>ZUÑIGA ROMERO GONZALO</v>
      </c>
      <c r="F159" s="17" t="s">
        <v>87</v>
      </c>
      <c r="G159" s="17" t="s">
        <v>88</v>
      </c>
      <c r="H159" s="18">
        <f>'CUOTA LICITADA'!F64</f>
        <v>3.1991999999999997E-3</v>
      </c>
      <c r="I159" s="18">
        <f>'CUOTA LICITADA'!G64</f>
        <v>0</v>
      </c>
      <c r="J159" s="18">
        <f>'CUOTA LICITADA'!H64</f>
        <v>3.2069399999999998E-2</v>
      </c>
      <c r="K159" s="18">
        <f>'CUOTA LICITADA'!I64</f>
        <v>0</v>
      </c>
      <c r="L159" s="18">
        <f>'CUOTA LICITADA'!J64</f>
        <v>3.2069399999999998E-2</v>
      </c>
      <c r="M159" s="26">
        <f>'CUOTA LICITADA'!K64</f>
        <v>0</v>
      </c>
      <c r="N159" s="19" t="s">
        <v>92</v>
      </c>
      <c r="O159" s="19">
        <f>'RESUMEN '!$B$4</f>
        <v>44926</v>
      </c>
      <c r="P159" s="17">
        <v>2022</v>
      </c>
      <c r="Q159" s="17"/>
    </row>
    <row r="160" spans="1:17" x14ac:dyDescent="0.2">
      <c r="A160" s="17" t="s">
        <v>48</v>
      </c>
      <c r="B160" s="17" t="s">
        <v>82</v>
      </c>
      <c r="C160" s="17" t="s">
        <v>62</v>
      </c>
      <c r="D160" s="17" t="s">
        <v>97</v>
      </c>
      <c r="E160" s="17" t="str">
        <f>'CUOTA LICITADA'!C63</f>
        <v>ZUÑIGA ROMERO GONZALO</v>
      </c>
      <c r="F160" s="17" t="s">
        <v>89</v>
      </c>
      <c r="G160" s="17" t="s">
        <v>88</v>
      </c>
      <c r="H160" s="18">
        <f>'CUOTA LICITADA'!L63</f>
        <v>3.2069399999999998E-2</v>
      </c>
      <c r="I160" s="18">
        <f>'CUOTA LICITADA'!M63</f>
        <v>0</v>
      </c>
      <c r="J160" s="18">
        <f>'CUOTA LICITADA'!N63</f>
        <v>3.2069399999999998E-2</v>
      </c>
      <c r="K160" s="18">
        <f>'CUOTA LICITADA'!O63</f>
        <v>0</v>
      </c>
      <c r="L160" s="18">
        <f>'CUOTA LICITADA'!P63</f>
        <v>3.2069399999999998E-2</v>
      </c>
      <c r="M160" s="26">
        <f>'CUOTA LICITADA'!Q63</f>
        <v>0</v>
      </c>
      <c r="N160" s="19" t="s">
        <v>92</v>
      </c>
      <c r="O160" s="19">
        <f>'RESUMEN '!$B$4</f>
        <v>44926</v>
      </c>
      <c r="P160" s="17">
        <v>2022</v>
      </c>
      <c r="Q160" s="17"/>
    </row>
    <row r="161" spans="1:17" x14ac:dyDescent="0.2">
      <c r="A161" s="17" t="s">
        <v>48</v>
      </c>
      <c r="B161" s="17" t="s">
        <v>82</v>
      </c>
      <c r="C161" s="17" t="s">
        <v>62</v>
      </c>
      <c r="D161" s="17" t="s">
        <v>97</v>
      </c>
      <c r="E161" s="17" t="str">
        <f>'CUOTA LICITADA'!C65</f>
        <v>PACIFICBLU SPA.</v>
      </c>
      <c r="F161" s="17" t="s">
        <v>85</v>
      </c>
      <c r="G161" s="17" t="s">
        <v>86</v>
      </c>
      <c r="H161" s="18">
        <f>'CUOTA LICITADA'!F65</f>
        <v>148.67187303</v>
      </c>
      <c r="I161" s="18">
        <f>'CUOTA LICITADA'!G65</f>
        <v>-145.86099999999999</v>
      </c>
      <c r="J161" s="18">
        <f>'CUOTA LICITADA'!H65</f>
        <v>2.8108730300000104</v>
      </c>
      <c r="K161" s="18">
        <f>'CUOTA LICITADA'!I65</f>
        <v>12.657</v>
      </c>
      <c r="L161" s="18">
        <f>'CUOTA LICITADA'!J65</f>
        <v>-9.8461269699999896</v>
      </c>
      <c r="M161" s="26">
        <f>'CUOTA LICITADA'!K65</f>
        <v>4.5028714797551537</v>
      </c>
      <c r="N161" s="19" t="s">
        <v>92</v>
      </c>
      <c r="O161" s="19">
        <f>'RESUMEN '!$B$4</f>
        <v>44926</v>
      </c>
      <c r="P161" s="17">
        <v>2022</v>
      </c>
      <c r="Q161" s="17"/>
    </row>
    <row r="162" spans="1:17" x14ac:dyDescent="0.2">
      <c r="A162" s="17" t="s">
        <v>48</v>
      </c>
      <c r="B162" s="17" t="s">
        <v>82</v>
      </c>
      <c r="C162" s="17" t="s">
        <v>62</v>
      </c>
      <c r="D162" s="17" t="s">
        <v>97</v>
      </c>
      <c r="E162" s="17" t="str">
        <f>'CUOTA LICITADA'!C65</f>
        <v>PACIFICBLU SPA.</v>
      </c>
      <c r="F162" s="17" t="s">
        <v>87</v>
      </c>
      <c r="G162" s="17" t="s">
        <v>88</v>
      </c>
      <c r="H162" s="18">
        <f>'CUOTA LICITADA'!F66</f>
        <v>16.474809880000002</v>
      </c>
      <c r="I162" s="18">
        <f>'CUOTA LICITADA'!G66</f>
        <v>0</v>
      </c>
      <c r="J162" s="18">
        <f>'CUOTA LICITADA'!H66</f>
        <v>6.6286829100000126</v>
      </c>
      <c r="K162" s="18">
        <f>'CUOTA LICITADA'!I66</f>
        <v>0</v>
      </c>
      <c r="L162" s="18">
        <f>'CUOTA LICITADA'!J66</f>
        <v>6.6286829100000126</v>
      </c>
      <c r="M162" s="26">
        <f>'CUOTA LICITADA'!K66</f>
        <v>0</v>
      </c>
      <c r="N162" s="19" t="s">
        <v>92</v>
      </c>
      <c r="O162" s="19">
        <f>'RESUMEN '!$B$4</f>
        <v>44926</v>
      </c>
      <c r="P162" s="17">
        <v>2022</v>
      </c>
      <c r="Q162" s="17"/>
    </row>
    <row r="163" spans="1:17" x14ac:dyDescent="0.2">
      <c r="A163" s="17" t="s">
        <v>48</v>
      </c>
      <c r="B163" s="17" t="s">
        <v>82</v>
      </c>
      <c r="C163" s="17" t="s">
        <v>62</v>
      </c>
      <c r="D163" s="17" t="s">
        <v>97</v>
      </c>
      <c r="E163" s="17" t="str">
        <f>'CUOTA LICITADA'!C65</f>
        <v>PACIFICBLU SPA.</v>
      </c>
      <c r="F163" s="17" t="s">
        <v>89</v>
      </c>
      <c r="G163" s="17" t="s">
        <v>88</v>
      </c>
      <c r="H163" s="18">
        <f>'CUOTA LICITADA'!L65</f>
        <v>165.14668291000001</v>
      </c>
      <c r="I163" s="18">
        <f>'CUOTA LICITADA'!M65</f>
        <v>-145.86099999999999</v>
      </c>
      <c r="J163" s="18">
        <f>'CUOTA LICITADA'!N65</f>
        <v>19.28568291000002</v>
      </c>
      <c r="K163" s="18">
        <f>'CUOTA LICITADA'!O65</f>
        <v>12.657</v>
      </c>
      <c r="L163" s="18">
        <f>'CUOTA LICITADA'!P65</f>
        <v>6.6286829100000197</v>
      </c>
      <c r="M163" s="26">
        <f>'CUOTA LICITADA'!Q65</f>
        <v>0.65628995659972655</v>
      </c>
      <c r="N163" s="19" t="s">
        <v>92</v>
      </c>
      <c r="O163" s="19">
        <f>'RESUMEN '!$B$4</f>
        <v>44926</v>
      </c>
      <c r="P163" s="17">
        <v>2022</v>
      </c>
      <c r="Q163" s="17"/>
    </row>
    <row r="164" spans="1:17" x14ac:dyDescent="0.2">
      <c r="A164" s="17" t="s">
        <v>48</v>
      </c>
      <c r="B164" s="17" t="s">
        <v>82</v>
      </c>
      <c r="C164" s="17" t="s">
        <v>62</v>
      </c>
      <c r="D164" s="17" t="s">
        <v>97</v>
      </c>
      <c r="E164" s="17" t="str">
        <f>'CUOTA LICITADA'!C67</f>
        <v>DA VENEZIA RETAMALES ANTONIO</v>
      </c>
      <c r="F164" s="17" t="s">
        <v>85</v>
      </c>
      <c r="G164" s="17" t="s">
        <v>86</v>
      </c>
      <c r="H164" s="18">
        <f>'CUOTA LICITADA'!F67</f>
        <v>2.2491900000000002E-2</v>
      </c>
      <c r="I164" s="18">
        <f>'CUOTA LICITADA'!G67</f>
        <v>0</v>
      </c>
      <c r="J164" s="18">
        <f>'CUOTA LICITADA'!H67</f>
        <v>2.2491900000000002E-2</v>
      </c>
      <c r="K164" s="18">
        <f>'CUOTA LICITADA'!I67</f>
        <v>0</v>
      </c>
      <c r="L164" s="18">
        <f>'CUOTA LICITADA'!J67</f>
        <v>2.2491900000000002E-2</v>
      </c>
      <c r="M164" s="26">
        <f>'CUOTA LICITADA'!K67</f>
        <v>0</v>
      </c>
      <c r="N164" s="19" t="s">
        <v>92</v>
      </c>
      <c r="O164" s="19">
        <f>'RESUMEN '!$B$4</f>
        <v>44926</v>
      </c>
      <c r="P164" s="17">
        <v>2022</v>
      </c>
      <c r="Q164" s="17"/>
    </row>
    <row r="165" spans="1:17" x14ac:dyDescent="0.2">
      <c r="A165" s="17" t="s">
        <v>48</v>
      </c>
      <c r="B165" s="17" t="s">
        <v>82</v>
      </c>
      <c r="C165" s="17" t="s">
        <v>62</v>
      </c>
      <c r="D165" s="17" t="s">
        <v>97</v>
      </c>
      <c r="E165" s="17" t="str">
        <f>'CUOTA LICITADA'!C67</f>
        <v>DA VENEZIA RETAMALES ANTONIO</v>
      </c>
      <c r="F165" s="17" t="s">
        <v>87</v>
      </c>
      <c r="G165" s="17" t="s">
        <v>88</v>
      </c>
      <c r="H165" s="18">
        <f>'CUOTA LICITADA'!F68</f>
        <v>2.4924000000000001E-3</v>
      </c>
      <c r="I165" s="18">
        <f>'CUOTA LICITADA'!G68</f>
        <v>0</v>
      </c>
      <c r="J165" s="18">
        <f>'CUOTA LICITADA'!H68</f>
        <v>2.4984300000000001E-2</v>
      </c>
      <c r="K165" s="18">
        <f>'CUOTA LICITADA'!I68</f>
        <v>0</v>
      </c>
      <c r="L165" s="18">
        <f>'CUOTA LICITADA'!J68</f>
        <v>2.4984300000000001E-2</v>
      </c>
      <c r="M165" s="26">
        <f>'CUOTA LICITADA'!K68</f>
        <v>0</v>
      </c>
      <c r="N165" s="19" t="s">
        <v>92</v>
      </c>
      <c r="O165" s="19">
        <f>'RESUMEN '!$B$4</f>
        <v>44926</v>
      </c>
      <c r="P165" s="17">
        <v>2022</v>
      </c>
      <c r="Q165" s="17"/>
    </row>
    <row r="166" spans="1:17" x14ac:dyDescent="0.2">
      <c r="A166" s="17" t="s">
        <v>48</v>
      </c>
      <c r="B166" s="17" t="s">
        <v>82</v>
      </c>
      <c r="C166" s="17" t="s">
        <v>62</v>
      </c>
      <c r="D166" s="17" t="s">
        <v>97</v>
      </c>
      <c r="E166" s="17" t="str">
        <f>'CUOTA LICITADA'!C67</f>
        <v>DA VENEZIA RETAMALES ANTONIO</v>
      </c>
      <c r="F166" s="17" t="s">
        <v>89</v>
      </c>
      <c r="G166" s="17" t="s">
        <v>88</v>
      </c>
      <c r="H166" s="18">
        <f>'CUOTA LICITADA'!L67</f>
        <v>2.4984300000000001E-2</v>
      </c>
      <c r="I166" s="18">
        <f>'CUOTA LICITADA'!M67</f>
        <v>0</v>
      </c>
      <c r="J166" s="18">
        <f>'CUOTA LICITADA'!N67</f>
        <v>2.4984300000000001E-2</v>
      </c>
      <c r="K166" s="18">
        <f>'CUOTA LICITADA'!O67</f>
        <v>0</v>
      </c>
      <c r="L166" s="18">
        <f>'CUOTA LICITADA'!P67</f>
        <v>2.4984300000000001E-2</v>
      </c>
      <c r="M166" s="26">
        <f>'CUOTA LICITADA'!Q67</f>
        <v>0</v>
      </c>
      <c r="N166" s="19" t="s">
        <v>92</v>
      </c>
      <c r="O166" s="19">
        <f>'RESUMEN '!$B$4</f>
        <v>44926</v>
      </c>
      <c r="P166" s="17">
        <v>2022</v>
      </c>
      <c r="Q166" s="17"/>
    </row>
    <row r="167" spans="1:17" x14ac:dyDescent="0.2">
      <c r="A167" s="17" t="s">
        <v>48</v>
      </c>
      <c r="B167" s="17" t="s">
        <v>82</v>
      </c>
      <c r="C167" s="17" t="s">
        <v>62</v>
      </c>
      <c r="D167" s="17" t="s">
        <v>97</v>
      </c>
      <c r="E167" s="17" t="str">
        <f>'CUOTA LICITADA'!C69</f>
        <v>ENFERMAR LTDA. SOC. PESQ.</v>
      </c>
      <c r="F167" s="17" t="s">
        <v>85</v>
      </c>
      <c r="G167" s="17" t="s">
        <v>86</v>
      </c>
      <c r="H167" s="18">
        <f>'CUOTA LICITADA'!F69</f>
        <v>0</v>
      </c>
      <c r="I167" s="18">
        <f>'CUOTA LICITADA'!G69</f>
        <v>0</v>
      </c>
      <c r="J167" s="18">
        <f>'CUOTA LICITADA'!H69</f>
        <v>0</v>
      </c>
      <c r="K167" s="18">
        <f>'CUOTA LICITADA'!I69</f>
        <v>0</v>
      </c>
      <c r="L167" s="18">
        <f>'CUOTA LICITADA'!J69</f>
        <v>0</v>
      </c>
      <c r="M167" s="26" t="e">
        <f>'CUOTA LICITADA'!K69</f>
        <v>#DIV/0!</v>
      </c>
      <c r="N167" s="19" t="s">
        <v>92</v>
      </c>
      <c r="O167" s="19">
        <f>'RESUMEN '!$B$4</f>
        <v>44926</v>
      </c>
      <c r="P167" s="17">
        <v>2022</v>
      </c>
      <c r="Q167" s="17"/>
    </row>
    <row r="168" spans="1:17" x14ac:dyDescent="0.2">
      <c r="A168" s="17" t="s">
        <v>48</v>
      </c>
      <c r="B168" s="17" t="s">
        <v>82</v>
      </c>
      <c r="C168" s="17" t="s">
        <v>62</v>
      </c>
      <c r="D168" s="17" t="s">
        <v>97</v>
      </c>
      <c r="E168" s="17" t="str">
        <f>'CUOTA LICITADA'!C69</f>
        <v>ENFERMAR LTDA. SOC. PESQ.</v>
      </c>
      <c r="F168" s="17" t="s">
        <v>87</v>
      </c>
      <c r="G168" s="17" t="s">
        <v>88</v>
      </c>
      <c r="H168" s="18">
        <f>'CUOTA LICITADA'!F70</f>
        <v>0</v>
      </c>
      <c r="I168" s="18">
        <f>'CUOTA LICITADA'!G70</f>
        <v>0</v>
      </c>
      <c r="J168" s="18">
        <f>'CUOTA LICITADA'!H70</f>
        <v>0</v>
      </c>
      <c r="K168" s="18">
        <f>'CUOTA LICITADA'!I70</f>
        <v>0</v>
      </c>
      <c r="L168" s="18">
        <f>'CUOTA LICITADA'!J70</f>
        <v>0</v>
      </c>
      <c r="M168" s="26" t="e">
        <f>'CUOTA LICITADA'!K70</f>
        <v>#DIV/0!</v>
      </c>
      <c r="N168" s="19" t="s">
        <v>92</v>
      </c>
      <c r="O168" s="19">
        <f>'RESUMEN '!$B$4</f>
        <v>44926</v>
      </c>
      <c r="P168" s="17">
        <v>2022</v>
      </c>
      <c r="Q168" s="17"/>
    </row>
    <row r="169" spans="1:17" x14ac:dyDescent="0.2">
      <c r="A169" s="17" t="s">
        <v>48</v>
      </c>
      <c r="B169" s="17" t="s">
        <v>82</v>
      </c>
      <c r="C169" s="17" t="s">
        <v>62</v>
      </c>
      <c r="D169" s="17" t="s">
        <v>97</v>
      </c>
      <c r="E169" s="17" t="str">
        <f>'CUOTA LICITADA'!C69</f>
        <v>ENFERMAR LTDA. SOC. PESQ.</v>
      </c>
      <c r="F169" s="17" t="s">
        <v>89</v>
      </c>
      <c r="G169" s="17" t="s">
        <v>88</v>
      </c>
      <c r="H169" s="18">
        <f>'CUOTA LICITADA'!L69</f>
        <v>0</v>
      </c>
      <c r="I169" s="18">
        <f>'CUOTA LICITADA'!M69</f>
        <v>0</v>
      </c>
      <c r="J169" s="18">
        <f>'CUOTA LICITADA'!N69</f>
        <v>0</v>
      </c>
      <c r="K169" s="18">
        <f>'CUOTA LICITADA'!O69</f>
        <v>0</v>
      </c>
      <c r="L169" s="18">
        <f>'CUOTA LICITADA'!P69</f>
        <v>0</v>
      </c>
      <c r="M169" s="26" t="e">
        <f>'CUOTA LICITADA'!Q69</f>
        <v>#DIV/0!</v>
      </c>
      <c r="N169" s="19" t="s">
        <v>92</v>
      </c>
      <c r="O169" s="19">
        <f>'RESUMEN '!$B$4</f>
        <v>44926</v>
      </c>
      <c r="P169" s="17">
        <v>2022</v>
      </c>
      <c r="Q169" s="17"/>
    </row>
    <row r="170" spans="1:17" x14ac:dyDescent="0.2">
      <c r="A170" s="17" t="s">
        <v>48</v>
      </c>
      <c r="B170" s="17" t="s">
        <v>82</v>
      </c>
      <c r="C170" s="17" t="s">
        <v>62</v>
      </c>
      <c r="D170" s="17" t="s">
        <v>97</v>
      </c>
      <c r="E170" s="17" t="str">
        <f>'CUOTA LICITADA'!C77</f>
        <v>COMERCIALIZADORA SIMON SEAFOOD LTDA.</v>
      </c>
      <c r="F170" s="17" t="s">
        <v>85</v>
      </c>
      <c r="G170" s="17" t="s">
        <v>86</v>
      </c>
      <c r="H170" s="18">
        <f>'CUOTA LICITADA'!F77</f>
        <v>0.50131199999999998</v>
      </c>
      <c r="I170" s="18">
        <f>'CUOTA LICITADA'!G77</f>
        <v>0</v>
      </c>
      <c r="J170" s="18">
        <f>'CUOTA LICITADA'!H77</f>
        <v>0.50131199999999998</v>
      </c>
      <c r="K170" s="18">
        <f>'CUOTA LICITADA'!I77</f>
        <v>0.123</v>
      </c>
      <c r="L170" s="18">
        <f>'CUOTA LICITADA'!J77</f>
        <v>0.37831199999999998</v>
      </c>
      <c r="M170" s="26">
        <f>'CUOTA LICITADA'!K77</f>
        <v>0.2453561853695902</v>
      </c>
      <c r="N170" s="19" t="s">
        <v>92</v>
      </c>
      <c r="O170" s="19">
        <f>'RESUMEN '!$B$4</f>
        <v>44926</v>
      </c>
      <c r="P170" s="17">
        <v>2022</v>
      </c>
      <c r="Q170" s="17"/>
    </row>
    <row r="171" spans="1:17" x14ac:dyDescent="0.2">
      <c r="A171" s="17" t="s">
        <v>48</v>
      </c>
      <c r="B171" s="17" t="s">
        <v>82</v>
      </c>
      <c r="C171" s="17" t="s">
        <v>62</v>
      </c>
      <c r="D171" s="17" t="s">
        <v>97</v>
      </c>
      <c r="E171" s="17" t="str">
        <f>'CUOTA LICITADA'!C77</f>
        <v>COMERCIALIZADORA SIMON SEAFOOD LTDA.</v>
      </c>
      <c r="F171" s="17" t="s">
        <v>87</v>
      </c>
      <c r="G171" s="17" t="s">
        <v>88</v>
      </c>
      <c r="H171" s="18">
        <f>'CUOTA LICITADA'!F78</f>
        <v>5.5551999999999997E-2</v>
      </c>
      <c r="I171" s="18">
        <f>'CUOTA LICITADA'!G78</f>
        <v>0</v>
      </c>
      <c r="J171" s="18">
        <f>'CUOTA LICITADA'!H78</f>
        <v>0.43386399999999997</v>
      </c>
      <c r="K171" s="18">
        <f>'CUOTA LICITADA'!I78</f>
        <v>0</v>
      </c>
      <c r="L171" s="18">
        <f>'CUOTA LICITADA'!J78</f>
        <v>0.43386399999999997</v>
      </c>
      <c r="M171" s="26">
        <f>'CUOTA LICITADA'!K78</f>
        <v>0</v>
      </c>
      <c r="N171" s="19" t="s">
        <v>92</v>
      </c>
      <c r="O171" s="19">
        <f>'RESUMEN '!$B$4</f>
        <v>44926</v>
      </c>
      <c r="P171" s="17">
        <v>2022</v>
      </c>
      <c r="Q171" s="17"/>
    </row>
    <row r="172" spans="1:17" x14ac:dyDescent="0.2">
      <c r="A172" s="17" t="s">
        <v>48</v>
      </c>
      <c r="B172" s="17" t="s">
        <v>82</v>
      </c>
      <c r="C172" s="17" t="s">
        <v>62</v>
      </c>
      <c r="D172" s="17" t="s">
        <v>97</v>
      </c>
      <c r="E172" s="17" t="str">
        <f>'CUOTA LICITADA'!C77</f>
        <v>COMERCIALIZADORA SIMON SEAFOOD LTDA.</v>
      </c>
      <c r="F172" s="17" t="s">
        <v>89</v>
      </c>
      <c r="G172" s="17" t="s">
        <v>88</v>
      </c>
      <c r="H172" s="18">
        <f>'CUOTA LICITADA'!L77</f>
        <v>0.55686400000000003</v>
      </c>
      <c r="I172" s="18">
        <f>'CUOTA LICITADA'!M77</f>
        <v>0</v>
      </c>
      <c r="J172" s="18">
        <f>'CUOTA LICITADA'!N77</f>
        <v>0.55686400000000003</v>
      </c>
      <c r="K172" s="18">
        <f>'CUOTA LICITADA'!O77</f>
        <v>0.123</v>
      </c>
      <c r="L172" s="18">
        <f>'CUOTA LICITADA'!P77</f>
        <v>0.43386400000000003</v>
      </c>
      <c r="M172" s="26">
        <f>'CUOTA LICITADA'!Q77</f>
        <v>0.22087978393288127</v>
      </c>
      <c r="N172" s="19" t="s">
        <v>92</v>
      </c>
      <c r="O172" s="19">
        <f>'RESUMEN '!$B$4</f>
        <v>44926</v>
      </c>
      <c r="P172" s="17">
        <v>2022</v>
      </c>
      <c r="Q172" s="17"/>
    </row>
    <row r="173" spans="1:17" x14ac:dyDescent="0.2">
      <c r="A173" s="17" t="s">
        <v>48</v>
      </c>
      <c r="B173" s="17" t="s">
        <v>82</v>
      </c>
      <c r="C173" s="17" t="s">
        <v>62</v>
      </c>
      <c r="D173" s="17" t="s">
        <v>97</v>
      </c>
      <c r="E173" s="17" t="str">
        <f>'CUOTA LICITADA'!C71</f>
        <v>RUBIO Y MAUAD LTDA.</v>
      </c>
      <c r="F173" s="17" t="s">
        <v>85</v>
      </c>
      <c r="G173" s="17" t="s">
        <v>86</v>
      </c>
      <c r="H173" s="18">
        <f>'CUOTA LICITADA'!F71</f>
        <v>6.7140000000000004</v>
      </c>
      <c r="I173" s="18">
        <f>'CUOTA LICITADA'!G71</f>
        <v>0</v>
      </c>
      <c r="J173" s="18">
        <f>'CUOTA LICITADA'!H71</f>
        <v>6.7140000000000004</v>
      </c>
      <c r="K173" s="18">
        <f>'CUOTA LICITADA'!I71</f>
        <v>0</v>
      </c>
      <c r="L173" s="18">
        <f>'CUOTA LICITADA'!J71</f>
        <v>6.7140000000000004</v>
      </c>
      <c r="M173" s="26">
        <f>'CUOTA LICITADA'!K71</f>
        <v>0</v>
      </c>
      <c r="N173" s="19" t="s">
        <v>92</v>
      </c>
      <c r="O173" s="19">
        <f>'RESUMEN '!$B$4</f>
        <v>44926</v>
      </c>
      <c r="P173" s="17">
        <v>2022</v>
      </c>
      <c r="Q173" s="17"/>
    </row>
    <row r="174" spans="1:17" x14ac:dyDescent="0.2">
      <c r="A174" s="17" t="s">
        <v>48</v>
      </c>
      <c r="B174" s="17" t="s">
        <v>82</v>
      </c>
      <c r="C174" s="17" t="s">
        <v>62</v>
      </c>
      <c r="D174" s="17" t="s">
        <v>97</v>
      </c>
      <c r="E174" s="17" t="str">
        <f>'CUOTA LICITADA'!C71</f>
        <v>RUBIO Y MAUAD LTDA.</v>
      </c>
      <c r="F174" s="17" t="s">
        <v>87</v>
      </c>
      <c r="G174" s="17" t="s">
        <v>88</v>
      </c>
      <c r="H174" s="18">
        <f>'CUOTA LICITADA'!F72</f>
        <v>0.74399999999999999</v>
      </c>
      <c r="I174" s="18">
        <f>'CUOTA LICITADA'!G72</f>
        <v>0</v>
      </c>
      <c r="J174" s="18">
        <f>'CUOTA LICITADA'!H72</f>
        <v>7.4580000000000002</v>
      </c>
      <c r="K174" s="18">
        <f>'CUOTA LICITADA'!I72</f>
        <v>0</v>
      </c>
      <c r="L174" s="18">
        <f>'CUOTA LICITADA'!J72</f>
        <v>7.4580000000000002</v>
      </c>
      <c r="M174" s="26">
        <f>'CUOTA LICITADA'!K72</f>
        <v>0</v>
      </c>
      <c r="N174" s="19" t="s">
        <v>92</v>
      </c>
      <c r="O174" s="19">
        <f>'RESUMEN '!$B$4</f>
        <v>44926</v>
      </c>
      <c r="P174" s="17">
        <v>2022</v>
      </c>
      <c r="Q174" s="17"/>
    </row>
    <row r="175" spans="1:17" x14ac:dyDescent="0.2">
      <c r="A175" s="17" t="s">
        <v>48</v>
      </c>
      <c r="B175" s="17" t="s">
        <v>82</v>
      </c>
      <c r="C175" s="17" t="s">
        <v>62</v>
      </c>
      <c r="D175" s="17" t="s">
        <v>97</v>
      </c>
      <c r="E175" s="17" t="str">
        <f>'CUOTA LICITADA'!C71</f>
        <v>RUBIO Y MAUAD LTDA.</v>
      </c>
      <c r="F175" s="17" t="s">
        <v>89</v>
      </c>
      <c r="G175" s="17" t="s">
        <v>88</v>
      </c>
      <c r="H175" s="18">
        <f>'CUOTA LICITADA'!L71</f>
        <v>7.4580000000000002</v>
      </c>
      <c r="I175" s="18">
        <f>'CUOTA LICITADA'!M71</f>
        <v>0</v>
      </c>
      <c r="J175" s="18">
        <f>'CUOTA LICITADA'!N71</f>
        <v>7.4580000000000002</v>
      </c>
      <c r="K175" s="18">
        <f>'CUOTA LICITADA'!O71</f>
        <v>0</v>
      </c>
      <c r="L175" s="18">
        <f>'CUOTA LICITADA'!P71</f>
        <v>7.4580000000000002</v>
      </c>
      <c r="M175" s="26">
        <f>'CUOTA LICITADA'!Q71</f>
        <v>0</v>
      </c>
      <c r="N175" s="19" t="s">
        <v>92</v>
      </c>
      <c r="O175" s="19">
        <f>'RESUMEN '!$B$4</f>
        <v>44926</v>
      </c>
      <c r="P175" s="17">
        <v>2022</v>
      </c>
      <c r="Q175" s="17"/>
    </row>
    <row r="176" spans="1:17" x14ac:dyDescent="0.2">
      <c r="A176" s="22" t="s">
        <v>48</v>
      </c>
      <c r="B176" s="22" t="s">
        <v>82</v>
      </c>
      <c r="C176" s="22" t="s">
        <v>98</v>
      </c>
      <c r="D176" s="22" t="s">
        <v>99</v>
      </c>
      <c r="E176" s="22" t="s">
        <v>100</v>
      </c>
      <c r="F176" s="22" t="s">
        <v>89</v>
      </c>
      <c r="G176" s="22" t="s">
        <v>88</v>
      </c>
      <c r="H176" s="23">
        <f>'CUOTA LICITADA'!F83</f>
        <v>2263.033402510001</v>
      </c>
      <c r="I176" s="23">
        <f>'CUOTA LICITADA'!G83</f>
        <v>0</v>
      </c>
      <c r="J176" s="23">
        <f>'CUOTA LICITADA'!H83</f>
        <v>2263.033402510001</v>
      </c>
      <c r="K176" s="23">
        <f>'CUOTA LICITADA'!I83</f>
        <v>2091.5370000000003</v>
      </c>
      <c r="L176" s="23">
        <f>'CUOTA LICITADA'!J83</f>
        <v>171.49640251000073</v>
      </c>
      <c r="M176" s="27">
        <f>'CUOTA LICITADA'!K83</f>
        <v>0.92421835120958062</v>
      </c>
      <c r="N176" s="24" t="s">
        <v>92</v>
      </c>
      <c r="O176" s="24">
        <f>'RESUMEN '!$B$4</f>
        <v>44926</v>
      </c>
      <c r="P176" s="17">
        <v>2022</v>
      </c>
      <c r="Q176" s="1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opLeftCell="M1" workbookViewId="0">
      <selection activeCell="W27" sqref="W27"/>
    </sheetView>
  </sheetViews>
  <sheetFormatPr baseColWidth="10" defaultRowHeight="15" x14ac:dyDescent="0.25"/>
  <cols>
    <col min="1" max="1" width="0" hidden="1" customWidth="1"/>
    <col min="2" max="2" width="27.140625" hidden="1" customWidth="1"/>
    <col min="3" max="3" width="21.5703125" hidden="1" customWidth="1"/>
    <col min="4" max="4" width="19.5703125" hidden="1" customWidth="1"/>
    <col min="5" max="5" width="16.28515625" hidden="1" customWidth="1"/>
    <col min="6" max="6" width="14.42578125" hidden="1" customWidth="1"/>
    <col min="7" max="7" width="15.28515625" hidden="1" customWidth="1"/>
    <col min="8" max="12" width="0" hidden="1" customWidth="1"/>
    <col min="16" max="16" width="22.28515625" bestFit="1" customWidth="1"/>
    <col min="17" max="17" width="24.7109375" bestFit="1" customWidth="1"/>
    <col min="18" max="18" width="12.42578125" bestFit="1" customWidth="1"/>
    <col min="19" max="19" width="10.5703125" bestFit="1" customWidth="1"/>
    <col min="20" max="20" width="10.42578125" bestFit="1" customWidth="1"/>
    <col min="21" max="21" width="7.5703125" bestFit="1" customWidth="1"/>
  </cols>
  <sheetData>
    <row r="1" spans="1:25" ht="15.75" thickBot="1" x14ac:dyDescent="0.3">
      <c r="C1" t="s">
        <v>121</v>
      </c>
      <c r="D1" t="s">
        <v>122</v>
      </c>
      <c r="E1" t="s">
        <v>123</v>
      </c>
      <c r="F1" t="s">
        <v>124</v>
      </c>
      <c r="G1">
        <v>98</v>
      </c>
    </row>
    <row r="2" spans="1:25" x14ac:dyDescent="0.25">
      <c r="A2" s="266" t="s">
        <v>50</v>
      </c>
      <c r="B2" s="270" t="s">
        <v>24</v>
      </c>
      <c r="C2" s="270">
        <v>0.33248030000000001</v>
      </c>
      <c r="D2" s="270">
        <f>0.00975+0.00975+0.002+0.01425</f>
        <v>3.5749999999999997E-2</v>
      </c>
      <c r="E2" s="270">
        <f>C2+D2</f>
        <v>0.36823030000000001</v>
      </c>
      <c r="F2" s="270">
        <f>E2*$G$1</f>
        <v>36.086569400000002</v>
      </c>
      <c r="G2" s="270">
        <v>36.086570000000002</v>
      </c>
      <c r="H2" s="319">
        <f>F2-G2</f>
        <v>-5.999999999062311E-7</v>
      </c>
      <c r="K2" s="109" t="s">
        <v>125</v>
      </c>
      <c r="L2" s="110">
        <v>2022</v>
      </c>
      <c r="N2" s="115" t="s">
        <v>18</v>
      </c>
      <c r="O2" s="116" t="s">
        <v>61</v>
      </c>
      <c r="P2" s="116" t="s">
        <v>62</v>
      </c>
      <c r="Q2" s="117" t="s">
        <v>60</v>
      </c>
      <c r="S2" s="115" t="s">
        <v>18</v>
      </c>
      <c r="T2" s="116" t="s">
        <v>83</v>
      </c>
      <c r="U2" s="116" t="s">
        <v>90</v>
      </c>
      <c r="V2" s="117" t="s">
        <v>60</v>
      </c>
    </row>
    <row r="3" spans="1:25" ht="15.75" thickBot="1" x14ac:dyDescent="0.3">
      <c r="A3" s="267"/>
      <c r="B3" s="243"/>
      <c r="C3" s="243"/>
      <c r="D3" s="243"/>
      <c r="E3" s="243"/>
      <c r="F3" s="243"/>
      <c r="G3" s="243"/>
      <c r="H3" s="320"/>
      <c r="K3" s="111" t="s">
        <v>126</v>
      </c>
      <c r="L3" s="112">
        <v>20.604255900000002</v>
      </c>
      <c r="N3" s="118" t="s">
        <v>52</v>
      </c>
      <c r="O3" s="119">
        <v>915</v>
      </c>
      <c r="P3" s="119">
        <v>1119</v>
      </c>
      <c r="Q3" s="120">
        <v>2034</v>
      </c>
      <c r="S3" s="118" t="s">
        <v>52</v>
      </c>
      <c r="T3" s="119"/>
      <c r="U3" s="119"/>
      <c r="V3" s="120">
        <f>SUM(T3:U3)</f>
        <v>0</v>
      </c>
    </row>
    <row r="4" spans="1:25" x14ac:dyDescent="0.25">
      <c r="A4" s="267"/>
      <c r="B4" s="243" t="s">
        <v>25</v>
      </c>
      <c r="C4" s="243">
        <f>0.0239553+0.0058632+0.0026566+0.027652</f>
        <v>6.0127100000000003E-2</v>
      </c>
      <c r="D4" s="243">
        <f>0.00645</f>
        <v>6.45E-3</v>
      </c>
      <c r="E4" s="270">
        <f>C4+D4</f>
        <v>6.65771E-2</v>
      </c>
      <c r="F4" s="270">
        <f t="shared" ref="F4" si="0">E4*$G$1</f>
        <v>6.5245557999999999</v>
      </c>
      <c r="G4" s="243">
        <v>6.5245600000000001</v>
      </c>
      <c r="H4" s="319">
        <f t="shared" ref="H4" si="1">F4-G4</f>
        <v>-4.2000000002317961E-6</v>
      </c>
      <c r="K4" s="111" t="s">
        <v>127</v>
      </c>
      <c r="L4" s="112">
        <v>3.3374200000000003</v>
      </c>
      <c r="N4" s="118" t="s">
        <v>53</v>
      </c>
      <c r="O4" s="119">
        <v>102</v>
      </c>
      <c r="P4" s="119">
        <v>124</v>
      </c>
      <c r="Q4" s="120">
        <v>226</v>
      </c>
      <c r="S4" s="118" t="s">
        <v>53</v>
      </c>
      <c r="T4" s="119"/>
      <c r="U4" s="119"/>
      <c r="V4" s="120">
        <f>SUM(T4:U4)</f>
        <v>0</v>
      </c>
      <c r="Y4" s="145"/>
    </row>
    <row r="5" spans="1:25" ht="15.75" thickBot="1" x14ac:dyDescent="0.3">
      <c r="A5" s="267"/>
      <c r="B5" s="243"/>
      <c r="C5" s="243"/>
      <c r="D5" s="243"/>
      <c r="E5" s="243"/>
      <c r="F5" s="243"/>
      <c r="G5" s="243"/>
      <c r="H5" s="320"/>
      <c r="K5" s="111" t="s">
        <v>128</v>
      </c>
      <c r="L5" s="112">
        <v>20.394539999999999</v>
      </c>
      <c r="N5" s="121" t="s">
        <v>60</v>
      </c>
      <c r="O5" s="122">
        <f>O3+O4</f>
        <v>1017</v>
      </c>
      <c r="P5" s="122">
        <v>1243</v>
      </c>
      <c r="Q5" s="123">
        <f>O5+P5</f>
        <v>2260</v>
      </c>
      <c r="S5" s="121" t="s">
        <v>60</v>
      </c>
      <c r="T5" s="122">
        <v>56</v>
      </c>
      <c r="U5" s="122">
        <v>1070</v>
      </c>
      <c r="V5" s="123">
        <f>SUM(T5:U5)</f>
        <v>1126</v>
      </c>
      <c r="Y5" s="145"/>
    </row>
    <row r="6" spans="1:25" x14ac:dyDescent="0.25">
      <c r="A6" s="267"/>
      <c r="B6" s="243" t="s">
        <v>26</v>
      </c>
      <c r="C6" s="243">
        <v>3.0000000000000001E-5</v>
      </c>
      <c r="D6" s="243"/>
      <c r="E6" s="270">
        <f t="shared" ref="E6" si="2">C6+D6</f>
        <v>3.0000000000000001E-5</v>
      </c>
      <c r="F6" s="270">
        <f t="shared" ref="F6" si="3">E6*$G$1</f>
        <v>2.9399999999999999E-3</v>
      </c>
      <c r="G6" s="243">
        <v>2.9400000000000003E-3</v>
      </c>
      <c r="H6" s="319">
        <f t="shared" ref="H6" si="4">F6-G6</f>
        <v>0</v>
      </c>
      <c r="K6" s="111" t="s">
        <v>129</v>
      </c>
      <c r="L6" s="112">
        <v>16.654620000000001</v>
      </c>
    </row>
    <row r="7" spans="1:25" ht="15.75" thickBot="1" x14ac:dyDescent="0.3">
      <c r="A7" s="267"/>
      <c r="B7" s="243"/>
      <c r="C7" s="243"/>
      <c r="D7" s="243"/>
      <c r="E7" s="243"/>
      <c r="F7" s="243"/>
      <c r="G7" s="243"/>
      <c r="H7" s="320"/>
      <c r="K7" s="111" t="s">
        <v>130</v>
      </c>
      <c r="L7" s="112">
        <v>7.59</v>
      </c>
    </row>
    <row r="8" spans="1:25" x14ac:dyDescent="0.25">
      <c r="A8" s="267"/>
      <c r="B8" s="243" t="s">
        <v>27</v>
      </c>
      <c r="C8" s="243">
        <v>0.34622619999999998</v>
      </c>
      <c r="D8" s="243">
        <f>0.00775+0.00026+0.01125+0.01425</f>
        <v>3.3509999999999998E-2</v>
      </c>
      <c r="E8" s="270">
        <f t="shared" ref="E8" si="5">C8+D8</f>
        <v>0.37973619999999997</v>
      </c>
      <c r="F8" s="270">
        <f t="shared" ref="F8" si="6">E8*$G$1</f>
        <v>37.214147599999997</v>
      </c>
      <c r="G8" s="243">
        <v>37.214149999999997</v>
      </c>
      <c r="H8" s="319">
        <f t="shared" ref="H8" si="7">F8-G8</f>
        <v>-2.3999999996249244E-6</v>
      </c>
      <c r="K8" s="111" t="s">
        <v>131</v>
      </c>
      <c r="L8" s="112">
        <v>8.0000000000000002E-3</v>
      </c>
      <c r="N8" s="321" t="s">
        <v>138</v>
      </c>
      <c r="O8" s="322"/>
      <c r="P8" s="322"/>
      <c r="Q8" s="322"/>
      <c r="R8" s="322"/>
      <c r="S8" s="322"/>
      <c r="T8" s="322"/>
      <c r="U8" s="323"/>
    </row>
    <row r="9" spans="1:25" ht="15.75" thickBot="1" x14ac:dyDescent="0.3">
      <c r="A9" s="267"/>
      <c r="B9" s="243"/>
      <c r="C9" s="243"/>
      <c r="D9" s="243"/>
      <c r="E9" s="243"/>
      <c r="F9" s="243"/>
      <c r="G9" s="243"/>
      <c r="H9" s="320"/>
      <c r="K9" s="111" t="s">
        <v>132</v>
      </c>
      <c r="L9" s="113">
        <v>0.26877200000000001</v>
      </c>
      <c r="N9" s="194" t="s">
        <v>139</v>
      </c>
      <c r="O9" s="195" t="s">
        <v>140</v>
      </c>
      <c r="P9" s="195" t="s">
        <v>141</v>
      </c>
      <c r="Q9" s="195" t="s">
        <v>142</v>
      </c>
      <c r="R9" s="195" t="s">
        <v>143</v>
      </c>
      <c r="S9" s="195" t="s">
        <v>83</v>
      </c>
      <c r="T9" s="195" t="s">
        <v>90</v>
      </c>
      <c r="U9" s="196" t="s">
        <v>144</v>
      </c>
    </row>
    <row r="10" spans="1:25" x14ac:dyDescent="0.25">
      <c r="A10" s="267"/>
      <c r="B10" s="243" t="s">
        <v>30</v>
      </c>
      <c r="C10" s="243">
        <v>1.7310000000000001E-4</v>
      </c>
      <c r="D10" s="243"/>
      <c r="E10" s="270">
        <f t="shared" ref="E10" si="8">C10+D10</f>
        <v>1.7310000000000001E-4</v>
      </c>
      <c r="F10" s="270">
        <f t="shared" ref="F10" si="9">E10*$G$1</f>
        <v>1.6963800000000001E-2</v>
      </c>
      <c r="G10" s="243">
        <v>1.6959999999999999E-2</v>
      </c>
      <c r="H10" s="319">
        <f t="shared" ref="H10" si="10">F10-G10</f>
        <v>3.8000000000017187E-6</v>
      </c>
      <c r="K10" s="111" t="s">
        <v>133</v>
      </c>
      <c r="L10" s="113">
        <v>0.36196500000000004</v>
      </c>
      <c r="N10" s="198">
        <v>24</v>
      </c>
      <c r="O10" s="199">
        <v>44574</v>
      </c>
      <c r="P10" s="198" t="s">
        <v>163</v>
      </c>
      <c r="Q10" s="198" t="s">
        <v>162</v>
      </c>
      <c r="R10" s="200">
        <f>U10/$Q$5</f>
        <v>6.2100000000000002E-2</v>
      </c>
      <c r="S10" s="200">
        <f>R10*$O$5</f>
        <v>63.155700000000003</v>
      </c>
      <c r="T10" s="200">
        <f>R10*$P$5</f>
        <v>77.190300000000008</v>
      </c>
      <c r="U10" s="200">
        <v>140.346</v>
      </c>
    </row>
    <row r="11" spans="1:25" ht="15.75" thickBot="1" x14ac:dyDescent="0.3">
      <c r="A11" s="267"/>
      <c r="B11" s="243"/>
      <c r="C11" s="243"/>
      <c r="D11" s="243"/>
      <c r="E11" s="243"/>
      <c r="F11" s="243"/>
      <c r="G11" s="243"/>
      <c r="H11" s="320"/>
      <c r="K11" s="111" t="s">
        <v>134</v>
      </c>
      <c r="L11" s="112">
        <v>10.676137000000001</v>
      </c>
      <c r="N11" s="202">
        <v>682</v>
      </c>
      <c r="O11" s="203">
        <v>44748</v>
      </c>
      <c r="P11" s="202" t="s">
        <v>163</v>
      </c>
      <c r="Q11" s="202" t="s">
        <v>162</v>
      </c>
      <c r="R11" s="204">
        <f>U11/$Q$5</f>
        <v>5.5245840000000004E-2</v>
      </c>
      <c r="S11" s="204">
        <f>R11*$O$5</f>
        <v>56.185019280000006</v>
      </c>
      <c r="T11" s="204">
        <f>R11*$P$5</f>
        <v>68.670579119999999</v>
      </c>
      <c r="U11" s="204">
        <v>124.85559840000001</v>
      </c>
    </row>
    <row r="12" spans="1:25" x14ac:dyDescent="0.25">
      <c r="A12" s="267"/>
      <c r="B12" s="243" t="s">
        <v>31</v>
      </c>
      <c r="C12" s="243">
        <f>0.0438706+0.022+0.0216617</f>
        <v>8.7532300000000007E-2</v>
      </c>
      <c r="D12" s="243">
        <f>0.00225+0.009+0.00705</f>
        <v>1.83E-2</v>
      </c>
      <c r="E12" s="270">
        <f t="shared" ref="E12" si="11">C12+D12</f>
        <v>0.1058323</v>
      </c>
      <c r="F12" s="270">
        <f t="shared" ref="F12" si="12">E12*$G$1</f>
        <v>10.3715654</v>
      </c>
      <c r="G12" s="243">
        <v>10.371550000000001</v>
      </c>
      <c r="H12" s="319">
        <f t="shared" ref="H12" si="13">F12-G12</f>
        <v>1.5399999998777503E-5</v>
      </c>
      <c r="K12" s="111" t="s">
        <v>135</v>
      </c>
      <c r="L12" s="113">
        <v>2.0100000000000001E-3</v>
      </c>
      <c r="N12" s="198">
        <v>1221</v>
      </c>
      <c r="O12" s="199">
        <v>44726</v>
      </c>
      <c r="P12" s="198" t="s">
        <v>166</v>
      </c>
      <c r="Q12" s="198" t="s">
        <v>167</v>
      </c>
      <c r="R12" s="201">
        <f>U12/V5</f>
        <v>4.4404973357015987E-2</v>
      </c>
      <c r="S12" s="200">
        <f>R12*T5</f>
        <v>2.4866785079928952</v>
      </c>
      <c r="T12" s="200">
        <f>R12*U5</f>
        <v>47.513321492007108</v>
      </c>
      <c r="U12" s="198">
        <v>50</v>
      </c>
    </row>
    <row r="13" spans="1:25" ht="15.75" thickBot="1" x14ac:dyDescent="0.3">
      <c r="A13" s="267"/>
      <c r="B13" s="243"/>
      <c r="C13" s="243"/>
      <c r="D13" s="243"/>
      <c r="E13" s="243"/>
      <c r="F13" s="243"/>
      <c r="G13" s="243"/>
      <c r="H13" s="320"/>
      <c r="K13" s="111" t="s">
        <v>136</v>
      </c>
      <c r="L13" s="113">
        <v>0.1</v>
      </c>
      <c r="N13" s="202">
        <v>1550</v>
      </c>
      <c r="O13" s="203">
        <v>44771</v>
      </c>
      <c r="P13" s="202" t="s">
        <v>173</v>
      </c>
      <c r="Q13" s="202" t="s">
        <v>174</v>
      </c>
      <c r="R13" s="205">
        <f>U13/V5</f>
        <v>0.12477797513321492</v>
      </c>
      <c r="S13" s="204">
        <f>R13*T5</f>
        <v>6.9875666074600353</v>
      </c>
      <c r="T13" s="204">
        <f>R13*U5</f>
        <v>133.51243339253998</v>
      </c>
      <c r="U13" s="202">
        <v>140.5</v>
      </c>
    </row>
    <row r="14" spans="1:25" x14ac:dyDescent="0.25">
      <c r="A14" s="267"/>
      <c r="B14" s="243" t="s">
        <v>49</v>
      </c>
      <c r="C14" s="243">
        <v>1.0009999999999999E-4</v>
      </c>
      <c r="D14" s="243"/>
      <c r="E14" s="270">
        <f t="shared" ref="E14" si="14">C14+D14</f>
        <v>1.0009999999999999E-4</v>
      </c>
      <c r="F14" s="270">
        <f t="shared" ref="F14" si="15">E14*$G$1</f>
        <v>9.8097999999999987E-3</v>
      </c>
      <c r="G14" s="243">
        <v>9.810000000000001E-3</v>
      </c>
      <c r="H14" s="319">
        <f t="shared" ref="H14" si="16">F14-G14</f>
        <v>-2.0000000000228169E-7</v>
      </c>
      <c r="K14" s="111" t="s">
        <v>137</v>
      </c>
      <c r="L14" s="113">
        <v>2.5799999999999998E-3</v>
      </c>
      <c r="N14" s="198">
        <v>1551</v>
      </c>
      <c r="O14" s="199">
        <v>44771</v>
      </c>
      <c r="P14" s="198" t="s">
        <v>166</v>
      </c>
      <c r="Q14" s="198" t="s">
        <v>167</v>
      </c>
      <c r="R14" s="201">
        <f>U14/V5</f>
        <v>6.216696269982238E-2</v>
      </c>
      <c r="S14" s="200">
        <f>R14*T5</f>
        <v>3.4813499111900534</v>
      </c>
      <c r="T14" s="200">
        <f>R14*U5</f>
        <v>66.518650088809949</v>
      </c>
      <c r="U14" s="198">
        <v>70</v>
      </c>
    </row>
    <row r="15" spans="1:25" ht="15.75" thickBot="1" x14ac:dyDescent="0.3">
      <c r="A15" s="267"/>
      <c r="B15" s="243"/>
      <c r="C15" s="243"/>
      <c r="D15" s="243"/>
      <c r="E15" s="243"/>
      <c r="F15" s="243"/>
      <c r="G15" s="243"/>
      <c r="H15" s="320"/>
      <c r="K15" s="111"/>
      <c r="L15" s="113"/>
      <c r="N15" s="202">
        <v>1679</v>
      </c>
      <c r="O15" s="203">
        <v>44790</v>
      </c>
      <c r="P15" s="202" t="s">
        <v>175</v>
      </c>
      <c r="Q15" s="202" t="s">
        <v>176</v>
      </c>
      <c r="R15" s="202">
        <v>5.2500000000000003E-3</v>
      </c>
      <c r="S15" s="204">
        <f>R15*T5</f>
        <v>0.29400000000000004</v>
      </c>
      <c r="T15" s="204">
        <f>R15*U5</f>
        <v>5.6175000000000006</v>
      </c>
      <c r="U15" s="202">
        <f>V5*R15</f>
        <v>5.9115000000000002</v>
      </c>
    </row>
    <row r="16" spans="1:25" x14ac:dyDescent="0.25">
      <c r="A16" s="267"/>
      <c r="B16" s="243" t="s">
        <v>34</v>
      </c>
      <c r="C16" s="243">
        <v>2.0100000000000001E-5</v>
      </c>
      <c r="D16" s="243"/>
      <c r="E16" s="270">
        <f t="shared" ref="E16" si="17">C16+D16</f>
        <v>2.0100000000000001E-5</v>
      </c>
      <c r="F16" s="270">
        <f t="shared" ref="F16" si="18">E16*$G$1</f>
        <v>1.9697999999999998E-3</v>
      </c>
      <c r="G16" s="243">
        <v>1.97E-3</v>
      </c>
      <c r="H16" s="319">
        <f t="shared" ref="H16" si="19">F16-G16</f>
        <v>-2.0000000000011328E-7</v>
      </c>
      <c r="K16" s="111"/>
      <c r="L16" s="112"/>
      <c r="N16" s="198">
        <v>1669</v>
      </c>
      <c r="O16" s="199">
        <v>44790</v>
      </c>
      <c r="P16" s="198" t="s">
        <v>175</v>
      </c>
      <c r="Q16" s="198" t="s">
        <v>176</v>
      </c>
      <c r="R16" s="198">
        <v>2.2440600000000002E-2</v>
      </c>
      <c r="S16" s="200">
        <f t="shared" ref="S16:S25" si="20">R16*$T$5</f>
        <v>1.2566736000000001</v>
      </c>
      <c r="T16" s="200">
        <f t="shared" ref="T16:T26" si="21">R16*$U$5</f>
        <v>24.011442000000002</v>
      </c>
      <c r="U16" s="198">
        <f t="shared" ref="U16:U25" si="22">$V$5*R16</f>
        <v>25.268115600000002</v>
      </c>
    </row>
    <row r="17" spans="1:21" ht="15.75" thickBot="1" x14ac:dyDescent="0.3">
      <c r="A17" s="267"/>
      <c r="B17" s="243"/>
      <c r="C17" s="243"/>
      <c r="D17" s="243"/>
      <c r="E17" s="243"/>
      <c r="F17" s="243"/>
      <c r="G17" s="243"/>
      <c r="H17" s="320"/>
      <c r="K17" s="111"/>
      <c r="L17" s="112"/>
      <c r="N17" s="202">
        <v>1670</v>
      </c>
      <c r="O17" s="203">
        <v>44790</v>
      </c>
      <c r="P17" s="202" t="s">
        <v>175</v>
      </c>
      <c r="Q17" s="202" t="s">
        <v>176</v>
      </c>
      <c r="R17" s="202">
        <v>4.0499999999999998E-3</v>
      </c>
      <c r="S17" s="204">
        <f t="shared" si="20"/>
        <v>0.2268</v>
      </c>
      <c r="T17" s="204">
        <f t="shared" si="21"/>
        <v>4.3334999999999999</v>
      </c>
      <c r="U17" s="202">
        <f t="shared" si="22"/>
        <v>4.5602999999999998</v>
      </c>
    </row>
    <row r="18" spans="1:21" x14ac:dyDescent="0.25">
      <c r="A18" s="267"/>
      <c r="B18" s="243" t="s">
        <v>33</v>
      </c>
      <c r="C18" s="243">
        <v>6.0000000000000002E-5</v>
      </c>
      <c r="D18" s="243"/>
      <c r="E18" s="270">
        <f t="shared" ref="E18" si="23">C18+D18</f>
        <v>6.0000000000000002E-5</v>
      </c>
      <c r="F18" s="270">
        <f t="shared" ref="F18" si="24">E18*$G$1</f>
        <v>5.8799999999999998E-3</v>
      </c>
      <c r="G18" s="243">
        <v>5.8800000000000007E-3</v>
      </c>
      <c r="H18" s="319">
        <f t="shared" ref="H18" si="25">F18-G18</f>
        <v>0</v>
      </c>
      <c r="K18" s="109" t="s">
        <v>60</v>
      </c>
      <c r="L18" s="114">
        <v>80.000299899999973</v>
      </c>
      <c r="N18" s="198">
        <v>1671</v>
      </c>
      <c r="O18" s="199">
        <v>44790</v>
      </c>
      <c r="P18" s="198" t="s">
        <v>175</v>
      </c>
      <c r="Q18" s="198" t="s">
        <v>176</v>
      </c>
      <c r="R18" s="198">
        <v>6.0000000000000002E-5</v>
      </c>
      <c r="S18" s="200">
        <f t="shared" si="20"/>
        <v>3.3600000000000001E-3</v>
      </c>
      <c r="T18" s="200">
        <f>R18*$U$5</f>
        <v>6.4200000000000007E-2</v>
      </c>
      <c r="U18" s="198">
        <f t="shared" si="22"/>
        <v>6.7559999999999995E-2</v>
      </c>
    </row>
    <row r="19" spans="1:21" ht="15.75" thickBot="1" x14ac:dyDescent="0.3">
      <c r="A19" s="267"/>
      <c r="B19" s="243"/>
      <c r="C19" s="243"/>
      <c r="D19" s="243"/>
      <c r="E19" s="243"/>
      <c r="F19" s="243"/>
      <c r="G19" s="243"/>
      <c r="H19" s="320"/>
      <c r="N19" s="202">
        <v>1672</v>
      </c>
      <c r="O19" s="203">
        <v>44790</v>
      </c>
      <c r="P19" s="202" t="s">
        <v>175</v>
      </c>
      <c r="Q19" s="202" t="s">
        <v>176</v>
      </c>
      <c r="R19" s="202">
        <v>6.8999999999999997E-4</v>
      </c>
      <c r="S19" s="202">
        <f t="shared" si="20"/>
        <v>3.8640000000000001E-2</v>
      </c>
      <c r="T19" s="202">
        <f t="shared" si="21"/>
        <v>0.73829999999999996</v>
      </c>
      <c r="U19" s="202">
        <f t="shared" si="22"/>
        <v>0.77693999999999996</v>
      </c>
    </row>
    <row r="20" spans="1:21" x14ac:dyDescent="0.25">
      <c r="A20" s="267"/>
      <c r="B20" s="243" t="s">
        <v>38</v>
      </c>
      <c r="C20" s="243">
        <v>2.2440600000000002E-2</v>
      </c>
      <c r="D20" s="243">
        <f>0.00075+0.00375+0.00375+0.00525+0.00525+0.00675+0.00825+0.00405+0.00006+0.00069+0.01425</f>
        <v>5.28E-2</v>
      </c>
      <c r="E20" s="270">
        <f t="shared" ref="E20" si="26">C20+D20</f>
        <v>7.5240600000000005E-2</v>
      </c>
      <c r="F20" s="270">
        <f t="shared" ref="F20" si="27">E20*$G$1</f>
        <v>7.3735788000000007</v>
      </c>
      <c r="G20" s="243">
        <v>7.3735699999999991</v>
      </c>
      <c r="H20" s="319">
        <f t="shared" ref="H20" si="28">F20-G20</f>
        <v>8.8000000015853175E-6</v>
      </c>
      <c r="N20" s="198">
        <v>1673</v>
      </c>
      <c r="O20" s="199">
        <v>44790</v>
      </c>
      <c r="P20" s="198" t="s">
        <v>175</v>
      </c>
      <c r="Q20" s="198" t="s">
        <v>176</v>
      </c>
      <c r="R20" s="198">
        <v>7.5000000000000002E-4</v>
      </c>
      <c r="S20" s="198">
        <f t="shared" si="20"/>
        <v>4.2000000000000003E-2</v>
      </c>
      <c r="T20" s="198">
        <f t="shared" si="21"/>
        <v>0.80249999999999999</v>
      </c>
      <c r="U20" s="198">
        <f t="shared" si="22"/>
        <v>0.84450000000000003</v>
      </c>
    </row>
    <row r="21" spans="1:21" ht="15.75" thickBot="1" x14ac:dyDescent="0.3">
      <c r="A21" s="267"/>
      <c r="B21" s="243"/>
      <c r="C21" s="243"/>
      <c r="D21" s="243"/>
      <c r="E21" s="243"/>
      <c r="F21" s="243"/>
      <c r="G21" s="243"/>
      <c r="H21" s="320"/>
      <c r="N21" s="202">
        <v>1674</v>
      </c>
      <c r="O21" s="203">
        <v>44790</v>
      </c>
      <c r="P21" s="202" t="s">
        <v>175</v>
      </c>
      <c r="Q21" s="202" t="s">
        <v>176</v>
      </c>
      <c r="R21" s="202">
        <v>1.4250000000000001E-2</v>
      </c>
      <c r="S21" s="202">
        <f t="shared" si="20"/>
        <v>0.79800000000000004</v>
      </c>
      <c r="T21" s="202">
        <f t="shared" si="21"/>
        <v>15.2475</v>
      </c>
      <c r="U21" s="202">
        <f t="shared" si="22"/>
        <v>16.045500000000001</v>
      </c>
    </row>
    <row r="22" spans="1:21" x14ac:dyDescent="0.25">
      <c r="A22" s="267"/>
      <c r="B22" s="243" t="s">
        <v>37</v>
      </c>
      <c r="C22" s="243">
        <v>8.1010000000000001E-4</v>
      </c>
      <c r="D22" s="243"/>
      <c r="E22" s="270">
        <f t="shared" ref="E22" si="29">C22+D22</f>
        <v>8.1010000000000001E-4</v>
      </c>
      <c r="F22" s="270">
        <f t="shared" ref="F22" si="30">E22*$G$1</f>
        <v>7.9389799999999996E-2</v>
      </c>
      <c r="G22" s="243">
        <v>7.9390000000000002E-2</v>
      </c>
      <c r="H22" s="319">
        <f t="shared" ref="H22" si="31">F22-G22</f>
        <v>-2.0000000000575113E-7</v>
      </c>
      <c r="N22" s="198">
        <v>1675</v>
      </c>
      <c r="O22" s="199">
        <v>44790</v>
      </c>
      <c r="P22" s="198" t="s">
        <v>175</v>
      </c>
      <c r="Q22" s="198" t="s">
        <v>176</v>
      </c>
      <c r="R22" s="198">
        <v>8.2500000000000004E-3</v>
      </c>
      <c r="S22" s="198">
        <f t="shared" si="20"/>
        <v>0.46200000000000002</v>
      </c>
      <c r="T22" s="198">
        <f t="shared" si="21"/>
        <v>8.8275000000000006</v>
      </c>
      <c r="U22" s="198">
        <f t="shared" si="22"/>
        <v>9.2895000000000003</v>
      </c>
    </row>
    <row r="23" spans="1:21" ht="15.75" thickBot="1" x14ac:dyDescent="0.3">
      <c r="A23" s="268"/>
      <c r="B23" s="261"/>
      <c r="C23" s="261"/>
      <c r="D23" s="261"/>
      <c r="E23" s="243"/>
      <c r="F23" s="243"/>
      <c r="G23" s="261"/>
      <c r="H23" s="320"/>
      <c r="N23" s="202">
        <v>1676</v>
      </c>
      <c r="O23" s="203">
        <v>44790</v>
      </c>
      <c r="P23" s="202" t="s">
        <v>175</v>
      </c>
      <c r="Q23" s="202" t="s">
        <v>176</v>
      </c>
      <c r="R23" s="202">
        <v>3.7499999999999999E-3</v>
      </c>
      <c r="S23" s="202">
        <f t="shared" si="20"/>
        <v>0.21</v>
      </c>
      <c r="T23" s="202">
        <f t="shared" si="21"/>
        <v>4.0125000000000002</v>
      </c>
      <c r="U23" s="202">
        <f t="shared" si="22"/>
        <v>4.2225000000000001</v>
      </c>
    </row>
    <row r="24" spans="1:21" ht="15.75" thickBot="1" x14ac:dyDescent="0.3">
      <c r="C24" t="s">
        <v>121</v>
      </c>
      <c r="D24" t="s">
        <v>122</v>
      </c>
      <c r="E24" t="s">
        <v>123</v>
      </c>
      <c r="F24" t="s">
        <v>124</v>
      </c>
      <c r="G24">
        <v>884</v>
      </c>
      <c r="N24" s="198">
        <v>1677</v>
      </c>
      <c r="O24" s="199">
        <v>44790</v>
      </c>
      <c r="P24" s="198" t="s">
        <v>175</v>
      </c>
      <c r="Q24" s="198" t="s">
        <v>176</v>
      </c>
      <c r="R24" s="198">
        <v>3.7499999999999999E-3</v>
      </c>
      <c r="S24" s="198">
        <f t="shared" si="20"/>
        <v>0.21</v>
      </c>
      <c r="T24" s="198">
        <f t="shared" si="21"/>
        <v>4.0125000000000002</v>
      </c>
      <c r="U24" s="198">
        <f t="shared" si="22"/>
        <v>4.2225000000000001</v>
      </c>
    </row>
    <row r="25" spans="1:21" x14ac:dyDescent="0.25">
      <c r="A25" s="266" t="s">
        <v>50</v>
      </c>
      <c r="B25" s="270" t="s">
        <v>24</v>
      </c>
      <c r="C25" s="270">
        <v>0.33248030000000001</v>
      </c>
      <c r="D25" s="270">
        <f>0.00975+0.00975+0.002+0.01425</f>
        <v>3.5749999999999997E-2</v>
      </c>
      <c r="E25" s="270">
        <f>C25+D25</f>
        <v>0.36823030000000001</v>
      </c>
      <c r="F25" s="270">
        <f>E25*$G$24</f>
        <v>325.51558520000003</v>
      </c>
      <c r="G25" s="270">
        <v>325.51559000000003</v>
      </c>
      <c r="H25" s="317">
        <f>F25-G25</f>
        <v>-4.7999999992498488E-6</v>
      </c>
      <c r="N25" s="202">
        <v>1678</v>
      </c>
      <c r="O25" s="203">
        <v>44790</v>
      </c>
      <c r="P25" s="202" t="s">
        <v>175</v>
      </c>
      <c r="Q25" s="202" t="s">
        <v>176</v>
      </c>
      <c r="R25" s="202">
        <v>6.7499999999999999E-3</v>
      </c>
      <c r="S25" s="202">
        <f t="shared" si="20"/>
        <v>0.378</v>
      </c>
      <c r="T25" s="202">
        <f t="shared" si="21"/>
        <v>7.2225000000000001</v>
      </c>
      <c r="U25" s="202">
        <f t="shared" si="22"/>
        <v>7.6005000000000003</v>
      </c>
    </row>
    <row r="26" spans="1:21" ht="15.75" thickBot="1" x14ac:dyDescent="0.3">
      <c r="A26" s="267"/>
      <c r="B26" s="243"/>
      <c r="C26" s="243"/>
      <c r="D26" s="243"/>
      <c r="E26" s="243"/>
      <c r="F26" s="243"/>
      <c r="G26" s="243"/>
      <c r="H26" s="318"/>
      <c r="N26" s="198">
        <v>1680</v>
      </c>
      <c r="O26" s="199">
        <v>44790</v>
      </c>
      <c r="P26" s="198" t="s">
        <v>175</v>
      </c>
      <c r="Q26" s="198" t="s">
        <v>176</v>
      </c>
      <c r="R26" s="198">
        <v>5.2500000000000003E-3</v>
      </c>
      <c r="S26" s="200">
        <f>R26*$T$5</f>
        <v>0.29400000000000004</v>
      </c>
      <c r="T26" s="200">
        <f t="shared" si="21"/>
        <v>5.6175000000000006</v>
      </c>
      <c r="U26" s="198">
        <f>$V$5*R26</f>
        <v>5.9115000000000002</v>
      </c>
    </row>
    <row r="27" spans="1:21" x14ac:dyDescent="0.25">
      <c r="A27" s="267"/>
      <c r="B27" s="243" t="s">
        <v>25</v>
      </c>
      <c r="C27" s="243">
        <f>0.0239553+0.0058632+0.0026566+0.027652</f>
        <v>6.0127100000000003E-2</v>
      </c>
      <c r="D27" s="243">
        <f>0.00645</f>
        <v>6.45E-3</v>
      </c>
      <c r="E27" s="270">
        <f>C27+D27</f>
        <v>6.65771E-2</v>
      </c>
      <c r="F27" s="270">
        <f>E27*$G$24</f>
        <v>58.854156400000001</v>
      </c>
      <c r="G27" s="243">
        <v>58.85416</v>
      </c>
      <c r="H27" s="317">
        <f t="shared" ref="H27" si="32">F27-G27</f>
        <v>-3.5999999994373866E-6</v>
      </c>
      <c r="N27" s="202">
        <v>1958</v>
      </c>
      <c r="O27" s="203">
        <v>44830</v>
      </c>
      <c r="P27" s="202" t="s">
        <v>178</v>
      </c>
      <c r="Q27" s="202" t="s">
        <v>175</v>
      </c>
      <c r="R27" s="202">
        <v>6.3E-3</v>
      </c>
      <c r="S27" s="202">
        <f>R27*T5</f>
        <v>0.3528</v>
      </c>
      <c r="T27" s="202">
        <f>R27*U5</f>
        <v>6.7409999999999997</v>
      </c>
      <c r="U27" s="202">
        <f>$V$5*R27</f>
        <v>7.0937999999999999</v>
      </c>
    </row>
    <row r="28" spans="1:21" ht="15.75" thickBot="1" x14ac:dyDescent="0.3">
      <c r="A28" s="267"/>
      <c r="B28" s="243"/>
      <c r="C28" s="243"/>
      <c r="D28" s="243"/>
      <c r="E28" s="243"/>
      <c r="F28" s="243"/>
      <c r="G28" s="243"/>
      <c r="H28" s="318"/>
      <c r="N28" s="197"/>
      <c r="O28" s="197"/>
      <c r="P28" s="197"/>
      <c r="Q28" s="197"/>
      <c r="R28" s="197"/>
      <c r="S28" s="197"/>
      <c r="T28" s="197"/>
      <c r="U28" s="197"/>
    </row>
    <row r="29" spans="1:21" x14ac:dyDescent="0.25">
      <c r="A29" s="267"/>
      <c r="B29" s="243" t="s">
        <v>26</v>
      </c>
      <c r="C29" s="243">
        <v>3.0000000000000001E-5</v>
      </c>
      <c r="D29" s="243"/>
      <c r="E29" s="270">
        <f t="shared" ref="E29" si="33">C29+D29</f>
        <v>3.0000000000000001E-5</v>
      </c>
      <c r="F29" s="270">
        <f>E29*$G$24</f>
        <v>2.6520000000000002E-2</v>
      </c>
      <c r="G29" s="243">
        <v>2.6519999999999998E-2</v>
      </c>
      <c r="H29" s="317">
        <f t="shared" ref="H29" si="34">F29-G29</f>
        <v>0</v>
      </c>
      <c r="N29" s="197"/>
      <c r="O29" s="197"/>
      <c r="P29" s="197"/>
      <c r="Q29" s="197"/>
      <c r="R29" s="197"/>
      <c r="S29" s="197"/>
      <c r="T29" s="197"/>
      <c r="U29" s="197"/>
    </row>
    <row r="30" spans="1:21" ht="15.75" thickBot="1" x14ac:dyDescent="0.3">
      <c r="A30" s="267"/>
      <c r="B30" s="243"/>
      <c r="C30" s="243"/>
      <c r="D30" s="243"/>
      <c r="E30" s="243"/>
      <c r="F30" s="243"/>
      <c r="G30" s="243"/>
      <c r="H30" s="318"/>
      <c r="N30" s="197"/>
      <c r="O30" s="197"/>
      <c r="P30" s="197"/>
      <c r="Q30" s="197"/>
      <c r="R30" s="197"/>
      <c r="S30" s="197"/>
      <c r="T30" s="197"/>
      <c r="U30" s="197"/>
    </row>
    <row r="31" spans="1:21" x14ac:dyDescent="0.25">
      <c r="A31" s="267"/>
      <c r="B31" s="243" t="s">
        <v>27</v>
      </c>
      <c r="C31" s="243">
        <v>0.34622619999999998</v>
      </c>
      <c r="D31" s="243">
        <f>0.00775+0.00026+0.01125+0.01425</f>
        <v>3.3509999999999998E-2</v>
      </c>
      <c r="E31" s="270">
        <f>C31+D31</f>
        <v>0.37973619999999997</v>
      </c>
      <c r="F31" s="270">
        <f>E31*$G$24</f>
        <v>335.68680079999996</v>
      </c>
      <c r="G31" s="243">
        <v>338.50676999999996</v>
      </c>
      <c r="H31" s="317">
        <f t="shared" ref="H31" si="35">F31-G31</f>
        <v>-2.8199692000000027</v>
      </c>
      <c r="N31" s="197"/>
      <c r="O31" s="197"/>
      <c r="P31" s="197"/>
      <c r="Q31" s="197"/>
      <c r="R31" s="197"/>
      <c r="S31" s="197"/>
      <c r="T31" s="197"/>
      <c r="U31" s="197"/>
    </row>
    <row r="32" spans="1:21" ht="15.75" thickBot="1" x14ac:dyDescent="0.3">
      <c r="A32" s="267"/>
      <c r="B32" s="243"/>
      <c r="C32" s="243"/>
      <c r="D32" s="243"/>
      <c r="E32" s="243"/>
      <c r="F32" s="243"/>
      <c r="G32" s="243"/>
      <c r="H32" s="318"/>
      <c r="N32" s="197"/>
      <c r="O32" s="197"/>
      <c r="P32" s="197"/>
      <c r="Q32" s="197"/>
      <c r="R32" s="197"/>
      <c r="S32" s="197"/>
      <c r="T32" s="197"/>
      <c r="U32" s="197"/>
    </row>
    <row r="33" spans="1:23" x14ac:dyDescent="0.25">
      <c r="A33" s="267"/>
      <c r="B33" s="243" t="s">
        <v>30</v>
      </c>
      <c r="C33" s="243">
        <v>1.7310000000000001E-4</v>
      </c>
      <c r="D33" s="243"/>
      <c r="E33" s="270">
        <f t="shared" ref="E33" si="36">C33+D33</f>
        <v>1.7310000000000001E-4</v>
      </c>
      <c r="F33" s="270">
        <f t="shared" ref="F33" si="37">E33*$G$24</f>
        <v>0.1530204</v>
      </c>
      <c r="G33" s="243">
        <v>0.15301999999999999</v>
      </c>
      <c r="H33" s="317">
        <f t="shared" ref="H33" si="38">F33-G33</f>
        <v>4.0000000001150227E-7</v>
      </c>
      <c r="N33" s="197"/>
      <c r="O33" s="197"/>
      <c r="P33" s="197"/>
      <c r="Q33" s="197"/>
      <c r="R33" s="197"/>
      <c r="S33" s="197"/>
      <c r="T33" s="197"/>
      <c r="U33" s="197"/>
    </row>
    <row r="34" spans="1:23" ht="15.75" thickBot="1" x14ac:dyDescent="0.3">
      <c r="A34" s="267"/>
      <c r="B34" s="243"/>
      <c r="C34" s="243"/>
      <c r="D34" s="243"/>
      <c r="E34" s="243"/>
      <c r="F34" s="243"/>
      <c r="G34" s="243"/>
      <c r="H34" s="318"/>
      <c r="N34" s="197"/>
      <c r="O34" s="197"/>
      <c r="P34" s="197"/>
      <c r="Q34" s="197"/>
      <c r="R34" s="197"/>
      <c r="S34" s="197"/>
      <c r="T34" s="197"/>
      <c r="U34" s="197"/>
    </row>
    <row r="35" spans="1:23" x14ac:dyDescent="0.25">
      <c r="A35" s="267"/>
      <c r="B35" s="243" t="s">
        <v>31</v>
      </c>
      <c r="C35" s="243">
        <f>0.0438706+0.022+0.0216617</f>
        <v>8.7532300000000007E-2</v>
      </c>
      <c r="D35" s="243">
        <f>0.00225+0.009+0.00705</f>
        <v>1.83E-2</v>
      </c>
      <c r="E35" s="270">
        <f t="shared" ref="E35" si="39">C35+D35</f>
        <v>0.1058323</v>
      </c>
      <c r="F35" s="270">
        <f t="shared" ref="F35" si="40">E35*$G$24</f>
        <v>93.555753199999998</v>
      </c>
      <c r="G35" s="243">
        <v>93.555749999999989</v>
      </c>
      <c r="H35" s="317">
        <f t="shared" ref="H35" si="41">F35-G35</f>
        <v>3.2000000089738023E-6</v>
      </c>
      <c r="N35" s="197"/>
      <c r="O35" s="197"/>
      <c r="P35" s="197"/>
      <c r="Q35" s="197"/>
      <c r="R35" s="197"/>
      <c r="S35" s="197"/>
      <c r="T35" s="197"/>
      <c r="U35" s="197"/>
    </row>
    <row r="36" spans="1:23" ht="15.75" thickBot="1" x14ac:dyDescent="0.3">
      <c r="A36" s="267"/>
      <c r="B36" s="243"/>
      <c r="C36" s="243"/>
      <c r="D36" s="243"/>
      <c r="E36" s="243"/>
      <c r="F36" s="243"/>
      <c r="G36" s="243"/>
      <c r="H36" s="318"/>
      <c r="N36" s="197"/>
      <c r="O36" s="197"/>
      <c r="P36" s="197"/>
      <c r="Q36" s="197"/>
      <c r="R36" s="197"/>
      <c r="S36" s="197"/>
      <c r="T36" s="197"/>
      <c r="U36" s="197"/>
    </row>
    <row r="37" spans="1:23" x14ac:dyDescent="0.25">
      <c r="A37" s="267"/>
      <c r="B37" s="243" t="s">
        <v>49</v>
      </c>
      <c r="C37" s="243">
        <v>1.0009999999999999E-4</v>
      </c>
      <c r="D37" s="243"/>
      <c r="E37" s="270">
        <f t="shared" ref="E37" si="42">C37+D37</f>
        <v>1.0009999999999999E-4</v>
      </c>
      <c r="F37" s="270">
        <f t="shared" ref="F37" si="43">E37*$G$24</f>
        <v>8.8488399999999995E-2</v>
      </c>
      <c r="G37" s="243">
        <v>8.8489999999999999E-2</v>
      </c>
      <c r="H37" s="317">
        <f t="shared" ref="H37" si="44">F37-G37</f>
        <v>-1.6000000000043757E-6</v>
      </c>
    </row>
    <row r="38" spans="1:23" ht="15.75" thickBot="1" x14ac:dyDescent="0.3">
      <c r="A38" s="267"/>
      <c r="B38" s="243"/>
      <c r="C38" s="243"/>
      <c r="D38" s="243"/>
      <c r="E38" s="243"/>
      <c r="F38" s="243"/>
      <c r="G38" s="243"/>
      <c r="H38" s="318"/>
    </row>
    <row r="39" spans="1:23" x14ac:dyDescent="0.25">
      <c r="A39" s="267"/>
      <c r="B39" s="243" t="s">
        <v>34</v>
      </c>
      <c r="C39" s="243">
        <v>2.0100000000000001E-5</v>
      </c>
      <c r="D39" s="243"/>
      <c r="E39" s="270">
        <f t="shared" ref="E39" si="45">C39+D39</f>
        <v>2.0100000000000001E-5</v>
      </c>
      <c r="F39" s="270">
        <f t="shared" ref="F39" si="46">E39*$G$24</f>
        <v>1.77684E-2</v>
      </c>
      <c r="G39" s="243">
        <v>1.7770000000000001E-2</v>
      </c>
      <c r="H39" s="317">
        <f t="shared" ref="H39" si="47">F39-G39</f>
        <v>-1.6000000000009063E-6</v>
      </c>
    </row>
    <row r="40" spans="1:23" ht="15.75" thickBot="1" x14ac:dyDescent="0.3">
      <c r="A40" s="267"/>
      <c r="B40" s="243"/>
      <c r="C40" s="243"/>
      <c r="D40" s="243"/>
      <c r="E40" s="243"/>
      <c r="F40" s="243"/>
      <c r="G40" s="243"/>
      <c r="H40" s="318"/>
    </row>
    <row r="41" spans="1:23" x14ac:dyDescent="0.25">
      <c r="A41" s="267"/>
      <c r="B41" s="243" t="s">
        <v>33</v>
      </c>
      <c r="C41" s="243">
        <v>6.0000000000000002E-5</v>
      </c>
      <c r="D41" s="243"/>
      <c r="E41" s="270">
        <f t="shared" ref="E41" si="48">C41+D41</f>
        <v>6.0000000000000002E-5</v>
      </c>
      <c r="F41" s="270">
        <f t="shared" ref="F41" si="49">E41*$G$24</f>
        <v>5.3040000000000004E-2</v>
      </c>
      <c r="G41" s="243">
        <v>5.3039999999999997E-2</v>
      </c>
      <c r="H41" s="317">
        <f t="shared" ref="H41" si="50">F41-G41</f>
        <v>0</v>
      </c>
      <c r="W41">
        <v>1669</v>
      </c>
    </row>
    <row r="42" spans="1:23" ht="15.75" thickBot="1" x14ac:dyDescent="0.3">
      <c r="A42" s="267"/>
      <c r="B42" s="243"/>
      <c r="C42" s="243"/>
      <c r="D42" s="243"/>
      <c r="E42" s="243"/>
      <c r="F42" s="243"/>
      <c r="G42" s="243"/>
      <c r="H42" s="318"/>
      <c r="W42">
        <v>1670</v>
      </c>
    </row>
    <row r="43" spans="1:23" x14ac:dyDescent="0.25">
      <c r="A43" s="267"/>
      <c r="B43" s="243" t="s">
        <v>38</v>
      </c>
      <c r="C43" s="243">
        <v>2.2440600000000002E-2</v>
      </c>
      <c r="D43" s="243">
        <f>0.00075+0.00375+0.00375+0.00525+0.00525+0.00675+0.00825+0.00405+0.00006+0.00069+0.01425</f>
        <v>5.28E-2</v>
      </c>
      <c r="E43" s="270">
        <f t="shared" ref="E43" si="51">C43+D43</f>
        <v>7.5240600000000005E-2</v>
      </c>
      <c r="F43" s="270">
        <f t="shared" ref="F43" si="52">E43*$G$24</f>
        <v>66.512690400000011</v>
      </c>
      <c r="G43" s="243">
        <v>66.511089999999982</v>
      </c>
      <c r="H43" s="317">
        <f t="shared" ref="H43" si="53">F43-G43</f>
        <v>1.6004000000293672E-3</v>
      </c>
      <c r="W43">
        <v>1671</v>
      </c>
    </row>
    <row r="44" spans="1:23" ht="15.75" thickBot="1" x14ac:dyDescent="0.3">
      <c r="A44" s="267"/>
      <c r="B44" s="243"/>
      <c r="C44" s="243"/>
      <c r="D44" s="243"/>
      <c r="E44" s="243"/>
      <c r="F44" s="243"/>
      <c r="G44" s="243"/>
      <c r="H44" s="318"/>
      <c r="W44">
        <v>1674</v>
      </c>
    </row>
    <row r="45" spans="1:23" x14ac:dyDescent="0.25">
      <c r="A45" s="267"/>
      <c r="B45" s="243" t="s">
        <v>37</v>
      </c>
      <c r="C45" s="243">
        <v>8.1010000000000001E-4</v>
      </c>
      <c r="D45" s="243"/>
      <c r="E45" s="270">
        <f t="shared" ref="E45" si="54">C45+D45</f>
        <v>8.1010000000000001E-4</v>
      </c>
      <c r="F45" s="270">
        <f t="shared" ref="F45" si="55">E45*$G$24</f>
        <v>0.7161284</v>
      </c>
      <c r="G45" s="243">
        <v>0.71612999999999993</v>
      </c>
      <c r="H45" s="317">
        <f t="shared" ref="H45" si="56">F45-G45</f>
        <v>-1.5999999999349868E-6</v>
      </c>
      <c r="W45">
        <v>1675</v>
      </c>
    </row>
    <row r="46" spans="1:23" ht="15.75" thickBot="1" x14ac:dyDescent="0.3">
      <c r="A46" s="268"/>
      <c r="B46" s="261"/>
      <c r="C46" s="261"/>
      <c r="D46" s="261"/>
      <c r="E46" s="243"/>
      <c r="F46" s="243"/>
      <c r="G46" s="261"/>
      <c r="H46" s="318"/>
      <c r="W46">
        <v>1676</v>
      </c>
    </row>
    <row r="47" spans="1:23" x14ac:dyDescent="0.25">
      <c r="C47">
        <f>SUM(C25:C46)</f>
        <v>0.84999990000000003</v>
      </c>
      <c r="D47">
        <f t="shared" ref="D47" si="57">SUM(D25:D46)</f>
        <v>0.14681</v>
      </c>
      <c r="E47">
        <f t="shared" ref="E47" si="58">SUM(E25:E46)</f>
        <v>0.99680989999999992</v>
      </c>
      <c r="F47">
        <f t="shared" ref="F47" si="59">SUM(F25:F46)</f>
        <v>881.17995159999998</v>
      </c>
      <c r="G47">
        <f t="shared" ref="G47:H47" si="60">SUM(G25:G46)</f>
        <v>883.9983299999999</v>
      </c>
      <c r="H47">
        <f t="shared" si="60"/>
        <v>-2.818378399999963</v>
      </c>
      <c r="W47">
        <v>1677</v>
      </c>
    </row>
    <row r="48" spans="1:23" x14ac:dyDescent="0.25">
      <c r="W48">
        <v>1678</v>
      </c>
    </row>
    <row r="49" spans="23:23" x14ac:dyDescent="0.25">
      <c r="W49">
        <v>1679</v>
      </c>
    </row>
    <row r="50" spans="23:23" x14ac:dyDescent="0.25">
      <c r="W50">
        <v>1680</v>
      </c>
    </row>
  </sheetData>
  <sortState ref="N16:U26">
    <sortCondition ref="N15"/>
  </sortState>
  <mergeCells count="157">
    <mergeCell ref="G2:G3"/>
    <mergeCell ref="G4:G5"/>
    <mergeCell ref="C2:C3"/>
    <mergeCell ref="C4:C5"/>
    <mergeCell ref="G10:G11"/>
    <mergeCell ref="F2:F3"/>
    <mergeCell ref="F4:F5"/>
    <mergeCell ref="F6:F7"/>
    <mergeCell ref="F8:F9"/>
    <mergeCell ref="D8:D9"/>
    <mergeCell ref="D2:D3"/>
    <mergeCell ref="D4:D5"/>
    <mergeCell ref="N8:U8"/>
    <mergeCell ref="A2:A23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E2:E3"/>
    <mergeCell ref="E4:E5"/>
    <mergeCell ref="E6:E7"/>
    <mergeCell ref="E8:E9"/>
    <mergeCell ref="E10:E11"/>
    <mergeCell ref="E12:E13"/>
    <mergeCell ref="C6:C7"/>
    <mergeCell ref="C8:C9"/>
    <mergeCell ref="D16:D17"/>
    <mergeCell ref="F10:F11"/>
    <mergeCell ref="G14:G15"/>
    <mergeCell ref="C10:C11"/>
    <mergeCell ref="C12:C13"/>
    <mergeCell ref="G16:G17"/>
    <mergeCell ref="D6:D7"/>
    <mergeCell ref="G18:G19"/>
    <mergeCell ref="G20:G21"/>
    <mergeCell ref="B20:B21"/>
    <mergeCell ref="B22:B23"/>
    <mergeCell ref="C14:C15"/>
    <mergeCell ref="D22:D23"/>
    <mergeCell ref="G12:G13"/>
    <mergeCell ref="F12:F13"/>
    <mergeCell ref="F14:F15"/>
    <mergeCell ref="F16:F17"/>
    <mergeCell ref="C18:C19"/>
    <mergeCell ref="C16:C17"/>
    <mergeCell ref="G6:G7"/>
    <mergeCell ref="G8:G9"/>
    <mergeCell ref="E14:E15"/>
    <mergeCell ref="E16:E17"/>
    <mergeCell ref="D10:D11"/>
    <mergeCell ref="D12:D13"/>
    <mergeCell ref="D14:D15"/>
    <mergeCell ref="B29:B30"/>
    <mergeCell ref="C29:C30"/>
    <mergeCell ref="D29:D30"/>
    <mergeCell ref="E29:E30"/>
    <mergeCell ref="F29:F30"/>
    <mergeCell ref="F25:F26"/>
    <mergeCell ref="B27:B28"/>
    <mergeCell ref="C27:C28"/>
    <mergeCell ref="C20:C21"/>
    <mergeCell ref="D20:D21"/>
    <mergeCell ref="E27:E28"/>
    <mergeCell ref="F27:F28"/>
    <mergeCell ref="B33:B34"/>
    <mergeCell ref="C33:C34"/>
    <mergeCell ref="D33:D34"/>
    <mergeCell ref="E33:E34"/>
    <mergeCell ref="F33:F34"/>
    <mergeCell ref="G33:G34"/>
    <mergeCell ref="B31:B32"/>
    <mergeCell ref="A25:A46"/>
    <mergeCell ref="B25:B26"/>
    <mergeCell ref="C25:C26"/>
    <mergeCell ref="D25:D26"/>
    <mergeCell ref="E25:E26"/>
    <mergeCell ref="B35:B36"/>
    <mergeCell ref="C35:C36"/>
    <mergeCell ref="D35:D36"/>
    <mergeCell ref="B37:B38"/>
    <mergeCell ref="E35:E36"/>
    <mergeCell ref="F35:F36"/>
    <mergeCell ref="G35:G36"/>
    <mergeCell ref="C31:C32"/>
    <mergeCell ref="D31:D32"/>
    <mergeCell ref="E31:E32"/>
    <mergeCell ref="F31:F32"/>
    <mergeCell ref="G31:G32"/>
    <mergeCell ref="G29:G30"/>
    <mergeCell ref="F18:F19"/>
    <mergeCell ref="F20:F21"/>
    <mergeCell ref="F22:F23"/>
    <mergeCell ref="D18:D19"/>
    <mergeCell ref="C37:C38"/>
    <mergeCell ref="D37:D38"/>
    <mergeCell ref="E37:E38"/>
    <mergeCell ref="F37:F38"/>
    <mergeCell ref="G37:G38"/>
    <mergeCell ref="G25:G26"/>
    <mergeCell ref="G27:G28"/>
    <mergeCell ref="B45:B46"/>
    <mergeCell ref="C45:C46"/>
    <mergeCell ref="D45:D46"/>
    <mergeCell ref="E45:E46"/>
    <mergeCell ref="F45:F46"/>
    <mergeCell ref="G45:G46"/>
    <mergeCell ref="B43:B44"/>
    <mergeCell ref="C43:C44"/>
    <mergeCell ref="D43:D44"/>
    <mergeCell ref="E43:E44"/>
    <mergeCell ref="F43:F44"/>
    <mergeCell ref="G43:G44"/>
    <mergeCell ref="B41:B42"/>
    <mergeCell ref="C41:C42"/>
    <mergeCell ref="D41:D42"/>
    <mergeCell ref="E41:E42"/>
    <mergeCell ref="F41:F42"/>
    <mergeCell ref="G41:G42"/>
    <mergeCell ref="B39:B40"/>
    <mergeCell ref="H14:H15"/>
    <mergeCell ref="H16:H17"/>
    <mergeCell ref="H18:H19"/>
    <mergeCell ref="H20:H21"/>
    <mergeCell ref="H22:H23"/>
    <mergeCell ref="H25:H26"/>
    <mergeCell ref="C39:C40"/>
    <mergeCell ref="D39:D40"/>
    <mergeCell ref="E39:E40"/>
    <mergeCell ref="F39:F40"/>
    <mergeCell ref="G39:G40"/>
    <mergeCell ref="D27:D28"/>
    <mergeCell ref="E18:E19"/>
    <mergeCell ref="E20:E21"/>
    <mergeCell ref="C22:C23"/>
    <mergeCell ref="E22:E23"/>
    <mergeCell ref="G22:G23"/>
    <mergeCell ref="H45:H46"/>
    <mergeCell ref="H27:H28"/>
    <mergeCell ref="H29:H30"/>
    <mergeCell ref="H31:H32"/>
    <mergeCell ref="H33:H34"/>
    <mergeCell ref="H35:H36"/>
    <mergeCell ref="H37:H38"/>
    <mergeCell ref="H2:H3"/>
    <mergeCell ref="H4:H5"/>
    <mergeCell ref="H6:H7"/>
    <mergeCell ref="H8:H9"/>
    <mergeCell ref="H10:H11"/>
    <mergeCell ref="H12:H13"/>
    <mergeCell ref="H39:H40"/>
    <mergeCell ref="H41:H42"/>
    <mergeCell ref="H43:H4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 </vt:lpstr>
      <vt:lpstr>CUOTA ARTESANAL</vt:lpstr>
      <vt:lpstr>CUOTA LTP</vt:lpstr>
      <vt:lpstr>CUOTA LICITADA</vt:lpstr>
      <vt:lpstr>PESCA DE INVESTIGACION</vt:lpstr>
      <vt:lpstr>PAG. WEB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 TELLO, MARIO ANDRES</dc:creator>
  <cp:lastModifiedBy>ARCE VERGARA,MARCELA MARGARITA</cp:lastModifiedBy>
  <dcterms:created xsi:type="dcterms:W3CDTF">2020-01-22T15:25:15Z</dcterms:created>
  <dcterms:modified xsi:type="dcterms:W3CDTF">2023-01-05T20:19:44Z</dcterms:modified>
</cp:coreProperties>
</file>